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720" yWindow="345" windowWidth="15570" windowHeight="9150" tabRatio="953" activeTab="11"/>
  </bookViews>
  <sheets>
    <sheet name="TRESORERIE" sheetId="17" r:id="rId1"/>
    <sheet name="Etranger" sheetId="7" r:id="rId2"/>
    <sheet name="FED" sheetId="8" r:id="rId3"/>
    <sheet name="CMT" sheetId="9" r:id="rId4"/>
    <sheet name="EXP SNA" sheetId="11" r:id="rId5"/>
    <sheet name="EXP STA" sheetId="27" r:id="rId6"/>
    <sheet name="NOUR" sheetId="23" r:id="rId7"/>
    <sheet name="SNA" sheetId="24" r:id="rId8"/>
    <sheet name="SND" sheetId="25" r:id="rId9"/>
    <sheet name="F-H" sheetId="26" r:id="rId10"/>
    <sheet name="Feuil1" sheetId="28" r:id="rId11"/>
    <sheet name="HAZEM" sheetId="36" r:id="rId12"/>
    <sheet name="TAYACHI" sheetId="35" r:id="rId13"/>
    <sheet name="Feuil2" sheetId="37" r:id="rId14"/>
    <sheet name="Feuil3" sheetId="38" r:id="rId15"/>
  </sheets>
  <definedNames>
    <definedName name="_xlnm._FilterDatabase" localSheetId="1" hidden="1">Etranger!#REF!</definedName>
    <definedName name="_xlnm._FilterDatabase" localSheetId="4" hidden="1">'EXP SNA'!$A$1:$N$90</definedName>
    <definedName name="_xlnm._FilterDatabase" localSheetId="5" hidden="1">'EXP STA'!$A$2:$N$3</definedName>
    <definedName name="_xlnm._FilterDatabase" localSheetId="13" hidden="1">Feuil2!$A$2:$WVV$51</definedName>
    <definedName name="_xlnm._FilterDatabase" localSheetId="9" hidden="1">'F-H'!$A$4:$L$4</definedName>
    <definedName name="_xlnm._FilterDatabase" localSheetId="6" hidden="1">NOUR!$A$4:$L$111</definedName>
    <definedName name="_xlnm._FilterDatabase" localSheetId="7" hidden="1">SNA!$A$4:$L$126</definedName>
    <definedName name="_xlnm._FilterDatabase" localSheetId="8" hidden="1">SND!$A$4:$L$5</definedName>
    <definedName name="_xlnm.Print_Titles" localSheetId="0">TRESORERIE!$1:$2</definedName>
    <definedName name="_xlnm.Print_Area" localSheetId="3">CMT!$B$15:$H$52</definedName>
    <definedName name="_xlnm.Print_Area" localSheetId="1">Etranger!$B$22:$J$55</definedName>
    <definedName name="_xlnm.Print_Area" localSheetId="4">'EXP SNA'!$A$2:$M$68</definedName>
    <definedName name="_xlnm.Print_Area" localSheetId="5">'EXP STA'!$A$2:$M$32</definedName>
    <definedName name="_xlnm.Print_Area" localSheetId="2">FED!$A$10:$H$13</definedName>
    <definedName name="_xlnm.Print_Area" localSheetId="10">Feuil1!$A$1:$B$26</definedName>
    <definedName name="_xlnm.Print_Area" localSheetId="9">'F-H'!$A$2:$L$4</definedName>
    <definedName name="_xlnm.Print_Area" localSheetId="11">HAZEM!$H$100:$Q$153</definedName>
    <definedName name="_xlnm.Print_Area" localSheetId="6">NOUR!$A$2:$L$4</definedName>
    <definedName name="_xlnm.Print_Area" localSheetId="7">SNA!$A$2:$L$4</definedName>
    <definedName name="_xlnm.Print_Area" localSheetId="8">SND!$A$4:$L$5</definedName>
    <definedName name="_xlnm.Print_Area" localSheetId="12">TAYACHI!$L$2:$R$14</definedName>
    <definedName name="_xlnm.Print_Area" localSheetId="0">TRESORERIE!$B$139:$LG$223</definedName>
  </definedNames>
  <calcPr calcId="125725"/>
</workbook>
</file>

<file path=xl/calcChain.xml><?xml version="1.0" encoding="utf-8"?>
<calcChain xmlns="http://schemas.openxmlformats.org/spreadsheetml/2006/main">
  <c r="K149" i="36"/>
  <c r="I149"/>
  <c r="K40" i="11"/>
  <c r="K38" l="1"/>
  <c r="K47"/>
  <c r="K45"/>
  <c r="K44"/>
  <c r="H64" i="37"/>
  <c r="H60"/>
  <c r="G67"/>
  <c r="G64"/>
  <c r="E58"/>
  <c r="E56"/>
  <c r="E57"/>
  <c r="E55"/>
  <c r="E54"/>
  <c r="E53"/>
  <c r="M51"/>
  <c r="G51"/>
  <c r="F51"/>
  <c r="F57" s="1"/>
  <c r="M50"/>
  <c r="G50"/>
  <c r="F50"/>
  <c r="M49"/>
  <c r="G49"/>
  <c r="F49"/>
  <c r="M48"/>
  <c r="F48"/>
  <c r="M47"/>
  <c r="F47"/>
  <c r="M46"/>
  <c r="G46"/>
  <c r="F46"/>
  <c r="M45"/>
  <c r="J45"/>
  <c r="F45"/>
  <c r="M44"/>
  <c r="G44"/>
  <c r="F44"/>
  <c r="M43"/>
  <c r="G43"/>
  <c r="F43"/>
  <c r="M42"/>
  <c r="G42"/>
  <c r="F42"/>
  <c r="M41"/>
  <c r="J41"/>
  <c r="F41"/>
  <c r="M40"/>
  <c r="G40"/>
  <c r="F40"/>
  <c r="M39"/>
  <c r="F39"/>
  <c r="M38"/>
  <c r="G38"/>
  <c r="F38"/>
  <c r="F55" s="1"/>
  <c r="M37"/>
  <c r="G37"/>
  <c r="F37"/>
  <c r="M36"/>
  <c r="F36"/>
  <c r="M35"/>
  <c r="G35"/>
  <c r="F35"/>
  <c r="M34"/>
  <c r="G34"/>
  <c r="F34"/>
  <c r="M33"/>
  <c r="F33"/>
  <c r="M32"/>
  <c r="G32"/>
  <c r="F32"/>
  <c r="M31"/>
  <c r="G31"/>
  <c r="F31"/>
  <c r="M30"/>
  <c r="G30"/>
  <c r="F30"/>
  <c r="M29"/>
  <c r="G29"/>
  <c r="F29"/>
  <c r="M28"/>
  <c r="G28"/>
  <c r="F28"/>
  <c r="M27"/>
  <c r="F27"/>
  <c r="M26"/>
  <c r="F26"/>
  <c r="M25"/>
  <c r="G25"/>
  <c r="F25"/>
  <c r="M24"/>
  <c r="G24"/>
  <c r="F24"/>
  <c r="K23"/>
  <c r="M23" s="1"/>
  <c r="G23"/>
  <c r="F23"/>
  <c r="M22"/>
  <c r="K22"/>
  <c r="G22"/>
  <c r="F22"/>
  <c r="M21"/>
  <c r="F21"/>
  <c r="M20"/>
  <c r="F20"/>
  <c r="M19"/>
  <c r="K19"/>
  <c r="G19"/>
  <c r="F19"/>
  <c r="M18"/>
  <c r="G18"/>
  <c r="F18"/>
  <c r="M17"/>
  <c r="G17"/>
  <c r="F17"/>
  <c r="M16"/>
  <c r="K16"/>
  <c r="F16"/>
  <c r="M15"/>
  <c r="F15"/>
  <c r="M14"/>
  <c r="F14"/>
  <c r="M13"/>
  <c r="K13"/>
  <c r="F13"/>
  <c r="F56" s="1"/>
  <c r="G56" s="1"/>
  <c r="M12"/>
  <c r="K12"/>
  <c r="F12"/>
  <c r="M11"/>
  <c r="F11"/>
  <c r="M10"/>
  <c r="G10"/>
  <c r="F10"/>
  <c r="M9"/>
  <c r="G9"/>
  <c r="F9"/>
  <c r="F58" s="1"/>
  <c r="G58" s="1"/>
  <c r="M8"/>
  <c r="G8"/>
  <c r="F8"/>
  <c r="K7"/>
  <c r="M7" s="1"/>
  <c r="G7"/>
  <c r="F7"/>
  <c r="M6"/>
  <c r="G6"/>
  <c r="F6"/>
  <c r="K5"/>
  <c r="M5" s="1"/>
  <c r="G5"/>
  <c r="F5"/>
  <c r="F54" s="1"/>
  <c r="G54" s="1"/>
  <c r="M4"/>
  <c r="G4"/>
  <c r="F4"/>
  <c r="M3"/>
  <c r="G3"/>
  <c r="F3"/>
  <c r="F53" s="1"/>
  <c r="G53" l="1"/>
  <c r="F59"/>
  <c r="G59" l="1"/>
  <c r="H53" s="1"/>
  <c r="M68" i="11"/>
  <c r="G68"/>
  <c r="F68"/>
  <c r="M67"/>
  <c r="G67"/>
  <c r="F67"/>
  <c r="M66"/>
  <c r="G66"/>
  <c r="F66"/>
  <c r="H58" i="37" l="1"/>
  <c r="H54"/>
  <c r="H56"/>
  <c r="G32" i="27" l="1"/>
  <c r="F32"/>
  <c r="M32"/>
  <c r="I157" i="36" l="1"/>
  <c r="O125"/>
  <c r="K145"/>
  <c r="I145"/>
  <c r="K142"/>
  <c r="N141"/>
  <c r="O141" s="1"/>
  <c r="K141"/>
  <c r="K140"/>
  <c r="N140" s="1"/>
  <c r="N139"/>
  <c r="K139"/>
  <c r="O139" s="1"/>
  <c r="K136"/>
  <c r="I136"/>
  <c r="K135"/>
  <c r="N135" s="1"/>
  <c r="N134"/>
  <c r="K134"/>
  <c r="O134" s="1"/>
  <c r="K133"/>
  <c r="N132"/>
  <c r="K132"/>
  <c r="O132" s="1"/>
  <c r="K131"/>
  <c r="N131" s="1"/>
  <c r="N130"/>
  <c r="K130"/>
  <c r="O130" s="1"/>
  <c r="K129"/>
  <c r="N128"/>
  <c r="K128"/>
  <c r="O128" s="1"/>
  <c r="I125"/>
  <c r="K124"/>
  <c r="K125" s="1"/>
  <c r="N125" s="1"/>
  <c r="K123"/>
  <c r="K120"/>
  <c r="I120"/>
  <c r="K119"/>
  <c r="K118"/>
  <c r="K117"/>
  <c r="N116"/>
  <c r="K116"/>
  <c r="O116" s="1"/>
  <c r="C114"/>
  <c r="E113"/>
  <c r="N112"/>
  <c r="K112"/>
  <c r="O112" s="1"/>
  <c r="E112"/>
  <c r="N111"/>
  <c r="K111"/>
  <c r="O111" s="1"/>
  <c r="E111"/>
  <c r="N110"/>
  <c r="K110"/>
  <c r="O110" s="1"/>
  <c r="E110"/>
  <c r="E114" s="1"/>
  <c r="I109"/>
  <c r="I113" s="1"/>
  <c r="E109"/>
  <c r="K108"/>
  <c r="N108" s="1"/>
  <c r="E108"/>
  <c r="K107"/>
  <c r="N107" s="1"/>
  <c r="E107"/>
  <c r="K106"/>
  <c r="K105"/>
  <c r="K104"/>
  <c r="K113" s="1"/>
  <c r="C104"/>
  <c r="K103"/>
  <c r="E103"/>
  <c r="E102"/>
  <c r="E101"/>
  <c r="I100"/>
  <c r="E100"/>
  <c r="K99"/>
  <c r="E99"/>
  <c r="E104" s="1"/>
  <c r="K98"/>
  <c r="K97"/>
  <c r="K96"/>
  <c r="C96"/>
  <c r="K95"/>
  <c r="E95"/>
  <c r="K94"/>
  <c r="E94"/>
  <c r="K93"/>
  <c r="E93"/>
  <c r="K92"/>
  <c r="E92"/>
  <c r="K91"/>
  <c r="E91"/>
  <c r="K90"/>
  <c r="E90"/>
  <c r="K89"/>
  <c r="E89"/>
  <c r="E96" s="1"/>
  <c r="K88"/>
  <c r="K87"/>
  <c r="K86"/>
  <c r="K100" s="1"/>
  <c r="C86"/>
  <c r="I148" s="1"/>
  <c r="E85"/>
  <c r="E84"/>
  <c r="E83"/>
  <c r="E82"/>
  <c r="K81"/>
  <c r="E81"/>
  <c r="K80"/>
  <c r="I80"/>
  <c r="E80"/>
  <c r="K79"/>
  <c r="E79"/>
  <c r="K78"/>
  <c r="E78"/>
  <c r="E86" s="1"/>
  <c r="I77"/>
  <c r="I82" s="1"/>
  <c r="K76"/>
  <c r="K75"/>
  <c r="C75"/>
  <c r="K74"/>
  <c r="E74"/>
  <c r="K73"/>
  <c r="E73"/>
  <c r="K72"/>
  <c r="E72"/>
  <c r="K71"/>
  <c r="E71"/>
  <c r="E75" s="1"/>
  <c r="K70"/>
  <c r="K69"/>
  <c r="K68"/>
  <c r="C68"/>
  <c r="K67"/>
  <c r="E67"/>
  <c r="K66"/>
  <c r="E66"/>
  <c r="K65"/>
  <c r="E65"/>
  <c r="E64"/>
  <c r="E63"/>
  <c r="E62"/>
  <c r="E61"/>
  <c r="E60"/>
  <c r="K59"/>
  <c r="E59"/>
  <c r="K58"/>
  <c r="E58"/>
  <c r="K57"/>
  <c r="E57"/>
  <c r="E68" s="1"/>
  <c r="K56"/>
  <c r="K55"/>
  <c r="K54"/>
  <c r="E54"/>
  <c r="C54"/>
  <c r="K53"/>
  <c r="E53"/>
  <c r="K52"/>
  <c r="E52"/>
  <c r="K51"/>
  <c r="E51"/>
  <c r="K50"/>
  <c r="E50"/>
  <c r="K49"/>
  <c r="E49"/>
  <c r="K48"/>
  <c r="E48"/>
  <c r="K47"/>
  <c r="K46"/>
  <c r="K45"/>
  <c r="I45"/>
  <c r="I60" s="1"/>
  <c r="C45"/>
  <c r="K44"/>
  <c r="K60" s="1"/>
  <c r="E44"/>
  <c r="E43"/>
  <c r="E42"/>
  <c r="I41"/>
  <c r="E41"/>
  <c r="K40"/>
  <c r="E40"/>
  <c r="K39"/>
  <c r="E39"/>
  <c r="K38"/>
  <c r="E38"/>
  <c r="K37"/>
  <c r="E37"/>
  <c r="E45" s="1"/>
  <c r="K36"/>
  <c r="K35"/>
  <c r="K34"/>
  <c r="E34"/>
  <c r="C34"/>
  <c r="K33"/>
  <c r="E33"/>
  <c r="K32"/>
  <c r="E32"/>
  <c r="K31"/>
  <c r="K41" s="1"/>
  <c r="K30"/>
  <c r="C29"/>
  <c r="K27"/>
  <c r="I27"/>
  <c r="E27"/>
  <c r="K26"/>
  <c r="E25"/>
  <c r="I23"/>
  <c r="E23"/>
  <c r="K22"/>
  <c r="K21"/>
  <c r="E21"/>
  <c r="E29" s="1"/>
  <c r="K20"/>
  <c r="K19"/>
  <c r="E19"/>
  <c r="K18"/>
  <c r="K17"/>
  <c r="K16"/>
  <c r="C16"/>
  <c r="K15"/>
  <c r="K23" s="1"/>
  <c r="E14"/>
  <c r="I12"/>
  <c r="E12"/>
  <c r="K11"/>
  <c r="K10"/>
  <c r="E10"/>
  <c r="K9"/>
  <c r="K12" s="1"/>
  <c r="E8"/>
  <c r="I6"/>
  <c r="E6"/>
  <c r="K5"/>
  <c r="K4"/>
  <c r="K6" s="1"/>
  <c r="E4"/>
  <c r="E16" s="1"/>
  <c r="K148" l="1"/>
  <c r="L148" s="1"/>
  <c r="O129"/>
  <c r="I156"/>
  <c r="O142"/>
  <c r="N129"/>
  <c r="N133"/>
  <c r="O133" s="1"/>
  <c r="N142"/>
  <c r="O107"/>
  <c r="O108"/>
  <c r="O131"/>
  <c r="O135"/>
  <c r="O140"/>
  <c r="K77"/>
  <c r="K82" s="1"/>
  <c r="L149" s="1"/>
  <c r="K109"/>
  <c r="K152" l="1"/>
  <c r="K153" s="1"/>
  <c r="K154" s="1"/>
  <c r="K155"/>
  <c r="K158" s="1"/>
  <c r="N109"/>
  <c r="O109"/>
  <c r="J31" i="27" l="1"/>
  <c r="J62" i="11"/>
  <c r="J58"/>
  <c r="H72" i="27" l="1"/>
  <c r="G72"/>
  <c r="F72"/>
  <c r="E72"/>
  <c r="E71" i="11"/>
  <c r="H11" i="7" l="1"/>
  <c r="E11"/>
  <c r="E50"/>
  <c r="E40"/>
  <c r="H50"/>
  <c r="H40"/>
  <c r="M62" i="11"/>
  <c r="M63"/>
  <c r="M64"/>
  <c r="M65"/>
  <c r="E72"/>
  <c r="E36" i="27"/>
  <c r="E35"/>
  <c r="F65" i="11"/>
  <c r="F64"/>
  <c r="G63"/>
  <c r="F63"/>
  <c r="F62"/>
  <c r="F31" i="27"/>
  <c r="M31"/>
  <c r="H47" i="7" l="1"/>
  <c r="H48"/>
  <c r="E48"/>
  <c r="E47"/>
  <c r="D61"/>
  <c r="D57"/>
  <c r="D16"/>
  <c r="H42" l="1"/>
  <c r="E42"/>
  <c r="H34"/>
  <c r="E34"/>
  <c r="H41"/>
  <c r="E41"/>
  <c r="H44"/>
  <c r="E44"/>
  <c r="H43"/>
  <c r="E43"/>
  <c r="H45"/>
  <c r="E45"/>
  <c r="H37"/>
  <c r="E37"/>
  <c r="E61" s="1"/>
  <c r="H36"/>
  <c r="E36"/>
  <c r="H46"/>
  <c r="E46"/>
  <c r="G30" i="27"/>
  <c r="F30"/>
  <c r="H36" s="1"/>
  <c r="M30"/>
  <c r="G36" s="1"/>
  <c r="E12" i="8"/>
  <c r="H29" i="7" l="1"/>
  <c r="E29"/>
  <c r="H10" l="1"/>
  <c r="E10"/>
  <c r="H39"/>
  <c r="E39"/>
  <c r="E49" l="1"/>
  <c r="H49"/>
  <c r="H9"/>
  <c r="E9"/>
  <c r="G61" i="11"/>
  <c r="F61"/>
  <c r="F58" l="1"/>
  <c r="G60"/>
  <c r="F60"/>
  <c r="M60"/>
  <c r="E11" i="8"/>
  <c r="JI63" i="17"/>
  <c r="JI72"/>
  <c r="JH58"/>
  <c r="JG75"/>
  <c r="JG63" l="1"/>
  <c r="JG60"/>
  <c r="JF72"/>
  <c r="JF74"/>
  <c r="JF58"/>
  <c r="JF93"/>
  <c r="JE72"/>
  <c r="JE56"/>
  <c r="JE63"/>
  <c r="JF103"/>
  <c r="JG103"/>
  <c r="JH103"/>
  <c r="JI103"/>
  <c r="JE103"/>
  <c r="JB72"/>
  <c r="JB59"/>
  <c r="JB68"/>
  <c r="JB79"/>
  <c r="JB60"/>
  <c r="JA59"/>
  <c r="JA65"/>
  <c r="IZ81"/>
  <c r="IZ71"/>
  <c r="IY75"/>
  <c r="IX73"/>
  <c r="IX62"/>
  <c r="IV72"/>
  <c r="IV59"/>
  <c r="IV63"/>
  <c r="IU63"/>
  <c r="IU56"/>
  <c r="IT75"/>
  <c r="IT71"/>
  <c r="IS75" l="1"/>
  <c r="IS60"/>
  <c r="IR72"/>
  <c r="IP75" l="1"/>
  <c r="IP72"/>
  <c r="IP69"/>
  <c r="IO74"/>
  <c r="IO80"/>
  <c r="IN62"/>
  <c r="IN75"/>
  <c r="IN63"/>
  <c r="IL74"/>
  <c r="IK68"/>
  <c r="IK59"/>
  <c r="IK58"/>
  <c r="IJ68"/>
  <c r="IJ63"/>
  <c r="II58" l="1"/>
  <c r="II63"/>
  <c r="II56"/>
  <c r="II93"/>
  <c r="IH75"/>
  <c r="IH63"/>
  <c r="IF75"/>
  <c r="IF60"/>
  <c r="IE75"/>
  <c r="IE72"/>
  <c r="IE58"/>
  <c r="IE60"/>
  <c r="JI99"/>
  <c r="IY100"/>
  <c r="IY103"/>
  <c r="IZ103"/>
  <c r="JA103"/>
  <c r="JB103"/>
  <c r="IX103"/>
  <c r="IS103"/>
  <c r="IT103"/>
  <c r="IU103"/>
  <c r="IV103"/>
  <c r="IR103"/>
  <c r="JD101"/>
  <c r="JD105"/>
  <c r="JD99"/>
  <c r="IQ100"/>
  <c r="IW100"/>
  <c r="JC100"/>
  <c r="JD100" s="1"/>
  <c r="IQ101"/>
  <c r="IW101"/>
  <c r="JC101"/>
  <c r="IQ102"/>
  <c r="IW102"/>
  <c r="JD102" s="1"/>
  <c r="JC102"/>
  <c r="IQ103"/>
  <c r="IQ104"/>
  <c r="IW104"/>
  <c r="JC104"/>
  <c r="JD104" s="1"/>
  <c r="IQ105"/>
  <c r="IW105"/>
  <c r="JC105"/>
  <c r="IM100"/>
  <c r="IM101"/>
  <c r="IM102"/>
  <c r="IM103"/>
  <c r="IM104"/>
  <c r="IM105"/>
  <c r="IG100"/>
  <c r="IG101"/>
  <c r="IG102"/>
  <c r="IG103"/>
  <c r="IG104"/>
  <c r="IG105"/>
  <c r="IJ104"/>
  <c r="JD55"/>
  <c r="JD57"/>
  <c r="JD61"/>
  <c r="JD66"/>
  <c r="JD70"/>
  <c r="JD78"/>
  <c r="JD84"/>
  <c r="JD87"/>
  <c r="JD92"/>
  <c r="JD94"/>
  <c r="JD96"/>
  <c r="JI160"/>
  <c r="JH162"/>
  <c r="JH160"/>
  <c r="JD253"/>
  <c r="JG162"/>
  <c r="JG177"/>
  <c r="JG147"/>
  <c r="JE162"/>
  <c r="JE146"/>
  <c r="JE160"/>
  <c r="JE182"/>
  <c r="JB162"/>
  <c r="JB155"/>
  <c r="JA152"/>
  <c r="IZ158"/>
  <c r="IZ178"/>
  <c r="IY162"/>
  <c r="IX162"/>
  <c r="IV162"/>
  <c r="IU160"/>
  <c r="IS162"/>
  <c r="IR160"/>
  <c r="IR178"/>
  <c r="IP162"/>
  <c r="IP160"/>
  <c r="IP156"/>
  <c r="IO167"/>
  <c r="IO143"/>
  <c r="IN162"/>
  <c r="IN159"/>
  <c r="IN160"/>
  <c r="IN151"/>
  <c r="IN155"/>
  <c r="IL162"/>
  <c r="IL159"/>
  <c r="IK162"/>
  <c r="IK145"/>
  <c r="JC103" l="1"/>
  <c r="IW103"/>
  <c r="JD103" s="1"/>
  <c r="IJ162"/>
  <c r="IJ156"/>
  <c r="II160"/>
  <c r="IH162"/>
  <c r="IH160"/>
  <c r="IH150"/>
  <c r="IF160"/>
  <c r="IF145"/>
  <c r="IE162" l="1"/>
  <c r="JH188"/>
  <c r="IZ188"/>
  <c r="JC188" s="1"/>
  <c r="IZ187"/>
  <c r="JC187"/>
  <c r="JD187" s="1"/>
  <c r="JD142"/>
  <c r="JD144"/>
  <c r="JD157"/>
  <c r="JD161"/>
  <c r="JD163"/>
  <c r="JD164"/>
  <c r="JD166"/>
  <c r="JD171"/>
  <c r="JD174"/>
  <c r="JD175"/>
  <c r="JD181"/>
  <c r="JD183"/>
  <c r="JD189"/>
  <c r="JD190"/>
  <c r="JD191"/>
  <c r="JD186"/>
  <c r="JC189"/>
  <c r="JC190"/>
  <c r="JC191"/>
  <c r="IW187"/>
  <c r="IW188"/>
  <c r="IW189"/>
  <c r="IW190"/>
  <c r="IW191"/>
  <c r="IQ187"/>
  <c r="IQ188"/>
  <c r="IQ189"/>
  <c r="IQ190"/>
  <c r="IQ191"/>
  <c r="IM187"/>
  <c r="IM188"/>
  <c r="IM189"/>
  <c r="IM190"/>
  <c r="IM191"/>
  <c r="IG187"/>
  <c r="IG188"/>
  <c r="IG189"/>
  <c r="IG190"/>
  <c r="IG191"/>
  <c r="JF189"/>
  <c r="JG189"/>
  <c r="JH189"/>
  <c r="JI189"/>
  <c r="IY189"/>
  <c r="IZ189"/>
  <c r="JA189"/>
  <c r="JB189"/>
  <c r="IS189"/>
  <c r="IT189"/>
  <c r="IU189"/>
  <c r="IV189"/>
  <c r="IO189"/>
  <c r="IP189"/>
  <c r="II189"/>
  <c r="IJ189"/>
  <c r="IK189"/>
  <c r="IL189"/>
  <c r="JE189"/>
  <c r="IX189"/>
  <c r="IR189"/>
  <c r="IN189"/>
  <c r="IH189"/>
  <c r="IF189"/>
  <c r="IE189"/>
  <c r="JF253"/>
  <c r="JG253"/>
  <c r="JH253"/>
  <c r="JJ253" s="1"/>
  <c r="JI253"/>
  <c r="IW253"/>
  <c r="IW254"/>
  <c r="IS253"/>
  <c r="IT253"/>
  <c r="IU253"/>
  <c r="IV253"/>
  <c r="IS254"/>
  <c r="IT254"/>
  <c r="IU254"/>
  <c r="IV254"/>
  <c r="IR254"/>
  <c r="IQ253"/>
  <c r="IQ254"/>
  <c r="IO253"/>
  <c r="IP253"/>
  <c r="IO254"/>
  <c r="IP254"/>
  <c r="IN254"/>
  <c r="IM253"/>
  <c r="IM254"/>
  <c r="II253"/>
  <c r="IJ253"/>
  <c r="IK253"/>
  <c r="IL253"/>
  <c r="IG253"/>
  <c r="IF253"/>
  <c r="IE253"/>
  <c r="IH253"/>
  <c r="IN253"/>
  <c r="IR253"/>
  <c r="JE253"/>
  <c r="JC254"/>
  <c r="JC253"/>
  <c r="IY254"/>
  <c r="IZ254"/>
  <c r="JA254"/>
  <c r="JB254"/>
  <c r="IX254"/>
  <c r="IY253"/>
  <c r="IZ253"/>
  <c r="JA253"/>
  <c r="JB253"/>
  <c r="IX253"/>
  <c r="JD205"/>
  <c r="JD200"/>
  <c r="JD201"/>
  <c r="JD202"/>
  <c r="JD199"/>
  <c r="IU199"/>
  <c r="IP186"/>
  <c r="JD119"/>
  <c r="JD115"/>
  <c r="JD116"/>
  <c r="JD113"/>
  <c r="JA119"/>
  <c r="IR113"/>
  <c r="IJ99"/>
  <c r="JI127"/>
  <c r="JD128"/>
  <c r="JD129"/>
  <c r="JD130"/>
  <c r="JD133"/>
  <c r="JD127"/>
  <c r="JA129"/>
  <c r="JJ128"/>
  <c r="JJ129"/>
  <c r="JJ130"/>
  <c r="IP137"/>
  <c r="IP223"/>
  <c r="JJ219"/>
  <c r="JJ214"/>
  <c r="JJ215"/>
  <c r="JJ216"/>
  <c r="JJ213"/>
  <c r="JD214"/>
  <c r="JD216"/>
  <c r="JJ55"/>
  <c r="JJ56"/>
  <c r="JJ57"/>
  <c r="JJ58"/>
  <c r="JJ59"/>
  <c r="JJ60"/>
  <c r="JJ61"/>
  <c r="JJ62"/>
  <c r="JJ63"/>
  <c r="JJ64"/>
  <c r="JJ65"/>
  <c r="JJ66"/>
  <c r="JJ67"/>
  <c r="JJ68"/>
  <c r="JJ69"/>
  <c r="JJ70"/>
  <c r="JJ71"/>
  <c r="JJ72"/>
  <c r="JJ73"/>
  <c r="JJ74"/>
  <c r="JJ75"/>
  <c r="JJ76"/>
  <c r="JJ77"/>
  <c r="JJ78"/>
  <c r="JJ79"/>
  <c r="JJ80"/>
  <c r="JJ81"/>
  <c r="JJ82"/>
  <c r="JJ83"/>
  <c r="JJ84"/>
  <c r="JJ85"/>
  <c r="JJ86"/>
  <c r="JJ87"/>
  <c r="JJ88"/>
  <c r="JJ89"/>
  <c r="JJ90"/>
  <c r="JJ91"/>
  <c r="JJ92"/>
  <c r="JJ93"/>
  <c r="JJ94"/>
  <c r="JJ95"/>
  <c r="JB26"/>
  <c r="IU11"/>
  <c r="IP26"/>
  <c r="IE9"/>
  <c r="IX13"/>
  <c r="IS8"/>
  <c r="IN13"/>
  <c r="IN15"/>
  <c r="IJ26"/>
  <c r="IE8"/>
  <c r="JH46"/>
  <c r="JH45"/>
  <c r="JH37"/>
  <c r="JH30"/>
  <c r="JG46"/>
  <c r="JG37"/>
  <c r="JG30"/>
  <c r="JF46"/>
  <c r="JJ46" s="1"/>
  <c r="KD46" s="1"/>
  <c r="JF45"/>
  <c r="JF37"/>
  <c r="JF33"/>
  <c r="JJ33" s="1"/>
  <c r="KD33" s="1"/>
  <c r="JF32"/>
  <c r="JF30"/>
  <c r="JE46"/>
  <c r="JE45"/>
  <c r="KD41"/>
  <c r="KD6"/>
  <c r="KD7"/>
  <c r="KD9"/>
  <c r="KD10"/>
  <c r="KD11"/>
  <c r="KD12"/>
  <c r="KD13"/>
  <c r="KD14"/>
  <c r="KD15"/>
  <c r="KD17"/>
  <c r="KD19"/>
  <c r="KD21"/>
  <c r="KD22"/>
  <c r="KD23"/>
  <c r="KD24"/>
  <c r="KD25"/>
  <c r="KD26"/>
  <c r="KD27"/>
  <c r="KD28"/>
  <c r="KD29"/>
  <c r="KD31"/>
  <c r="KD35"/>
  <c r="KD36"/>
  <c r="KA48"/>
  <c r="KA39"/>
  <c r="KA4"/>
  <c r="JJ41"/>
  <c r="JP41"/>
  <c r="JV41"/>
  <c r="KC41"/>
  <c r="JJ42"/>
  <c r="JP42"/>
  <c r="JV42"/>
  <c r="KC42"/>
  <c r="JJ43"/>
  <c r="KD43" s="1"/>
  <c r="JP43"/>
  <c r="JV43"/>
  <c r="KC43"/>
  <c r="JJ44"/>
  <c r="KD44" s="1"/>
  <c r="JP44"/>
  <c r="JV44"/>
  <c r="KC44"/>
  <c r="JP45"/>
  <c r="JV45"/>
  <c r="KC45"/>
  <c r="JP46"/>
  <c r="JV46"/>
  <c r="KC46"/>
  <c r="JJ6"/>
  <c r="JP6"/>
  <c r="JV6"/>
  <c r="KC6"/>
  <c r="JJ7"/>
  <c r="JP7"/>
  <c r="JV7"/>
  <c r="KC7"/>
  <c r="JJ8"/>
  <c r="KD8" s="1"/>
  <c r="JP8"/>
  <c r="JV8"/>
  <c r="KC8"/>
  <c r="JJ9"/>
  <c r="JP9"/>
  <c r="JV9"/>
  <c r="KC9"/>
  <c r="JJ10"/>
  <c r="JP10"/>
  <c r="JV10"/>
  <c r="KC10"/>
  <c r="JJ11"/>
  <c r="JP11"/>
  <c r="JV11"/>
  <c r="KC11"/>
  <c r="JJ12"/>
  <c r="JP12"/>
  <c r="JV12"/>
  <c r="KC12"/>
  <c r="JJ13"/>
  <c r="JP13"/>
  <c r="JV13"/>
  <c r="KC13"/>
  <c r="JJ14"/>
  <c r="JP14"/>
  <c r="JV14"/>
  <c r="KC14"/>
  <c r="JJ15"/>
  <c r="JP15"/>
  <c r="JV15"/>
  <c r="KC15"/>
  <c r="JJ16"/>
  <c r="KD16" s="1"/>
  <c r="JP16"/>
  <c r="JV16"/>
  <c r="KC16"/>
  <c r="JJ17"/>
  <c r="JP17"/>
  <c r="JV17"/>
  <c r="KC17"/>
  <c r="JJ18"/>
  <c r="KD18" s="1"/>
  <c r="JP18"/>
  <c r="JV18"/>
  <c r="KC18"/>
  <c r="JJ19"/>
  <c r="JP19"/>
  <c r="JV19"/>
  <c r="KC19"/>
  <c r="JJ20"/>
  <c r="KD20" s="1"/>
  <c r="JP20"/>
  <c r="JV20"/>
  <c r="KC20"/>
  <c r="JJ21"/>
  <c r="JP21"/>
  <c r="JV21"/>
  <c r="KC21"/>
  <c r="JJ22"/>
  <c r="JP22"/>
  <c r="JV22"/>
  <c r="KC22"/>
  <c r="JJ23"/>
  <c r="JP23"/>
  <c r="JV23"/>
  <c r="KC23"/>
  <c r="JJ24"/>
  <c r="JP24"/>
  <c r="JV24"/>
  <c r="KC24"/>
  <c r="JJ25"/>
  <c r="JP25"/>
  <c r="JV25"/>
  <c r="KC25"/>
  <c r="JJ26"/>
  <c r="JP26"/>
  <c r="JV26"/>
  <c r="KC26"/>
  <c r="JJ27"/>
  <c r="JP27"/>
  <c r="JV27"/>
  <c r="KC27"/>
  <c r="JJ28"/>
  <c r="JP28"/>
  <c r="JV28"/>
  <c r="KC28"/>
  <c r="JJ29"/>
  <c r="JP29"/>
  <c r="JV29"/>
  <c r="KC29"/>
  <c r="JP30"/>
  <c r="JV30"/>
  <c r="KC30"/>
  <c r="JJ31"/>
  <c r="JP31"/>
  <c r="JV31"/>
  <c r="KC31"/>
  <c r="JJ32"/>
  <c r="KD32" s="1"/>
  <c r="JP32"/>
  <c r="JV32"/>
  <c r="KC32"/>
  <c r="JP33"/>
  <c r="JV33"/>
  <c r="KC33"/>
  <c r="JJ34"/>
  <c r="KD34" s="1"/>
  <c r="JP34"/>
  <c r="JV34"/>
  <c r="KC34"/>
  <c r="JJ35"/>
  <c r="JP35"/>
  <c r="JV35"/>
  <c r="KC35"/>
  <c r="JJ36"/>
  <c r="JP36"/>
  <c r="JV36"/>
  <c r="KC36"/>
  <c r="JP37"/>
  <c r="JV37"/>
  <c r="KC37"/>
  <c r="JB46"/>
  <c r="JA46"/>
  <c r="JA45"/>
  <c r="JA37"/>
  <c r="JA30"/>
  <c r="IZ46"/>
  <c r="IZ45"/>
  <c r="IZ37"/>
  <c r="IZ30"/>
  <c r="IY46"/>
  <c r="IY45"/>
  <c r="IY37"/>
  <c r="IY30"/>
  <c r="IX46"/>
  <c r="IX37"/>
  <c r="IX30"/>
  <c r="IV46"/>
  <c r="IV45"/>
  <c r="IU46"/>
  <c r="IU45"/>
  <c r="IU37"/>
  <c r="IU30"/>
  <c r="IS46"/>
  <c r="IS45"/>
  <c r="IR46"/>
  <c r="IR37"/>
  <c r="IR30"/>
  <c r="IP46"/>
  <c r="IP30"/>
  <c r="IO30"/>
  <c r="IP37"/>
  <c r="IQ37" s="1"/>
  <c r="IO37"/>
  <c r="IN46"/>
  <c r="IN45"/>
  <c r="IL46"/>
  <c r="IL45"/>
  <c r="IL37"/>
  <c r="IL30"/>
  <c r="IK45"/>
  <c r="IK37"/>
  <c r="IK30"/>
  <c r="IJ46"/>
  <c r="IJ45"/>
  <c r="IM45" s="1"/>
  <c r="IJ37"/>
  <c r="IJ30"/>
  <c r="II45"/>
  <c r="IH46"/>
  <c r="IH37"/>
  <c r="IH45"/>
  <c r="IH30"/>
  <c r="IH28"/>
  <c r="IF46"/>
  <c r="IF37"/>
  <c r="IF45"/>
  <c r="IF30"/>
  <c r="IE46"/>
  <c r="IG46" s="1"/>
  <c r="IE37"/>
  <c r="IG37" s="1"/>
  <c r="IE45"/>
  <c r="IE32"/>
  <c r="IE30"/>
  <c r="JD5"/>
  <c r="JD6"/>
  <c r="JD7"/>
  <c r="JD10"/>
  <c r="JD14"/>
  <c r="JD16"/>
  <c r="JD17"/>
  <c r="JD18"/>
  <c r="JD19"/>
  <c r="JD23"/>
  <c r="JD35"/>
  <c r="JC41"/>
  <c r="JC42"/>
  <c r="JC43"/>
  <c r="JC44"/>
  <c r="JC45"/>
  <c r="JC6"/>
  <c r="JC7"/>
  <c r="JC8"/>
  <c r="JC9"/>
  <c r="JC10"/>
  <c r="JC11"/>
  <c r="JC12"/>
  <c r="JC13"/>
  <c r="JC14"/>
  <c r="JC15"/>
  <c r="JC16"/>
  <c r="JC17"/>
  <c r="JC18"/>
  <c r="JC19"/>
  <c r="JC20"/>
  <c r="JC21"/>
  <c r="JC22"/>
  <c r="JC23"/>
  <c r="JC24"/>
  <c r="JC25"/>
  <c r="JC26"/>
  <c r="JC27"/>
  <c r="JC28"/>
  <c r="JC29"/>
  <c r="JC30"/>
  <c r="JC31"/>
  <c r="JC32"/>
  <c r="JC33"/>
  <c r="JC34"/>
  <c r="JC35"/>
  <c r="JC36"/>
  <c r="JD36" s="1"/>
  <c r="JC37"/>
  <c r="IW41"/>
  <c r="IW42"/>
  <c r="IW43"/>
  <c r="IW44"/>
  <c r="IW45"/>
  <c r="IW6"/>
  <c r="IW7"/>
  <c r="IW8"/>
  <c r="IW9"/>
  <c r="IW10"/>
  <c r="IW11"/>
  <c r="IW12"/>
  <c r="IW13"/>
  <c r="IW14"/>
  <c r="IW15"/>
  <c r="IW16"/>
  <c r="IW17"/>
  <c r="IW18"/>
  <c r="IW19"/>
  <c r="IW20"/>
  <c r="IW21"/>
  <c r="IW22"/>
  <c r="IW23"/>
  <c r="IW24"/>
  <c r="IW25"/>
  <c r="IW26"/>
  <c r="IW27"/>
  <c r="IW28"/>
  <c r="IW29"/>
  <c r="IW30"/>
  <c r="IW31"/>
  <c r="IW32"/>
  <c r="IW33"/>
  <c r="IW34"/>
  <c r="IW35"/>
  <c r="IW36"/>
  <c r="IW37"/>
  <c r="IQ41"/>
  <c r="IQ42"/>
  <c r="IQ43"/>
  <c r="IQ44"/>
  <c r="IQ45"/>
  <c r="IQ46"/>
  <c r="IQ6"/>
  <c r="IQ7"/>
  <c r="IQ8"/>
  <c r="IQ9"/>
  <c r="IQ10"/>
  <c r="IQ11"/>
  <c r="IQ12"/>
  <c r="JD12" s="1"/>
  <c r="IQ13"/>
  <c r="IQ14"/>
  <c r="IQ15"/>
  <c r="JD15" s="1"/>
  <c r="IQ16"/>
  <c r="IQ17"/>
  <c r="IQ18"/>
  <c r="IQ19"/>
  <c r="IQ20"/>
  <c r="IQ21"/>
  <c r="IQ22"/>
  <c r="JD22" s="1"/>
  <c r="IQ23"/>
  <c r="IQ24"/>
  <c r="IQ25"/>
  <c r="JD25" s="1"/>
  <c r="IQ26"/>
  <c r="IQ27"/>
  <c r="IQ28"/>
  <c r="IQ29"/>
  <c r="IQ30"/>
  <c r="IQ32"/>
  <c r="IQ33"/>
  <c r="IQ34"/>
  <c r="IQ35"/>
  <c r="IQ36"/>
  <c r="IM41"/>
  <c r="IM42"/>
  <c r="JD42" s="1"/>
  <c r="IM43"/>
  <c r="IM44"/>
  <c r="IM46"/>
  <c r="IM6"/>
  <c r="IM7"/>
  <c r="IM8"/>
  <c r="IM9"/>
  <c r="IM10"/>
  <c r="IM11"/>
  <c r="IM12"/>
  <c r="IM13"/>
  <c r="IM14"/>
  <c r="IM15"/>
  <c r="IM16"/>
  <c r="IM17"/>
  <c r="IM18"/>
  <c r="IM19"/>
  <c r="IM20"/>
  <c r="IM21"/>
  <c r="IM22"/>
  <c r="IM23"/>
  <c r="IM24"/>
  <c r="IM25"/>
  <c r="IM26"/>
  <c r="IM27"/>
  <c r="IM28"/>
  <c r="JD28" s="1"/>
  <c r="IM29"/>
  <c r="JD29" s="1"/>
  <c r="IM31"/>
  <c r="IM32"/>
  <c r="IM33"/>
  <c r="IM34"/>
  <c r="IM35"/>
  <c r="IM36"/>
  <c r="IM37"/>
  <c r="IG41"/>
  <c r="IG42"/>
  <c r="IG43"/>
  <c r="JD43" s="1"/>
  <c r="IG44"/>
  <c r="IG45"/>
  <c r="IG6"/>
  <c r="IG7"/>
  <c r="IG8"/>
  <c r="IG9"/>
  <c r="IG10"/>
  <c r="IG11"/>
  <c r="IG12"/>
  <c r="IG13"/>
  <c r="IG14"/>
  <c r="IG15"/>
  <c r="IG16"/>
  <c r="IG17"/>
  <c r="IG18"/>
  <c r="IG19"/>
  <c r="IG20"/>
  <c r="IG21"/>
  <c r="IG22"/>
  <c r="IG23"/>
  <c r="IG24"/>
  <c r="IG25"/>
  <c r="IG26"/>
  <c r="IG27"/>
  <c r="IG28"/>
  <c r="IG29"/>
  <c r="IG30"/>
  <c r="IG31"/>
  <c r="IG32"/>
  <c r="JD32" s="1"/>
  <c r="IG33"/>
  <c r="JD33" s="1"/>
  <c r="IG34"/>
  <c r="IG35"/>
  <c r="IG36"/>
  <c r="H8" i="7"/>
  <c r="E8"/>
  <c r="H51"/>
  <c r="D51"/>
  <c r="E51" s="1"/>
  <c r="JD188" i="17" l="1"/>
  <c r="JD24"/>
  <c r="JD21"/>
  <c r="JD13"/>
  <c r="JD11"/>
  <c r="JD26"/>
  <c r="JD20"/>
  <c r="JD27"/>
  <c r="JD9"/>
  <c r="JD8"/>
  <c r="JJ37"/>
  <c r="KD37" s="1"/>
  <c r="JJ30"/>
  <c r="KD30" s="1"/>
  <c r="JJ45"/>
  <c r="KD45" s="1"/>
  <c r="JC46"/>
  <c r="IW46"/>
  <c r="JD41"/>
  <c r="IQ31"/>
  <c r="JD31" s="1"/>
  <c r="JD34"/>
  <c r="IM30"/>
  <c r="JD30" s="1"/>
  <c r="JD44"/>
  <c r="JD45"/>
  <c r="JD46" l="1"/>
  <c r="G57" i="11"/>
  <c r="G59"/>
  <c r="F59"/>
  <c r="F57"/>
  <c r="F56"/>
  <c r="G55"/>
  <c r="F55"/>
  <c r="M55"/>
  <c r="M56"/>
  <c r="M57"/>
  <c r="M58"/>
  <c r="M59"/>
  <c r="M61"/>
  <c r="K39" l="1"/>
  <c r="H38" i="7" l="1"/>
  <c r="E38"/>
  <c r="H35"/>
  <c r="E35"/>
  <c r="H7"/>
  <c r="E7"/>
  <c r="E16" s="1"/>
  <c r="K36" i="11" l="1"/>
  <c r="K33"/>
  <c r="FX13" i="17"/>
  <c r="FX14"/>
  <c r="FX15"/>
  <c r="FX16"/>
  <c r="FX17"/>
  <c r="FX18"/>
  <c r="H30" i="7" l="1"/>
  <c r="E30"/>
  <c r="H33" l="1"/>
  <c r="E33"/>
  <c r="H31"/>
  <c r="E31"/>
  <c r="H32"/>
  <c r="E32"/>
  <c r="LG115" i="17"/>
  <c r="F54" i="11" l="1"/>
  <c r="LG103" i="17"/>
  <c r="KD103"/>
  <c r="LG189"/>
  <c r="KD189"/>
  <c r="LG133" l="1"/>
  <c r="KD133"/>
  <c r="LG163"/>
  <c r="LG76"/>
  <c r="KD76"/>
  <c r="KD100"/>
  <c r="KD104"/>
  <c r="KD99"/>
  <c r="KD113"/>
  <c r="LG187"/>
  <c r="KD199"/>
  <c r="KD119"/>
  <c r="IB63"/>
  <c r="IB72"/>
  <c r="IB75"/>
  <c r="IB79"/>
  <c r="IB58"/>
  <c r="IB65"/>
  <c r="IB68"/>
  <c r="IB92"/>
  <c r="IA75"/>
  <c r="IA72"/>
  <c r="HZ62"/>
  <c r="HX75"/>
  <c r="HW104"/>
  <c r="HW100"/>
  <c r="HY100" s="1"/>
  <c r="HW75"/>
  <c r="HV91"/>
  <c r="HV75"/>
  <c r="HY55"/>
  <c r="HY56"/>
  <c r="HY57"/>
  <c r="HY58"/>
  <c r="HY59"/>
  <c r="HY60"/>
  <c r="IB159"/>
  <c r="IB150"/>
  <c r="IB152"/>
  <c r="IB162"/>
  <c r="IB165"/>
  <c r="IB155"/>
  <c r="IA178"/>
  <c r="HZ182"/>
  <c r="HZ178"/>
  <c r="HX162"/>
  <c r="HX156"/>
  <c r="HX159"/>
  <c r="HX178"/>
  <c r="HW146"/>
  <c r="HW150"/>
  <c r="HV162"/>
  <c r="IC186"/>
  <c r="IC187"/>
  <c r="IC188"/>
  <c r="IC190"/>
  <c r="IC191"/>
  <c r="HY187"/>
  <c r="HY188"/>
  <c r="HY190"/>
  <c r="HY191"/>
  <c r="IC104"/>
  <c r="IC105"/>
  <c r="IC99"/>
  <c r="IC100"/>
  <c r="IC101"/>
  <c r="HY104"/>
  <c r="HY105"/>
  <c r="HY99"/>
  <c r="HY101"/>
  <c r="IA103"/>
  <c r="IB103"/>
  <c r="HW103"/>
  <c r="HX103"/>
  <c r="IA189"/>
  <c r="IB189"/>
  <c r="HW189"/>
  <c r="HX189"/>
  <c r="HZ189"/>
  <c r="IC189" s="1"/>
  <c r="HV189"/>
  <c r="HY189" s="1"/>
  <c r="HZ103"/>
  <c r="IC103" s="1"/>
  <c r="HV103"/>
  <c r="HY103" s="1"/>
  <c r="IC205"/>
  <c r="IC199"/>
  <c r="IC200"/>
  <c r="IC201"/>
  <c r="HV199"/>
  <c r="HY199" s="1"/>
  <c r="HY200"/>
  <c r="HY201"/>
  <c r="HV205"/>
  <c r="IC133"/>
  <c r="IC128"/>
  <c r="IC129"/>
  <c r="IC130"/>
  <c r="IE113"/>
  <c r="IB116"/>
  <c r="IC113"/>
  <c r="IC114"/>
  <c r="IC115"/>
  <c r="IB119"/>
  <c r="IC119" s="1"/>
  <c r="HY119"/>
  <c r="HZ13"/>
  <c r="IB46"/>
  <c r="IB45"/>
  <c r="IB37"/>
  <c r="IB30"/>
  <c r="HZ46"/>
  <c r="HZ37"/>
  <c r="HZ45"/>
  <c r="HZ30"/>
  <c r="HX45"/>
  <c r="HW45"/>
  <c r="HV46"/>
  <c r="HV37"/>
  <c r="HV30"/>
  <c r="H14" i="25"/>
  <c r="F14"/>
  <c r="H22"/>
  <c r="F22"/>
  <c r="H21"/>
  <c r="F21"/>
  <c r="H20"/>
  <c r="F20"/>
  <c r="H19"/>
  <c r="F19"/>
  <c r="H24"/>
  <c r="F24"/>
  <c r="H29"/>
  <c r="F29"/>
  <c r="H28"/>
  <c r="F28"/>
  <c r="H27"/>
  <c r="F27"/>
  <c r="H26"/>
  <c r="F26"/>
  <c r="H25"/>
  <c r="F25"/>
  <c r="H23"/>
  <c r="F23"/>
  <c r="H18"/>
  <c r="F18"/>
  <c r="H17"/>
  <c r="F17"/>
  <c r="H16"/>
  <c r="F16"/>
  <c r="H15"/>
  <c r="F15"/>
  <c r="H13"/>
  <c r="F13"/>
  <c r="H12"/>
  <c r="F12"/>
  <c r="H11"/>
  <c r="F11"/>
  <c r="H10"/>
  <c r="F10"/>
  <c r="H9"/>
  <c r="F9"/>
  <c r="H8"/>
  <c r="F8"/>
  <c r="H7"/>
  <c r="F7"/>
  <c r="H6"/>
  <c r="F6"/>
  <c r="H5"/>
  <c r="F5"/>
  <c r="H120" i="24"/>
  <c r="F120"/>
  <c r="H92"/>
  <c r="F92"/>
  <c r="H91"/>
  <c r="F91"/>
  <c r="H90"/>
  <c r="F90"/>
  <c r="H89"/>
  <c r="F89"/>
  <c r="H88"/>
  <c r="F88"/>
  <c r="H87"/>
  <c r="F87"/>
  <c r="H103"/>
  <c r="F103"/>
  <c r="H111"/>
  <c r="F111"/>
  <c r="H121"/>
  <c r="F121"/>
  <c r="H119"/>
  <c r="F119"/>
  <c r="H86"/>
  <c r="F86"/>
  <c r="H108"/>
  <c r="F108"/>
  <c r="H85"/>
  <c r="F85"/>
  <c r="H84"/>
  <c r="F84"/>
  <c r="H122"/>
  <c r="F122"/>
  <c r="H110"/>
  <c r="F110"/>
  <c r="H83"/>
  <c r="F83"/>
  <c r="H82"/>
  <c r="F82"/>
  <c r="H81"/>
  <c r="F81"/>
  <c r="H80"/>
  <c r="F80"/>
  <c r="H79"/>
  <c r="F79"/>
  <c r="H78"/>
  <c r="F78"/>
  <c r="H77"/>
  <c r="F77"/>
  <c r="H76"/>
  <c r="F76"/>
  <c r="H75"/>
  <c r="F75"/>
  <c r="H65"/>
  <c r="F65"/>
  <c r="H109"/>
  <c r="F109"/>
  <c r="H74"/>
  <c r="F74"/>
  <c r="H123"/>
  <c r="F123"/>
  <c r="H73"/>
  <c r="F73"/>
  <c r="H72"/>
  <c r="F72"/>
  <c r="H71"/>
  <c r="F71"/>
  <c r="H64"/>
  <c r="F64"/>
  <c r="H63"/>
  <c r="F63"/>
  <c r="H62"/>
  <c r="F62"/>
  <c r="H61"/>
  <c r="F61"/>
  <c r="H100"/>
  <c r="F100"/>
  <c r="H101"/>
  <c r="F101"/>
  <c r="H69"/>
  <c r="F69"/>
  <c r="H70"/>
  <c r="F70"/>
  <c r="H94"/>
  <c r="F94"/>
  <c r="H93"/>
  <c r="F93"/>
  <c r="H68"/>
  <c r="F68"/>
  <c r="H60"/>
  <c r="F60"/>
  <c r="H59"/>
  <c r="F59"/>
  <c r="H58"/>
  <c r="F58"/>
  <c r="H57"/>
  <c r="F57"/>
  <c r="H56"/>
  <c r="F56"/>
  <c r="H126"/>
  <c r="F126"/>
  <c r="H125"/>
  <c r="F125"/>
  <c r="H124"/>
  <c r="F124"/>
  <c r="H116"/>
  <c r="F116"/>
  <c r="H118"/>
  <c r="F118"/>
  <c r="H117"/>
  <c r="F117"/>
  <c r="H115"/>
  <c r="F115"/>
  <c r="H114"/>
  <c r="F114"/>
  <c r="H113"/>
  <c r="F113"/>
  <c r="H112"/>
  <c r="F112"/>
  <c r="H105"/>
  <c r="F105"/>
  <c r="H107"/>
  <c r="F107"/>
  <c r="H106"/>
  <c r="F106"/>
  <c r="H104"/>
  <c r="F104"/>
  <c r="H102"/>
  <c r="F102"/>
  <c r="H99"/>
  <c r="F99"/>
  <c r="H98"/>
  <c r="F98"/>
  <c r="H97"/>
  <c r="F97"/>
  <c r="H96"/>
  <c r="F96"/>
  <c r="H95"/>
  <c r="F95"/>
  <c r="H66"/>
  <c r="F66"/>
  <c r="H67"/>
  <c r="F67"/>
  <c r="H55"/>
  <c r="F55"/>
  <c r="H54"/>
  <c r="F54"/>
  <c r="H53"/>
  <c r="F53"/>
  <c r="H52"/>
  <c r="F52"/>
  <c r="H51"/>
  <c r="F51"/>
  <c r="H50"/>
  <c r="F50"/>
  <c r="H49"/>
  <c r="F49"/>
  <c r="H48"/>
  <c r="F48"/>
  <c r="H47"/>
  <c r="F47"/>
  <c r="H46"/>
  <c r="F46"/>
  <c r="H45"/>
  <c r="F45"/>
  <c r="H44"/>
  <c r="F44"/>
  <c r="H43"/>
  <c r="F43"/>
  <c r="H42"/>
  <c r="F42"/>
  <c r="H41"/>
  <c r="F41"/>
  <c r="H40"/>
  <c r="F40"/>
  <c r="H39"/>
  <c r="F39"/>
  <c r="H38"/>
  <c r="F38"/>
  <c r="H37"/>
  <c r="F37"/>
  <c r="H36"/>
  <c r="F36"/>
  <c r="H35"/>
  <c r="F35"/>
  <c r="H34"/>
  <c r="F34"/>
  <c r="H33"/>
  <c r="F33"/>
  <c r="H32"/>
  <c r="F32"/>
  <c r="H31"/>
  <c r="F31"/>
  <c r="H30"/>
  <c r="F30"/>
  <c r="H29"/>
  <c r="F29"/>
  <c r="H28"/>
  <c r="F28"/>
  <c r="H27"/>
  <c r="F27"/>
  <c r="H26"/>
  <c r="F26"/>
  <c r="H25"/>
  <c r="F25"/>
  <c r="H24"/>
  <c r="F24"/>
  <c r="H23"/>
  <c r="F23"/>
  <c r="H22"/>
  <c r="F22"/>
  <c r="H21"/>
  <c r="F21"/>
  <c r="H20"/>
  <c r="F20"/>
  <c r="H19"/>
  <c r="F19"/>
  <c r="H18"/>
  <c r="F18"/>
  <c r="H17"/>
  <c r="F17"/>
  <c r="H16"/>
  <c r="F16"/>
  <c r="H15"/>
  <c r="F15"/>
  <c r="H14"/>
  <c r="F14"/>
  <c r="H13"/>
  <c r="F13"/>
  <c r="H12"/>
  <c r="F12"/>
  <c r="H11"/>
  <c r="F11"/>
  <c r="H10"/>
  <c r="F10"/>
  <c r="H9"/>
  <c r="F9"/>
  <c r="H8"/>
  <c r="F8"/>
  <c r="H7"/>
  <c r="F7"/>
  <c r="H6"/>
  <c r="F6"/>
  <c r="H5"/>
  <c r="F5"/>
  <c r="H73" i="23"/>
  <c r="F73"/>
  <c r="H72"/>
  <c r="F72"/>
  <c r="H71"/>
  <c r="F71"/>
  <c r="H70"/>
  <c r="F70"/>
  <c r="H69"/>
  <c r="F69"/>
  <c r="H89"/>
  <c r="F89"/>
  <c r="H68"/>
  <c r="F68"/>
  <c r="H67"/>
  <c r="F67"/>
  <c r="H66"/>
  <c r="F66"/>
  <c r="H93"/>
  <c r="F93"/>
  <c r="H65"/>
  <c r="F65"/>
  <c r="H64"/>
  <c r="F64"/>
  <c r="H63"/>
  <c r="F63"/>
  <c r="H81"/>
  <c r="F81"/>
  <c r="H62"/>
  <c r="F62"/>
  <c r="H61"/>
  <c r="F61"/>
  <c r="H88"/>
  <c r="F88"/>
  <c r="H101"/>
  <c r="F101"/>
  <c r="H60"/>
  <c r="F60"/>
  <c r="H59"/>
  <c r="F59"/>
  <c r="H92"/>
  <c r="F92"/>
  <c r="H58"/>
  <c r="F58"/>
  <c r="H80"/>
  <c r="F80"/>
  <c r="H99"/>
  <c r="F99"/>
  <c r="H85"/>
  <c r="F85"/>
  <c r="H57"/>
  <c r="F57"/>
  <c r="H56"/>
  <c r="F56"/>
  <c r="H55"/>
  <c r="F55"/>
  <c r="H54"/>
  <c r="F54"/>
  <c r="H79"/>
  <c r="F79"/>
  <c r="H87"/>
  <c r="F87"/>
  <c r="H98"/>
  <c r="F98"/>
  <c r="H53"/>
  <c r="F53"/>
  <c r="H91"/>
  <c r="F91"/>
  <c r="H95"/>
  <c r="F95"/>
  <c r="H90"/>
  <c r="F90"/>
  <c r="H100"/>
  <c r="F100"/>
  <c r="H52"/>
  <c r="F52"/>
  <c r="H97"/>
  <c r="F97"/>
  <c r="H51"/>
  <c r="F51"/>
  <c r="H50"/>
  <c r="F50"/>
  <c r="H43"/>
  <c r="F43"/>
  <c r="H48"/>
  <c r="F48"/>
  <c r="H47"/>
  <c r="F47"/>
  <c r="H46"/>
  <c r="F46"/>
  <c r="H45"/>
  <c r="F45"/>
  <c r="H49"/>
  <c r="F49"/>
  <c r="H44"/>
  <c r="F44"/>
  <c r="H42"/>
  <c r="F42"/>
  <c r="H41"/>
  <c r="F41"/>
  <c r="H111"/>
  <c r="F111"/>
  <c r="H110"/>
  <c r="F110"/>
  <c r="H109"/>
  <c r="F109"/>
  <c r="H108"/>
  <c r="F108"/>
  <c r="H107"/>
  <c r="F107"/>
  <c r="H106"/>
  <c r="F106"/>
  <c r="H105"/>
  <c r="F105"/>
  <c r="H104"/>
  <c r="F104"/>
  <c r="H103"/>
  <c r="F103"/>
  <c r="H102"/>
  <c r="F102"/>
  <c r="H96"/>
  <c r="F96"/>
  <c r="H94"/>
  <c r="F94"/>
  <c r="H86"/>
  <c r="F86"/>
  <c r="H84"/>
  <c r="F84"/>
  <c r="H83"/>
  <c r="F83"/>
  <c r="H82"/>
  <c r="F82"/>
  <c r="H78"/>
  <c r="F78"/>
  <c r="H77"/>
  <c r="F77"/>
  <c r="H76"/>
  <c r="F76"/>
  <c r="H75"/>
  <c r="F75"/>
  <c r="H74"/>
  <c r="F74"/>
  <c r="H40"/>
  <c r="F40"/>
  <c r="H39"/>
  <c r="F39"/>
  <c r="H38"/>
  <c r="F38"/>
  <c r="H37"/>
  <c r="F37"/>
  <c r="H36"/>
  <c r="F36"/>
  <c r="H35"/>
  <c r="F35"/>
  <c r="H34"/>
  <c r="F34"/>
  <c r="H33"/>
  <c r="F33"/>
  <c r="H32"/>
  <c r="F32"/>
  <c r="H31"/>
  <c r="F31"/>
  <c r="H30"/>
  <c r="F30"/>
  <c r="H29"/>
  <c r="F29"/>
  <c r="H28"/>
  <c r="F28"/>
  <c r="H27"/>
  <c r="F27"/>
  <c r="H26"/>
  <c r="F26"/>
  <c r="H25"/>
  <c r="F25"/>
  <c r="H24"/>
  <c r="F24"/>
  <c r="H23"/>
  <c r="F23"/>
  <c r="H22"/>
  <c r="F22"/>
  <c r="H21"/>
  <c r="F21"/>
  <c r="H20"/>
  <c r="F20"/>
  <c r="H19"/>
  <c r="F19"/>
  <c r="H18"/>
  <c r="F18"/>
  <c r="H17"/>
  <c r="F17"/>
  <c r="H16"/>
  <c r="F16"/>
  <c r="H15"/>
  <c r="F15"/>
  <c r="H14"/>
  <c r="F14"/>
  <c r="H13"/>
  <c r="F13"/>
  <c r="H12"/>
  <c r="F12"/>
  <c r="H11"/>
  <c r="F11"/>
  <c r="H10"/>
  <c r="F10"/>
  <c r="H9"/>
  <c r="F9"/>
  <c r="H8"/>
  <c r="F8"/>
  <c r="H7"/>
  <c r="F7"/>
  <c r="H6"/>
  <c r="F6"/>
  <c r="H5"/>
  <c r="F5"/>
  <c r="H25" i="7" l="1"/>
  <c r="E25"/>
  <c r="H27"/>
  <c r="E27"/>
  <c r="H28"/>
  <c r="E28"/>
  <c r="G54" i="11"/>
  <c r="F52"/>
  <c r="G52"/>
  <c r="F51"/>
  <c r="G51"/>
  <c r="F50"/>
  <c r="F29" i="27"/>
  <c r="M29"/>
  <c r="F53" i="11"/>
  <c r="M50"/>
  <c r="M51"/>
  <c r="M52"/>
  <c r="M53"/>
  <c r="M54"/>
  <c r="H26" i="7"/>
  <c r="E26"/>
  <c r="HS159" i="17" l="1"/>
  <c r="HR162"/>
  <c r="HQ155"/>
  <c r="HQ156"/>
  <c r="HQ157"/>
  <c r="HQ146"/>
  <c r="HQ162"/>
  <c r="HQ159"/>
  <c r="HP182"/>
  <c r="HP179"/>
  <c r="HN182"/>
  <c r="HN178"/>
  <c r="HM159"/>
  <c r="HL162"/>
  <c r="HK162"/>
  <c r="HJ162"/>
  <c r="HJ155"/>
  <c r="HT75" l="1"/>
  <c r="HT59"/>
  <c r="HT91"/>
  <c r="HS91"/>
  <c r="HR95"/>
  <c r="HR91"/>
  <c r="HR56"/>
  <c r="HQ72"/>
  <c r="HQ75"/>
  <c r="HQ69"/>
  <c r="HQ68"/>
  <c r="HQ70"/>
  <c r="HQ91"/>
  <c r="HP80"/>
  <c r="HP72"/>
  <c r="HP76"/>
  <c r="HN75"/>
  <c r="HN95"/>
  <c r="HN91"/>
  <c r="HN63"/>
  <c r="HN56"/>
  <c r="HM73"/>
  <c r="HM72"/>
  <c r="HM62"/>
  <c r="HM60"/>
  <c r="HM95"/>
  <c r="HM91"/>
  <c r="HM90"/>
  <c r="HL72"/>
  <c r="HK95"/>
  <c r="HK75"/>
  <c r="HK63"/>
  <c r="HJ75"/>
  <c r="HJ63" l="1"/>
  <c r="HJ58"/>
  <c r="HQ189"/>
  <c r="HR189"/>
  <c r="HS189"/>
  <c r="HT189"/>
  <c r="HK189"/>
  <c r="HL189"/>
  <c r="HM189"/>
  <c r="HN189"/>
  <c r="HP189"/>
  <c r="HJ189"/>
  <c r="K29" i="11"/>
  <c r="HJ115" i="17"/>
  <c r="HM115"/>
  <c r="GO213"/>
  <c r="HQ103"/>
  <c r="HS103"/>
  <c r="HT103"/>
  <c r="HK103"/>
  <c r="HL103"/>
  <c r="HM103"/>
  <c r="HN103"/>
  <c r="HP103"/>
  <c r="HJ103"/>
  <c r="HR20"/>
  <c r="HR11"/>
  <c r="HR103" s="1"/>
  <c r="HN26"/>
  <c r="HM13"/>
  <c r="HJ20"/>
  <c r="HT46"/>
  <c r="HT45"/>
  <c r="HT37"/>
  <c r="HT30"/>
  <c r="HS46"/>
  <c r="HS37"/>
  <c r="HS30"/>
  <c r="HR37"/>
  <c r="HR30"/>
  <c r="HQ46"/>
  <c r="HQ37"/>
  <c r="HP42"/>
  <c r="HN46"/>
  <c r="HM37"/>
  <c r="HM30"/>
  <c r="HL46"/>
  <c r="HL37"/>
  <c r="HK37"/>
  <c r="HK30"/>
  <c r="HJ37"/>
  <c r="HJ46"/>
  <c r="HJ45"/>
  <c r="HJ30"/>
  <c r="H24" i="7"/>
  <c r="E24"/>
  <c r="E57" s="1"/>
  <c r="K30" i="11" l="1"/>
  <c r="G49" l="1"/>
  <c r="G48"/>
  <c r="F49"/>
  <c r="F48"/>
  <c r="M49" l="1"/>
  <c r="M48"/>
  <c r="F28" i="27"/>
  <c r="F27"/>
  <c r="M28"/>
  <c r="M27"/>
  <c r="G47" i="11"/>
  <c r="F47"/>
  <c r="M47"/>
  <c r="HG162" i="17" l="1"/>
  <c r="HG147"/>
  <c r="HF162"/>
  <c r="HE155"/>
  <c r="HI155" s="1"/>
  <c r="HB162"/>
  <c r="HB159"/>
  <c r="HB145"/>
  <c r="HA152"/>
  <c r="GY159"/>
  <c r="GT154"/>
  <c r="GQ159"/>
  <c r="GO162"/>
  <c r="GQ187"/>
  <c r="HC142"/>
  <c r="HC143"/>
  <c r="HC144"/>
  <c r="HC145"/>
  <c r="HC146"/>
  <c r="HC147"/>
  <c r="HC148"/>
  <c r="HC149"/>
  <c r="HC150"/>
  <c r="HC151"/>
  <c r="HC152"/>
  <c r="HC153"/>
  <c r="HC154"/>
  <c r="HC155"/>
  <c r="HC156"/>
  <c r="HC157"/>
  <c r="HC158"/>
  <c r="HC159"/>
  <c r="HC160"/>
  <c r="HC161"/>
  <c r="HC162"/>
  <c r="HC163"/>
  <c r="HC164"/>
  <c r="HC165"/>
  <c r="HC166"/>
  <c r="HC167"/>
  <c r="HC168"/>
  <c r="HC169"/>
  <c r="HC170"/>
  <c r="HC171"/>
  <c r="HC172"/>
  <c r="HC173"/>
  <c r="HC174"/>
  <c r="HC175"/>
  <c r="HC176"/>
  <c r="HC177"/>
  <c r="HC178"/>
  <c r="HC179"/>
  <c r="HC180"/>
  <c r="HC181"/>
  <c r="HC182"/>
  <c r="HC183"/>
  <c r="GV142"/>
  <c r="GV143"/>
  <c r="GV144"/>
  <c r="GV145"/>
  <c r="GV146"/>
  <c r="GV147"/>
  <c r="GV148"/>
  <c r="GV149"/>
  <c r="GV150"/>
  <c r="GV151"/>
  <c r="GV152"/>
  <c r="GV153"/>
  <c r="GV154"/>
  <c r="GV155"/>
  <c r="GV156"/>
  <c r="GV157"/>
  <c r="GV158"/>
  <c r="GV159"/>
  <c r="GV160"/>
  <c r="GV161"/>
  <c r="GV162"/>
  <c r="GV163"/>
  <c r="GV164"/>
  <c r="GV165"/>
  <c r="GV166"/>
  <c r="GV167"/>
  <c r="GV168"/>
  <c r="GV169"/>
  <c r="GV170"/>
  <c r="GV171"/>
  <c r="GV172"/>
  <c r="GV173"/>
  <c r="GV174"/>
  <c r="GV175"/>
  <c r="GV176"/>
  <c r="GV177"/>
  <c r="GV178"/>
  <c r="GV179"/>
  <c r="GV180"/>
  <c r="GV181"/>
  <c r="GV182"/>
  <c r="GV183"/>
  <c r="HC187"/>
  <c r="HC188"/>
  <c r="HC190"/>
  <c r="HC191"/>
  <c r="HC186"/>
  <c r="GV187"/>
  <c r="GV188"/>
  <c r="GV190"/>
  <c r="GV191"/>
  <c r="GP187"/>
  <c r="GP188"/>
  <c r="GP190"/>
  <c r="GP191"/>
  <c r="GX189"/>
  <c r="GY189"/>
  <c r="GZ189"/>
  <c r="HA189"/>
  <c r="HB189"/>
  <c r="GR189"/>
  <c r="GS189"/>
  <c r="GT189"/>
  <c r="GU189"/>
  <c r="GM189"/>
  <c r="GN189"/>
  <c r="GO189"/>
  <c r="GW189"/>
  <c r="GQ189"/>
  <c r="GL189"/>
  <c r="GP189" s="1"/>
  <c r="GP142"/>
  <c r="GP143"/>
  <c r="GP144"/>
  <c r="GP145"/>
  <c r="GP146"/>
  <c r="GP147"/>
  <c r="GP148"/>
  <c r="GP149"/>
  <c r="GP150"/>
  <c r="GP151"/>
  <c r="GP152"/>
  <c r="GP153"/>
  <c r="GP154"/>
  <c r="GP155"/>
  <c r="GP156"/>
  <c r="GP157"/>
  <c r="GP158"/>
  <c r="GP159"/>
  <c r="GP160"/>
  <c r="GP161"/>
  <c r="GP162"/>
  <c r="GP163"/>
  <c r="GP164"/>
  <c r="GP165"/>
  <c r="GP166"/>
  <c r="GP167"/>
  <c r="GP168"/>
  <c r="GP169"/>
  <c r="GP170"/>
  <c r="GP171"/>
  <c r="GP172"/>
  <c r="GP173"/>
  <c r="GP174"/>
  <c r="GP175"/>
  <c r="GP176"/>
  <c r="GP177"/>
  <c r="GP178"/>
  <c r="GP179"/>
  <c r="GP180"/>
  <c r="GP181"/>
  <c r="GP182"/>
  <c r="GP183"/>
  <c r="HI187"/>
  <c r="HO187"/>
  <c r="HU187"/>
  <c r="JJ187"/>
  <c r="JP187"/>
  <c r="JV187"/>
  <c r="KC187"/>
  <c r="KJ187"/>
  <c r="KP187"/>
  <c r="KV187"/>
  <c r="LB187"/>
  <c r="LF187"/>
  <c r="HI188"/>
  <c r="HO188"/>
  <c r="HU188"/>
  <c r="JJ188"/>
  <c r="JP188"/>
  <c r="JV188"/>
  <c r="KC188"/>
  <c r="KJ188"/>
  <c r="KP188"/>
  <c r="KV188"/>
  <c r="LB188"/>
  <c r="LF188"/>
  <c r="LG188" s="1"/>
  <c r="HO189"/>
  <c r="HU189"/>
  <c r="JJ189"/>
  <c r="JP189"/>
  <c r="JV189"/>
  <c r="KC189"/>
  <c r="KJ189"/>
  <c r="KP189"/>
  <c r="KV189"/>
  <c r="LB189"/>
  <c r="LF189"/>
  <c r="HI190"/>
  <c r="HO190"/>
  <c r="HU190"/>
  <c r="JJ190"/>
  <c r="JP190"/>
  <c r="JV190"/>
  <c r="KC190"/>
  <c r="KJ190"/>
  <c r="KP190"/>
  <c r="KV190"/>
  <c r="LB190"/>
  <c r="LF190"/>
  <c r="LG190" s="1"/>
  <c r="HI191"/>
  <c r="HO191"/>
  <c r="HU191"/>
  <c r="JJ191"/>
  <c r="JP191"/>
  <c r="JV191"/>
  <c r="KC191"/>
  <c r="KJ191"/>
  <c r="KP191"/>
  <c r="KV191"/>
  <c r="LB191"/>
  <c r="LF191"/>
  <c r="HI143"/>
  <c r="HO143"/>
  <c r="HU143"/>
  <c r="HY143"/>
  <c r="IC143"/>
  <c r="IG143"/>
  <c r="IM143"/>
  <c r="IQ143"/>
  <c r="IW143"/>
  <c r="JC143"/>
  <c r="JJ143"/>
  <c r="JP143"/>
  <c r="JV143"/>
  <c r="KC143"/>
  <c r="KJ143"/>
  <c r="KP143"/>
  <c r="KV143"/>
  <c r="LB143"/>
  <c r="LF143"/>
  <c r="HI144"/>
  <c r="HO144"/>
  <c r="HU144"/>
  <c r="HY144"/>
  <c r="IC144"/>
  <c r="IG144"/>
  <c r="IM144"/>
  <c r="IQ144"/>
  <c r="IW144"/>
  <c r="JC144"/>
  <c r="JJ144"/>
  <c r="JP144"/>
  <c r="JV144"/>
  <c r="KC144"/>
  <c r="KJ144"/>
  <c r="KP144"/>
  <c r="KV144"/>
  <c r="LB144"/>
  <c r="LF144"/>
  <c r="HI145"/>
  <c r="HO145"/>
  <c r="HU145"/>
  <c r="HY145"/>
  <c r="IC145"/>
  <c r="IG145"/>
  <c r="IM145"/>
  <c r="IQ145"/>
  <c r="IW145"/>
  <c r="JC145"/>
  <c r="JJ145"/>
  <c r="JP145"/>
  <c r="JV145"/>
  <c r="KC145"/>
  <c r="KJ145"/>
  <c r="KP145"/>
  <c r="KV145"/>
  <c r="LB145"/>
  <c r="LF145"/>
  <c r="HI146"/>
  <c r="HO146"/>
  <c r="HU146"/>
  <c r="HY146"/>
  <c r="IC146"/>
  <c r="IG146"/>
  <c r="IM146"/>
  <c r="IQ146"/>
  <c r="IW146"/>
  <c r="JC146"/>
  <c r="JJ146"/>
  <c r="JP146"/>
  <c r="JV146"/>
  <c r="KC146"/>
  <c r="KJ146"/>
  <c r="KP146"/>
  <c r="KV146"/>
  <c r="LB146"/>
  <c r="LF146"/>
  <c r="LG146" s="1"/>
  <c r="HI147"/>
  <c r="HO147"/>
  <c r="HU147"/>
  <c r="HY147"/>
  <c r="IC147"/>
  <c r="IG147"/>
  <c r="JD147" s="1"/>
  <c r="IM147"/>
  <c r="IQ147"/>
  <c r="IW147"/>
  <c r="JC147"/>
  <c r="JJ147"/>
  <c r="JP147"/>
  <c r="JV147"/>
  <c r="KC147"/>
  <c r="KJ147"/>
  <c r="KP147"/>
  <c r="KV147"/>
  <c r="LB147"/>
  <c r="LF147"/>
  <c r="HI148"/>
  <c r="HO148"/>
  <c r="HU148"/>
  <c r="HY148"/>
  <c r="IC148"/>
  <c r="IG148"/>
  <c r="IM148"/>
  <c r="IQ148"/>
  <c r="IW148"/>
  <c r="JC148"/>
  <c r="JD148" s="1"/>
  <c r="JJ148"/>
  <c r="JP148"/>
  <c r="JV148"/>
  <c r="KC148"/>
  <c r="KJ148"/>
  <c r="KP148"/>
  <c r="KV148"/>
  <c r="LB148"/>
  <c r="LF148"/>
  <c r="HI149"/>
  <c r="HO149"/>
  <c r="HU149"/>
  <c r="HY149"/>
  <c r="IC149"/>
  <c r="ID149" s="1"/>
  <c r="IG149"/>
  <c r="IM149"/>
  <c r="IQ149"/>
  <c r="IW149"/>
  <c r="JC149"/>
  <c r="JD149" s="1"/>
  <c r="JJ149"/>
  <c r="JP149"/>
  <c r="JV149"/>
  <c r="KC149"/>
  <c r="KJ149"/>
  <c r="KP149"/>
  <c r="KV149"/>
  <c r="LB149"/>
  <c r="LF149"/>
  <c r="HI150"/>
  <c r="HO150"/>
  <c r="HU150"/>
  <c r="HY150"/>
  <c r="IC150"/>
  <c r="IG150"/>
  <c r="IM150"/>
  <c r="JD150" s="1"/>
  <c r="IQ150"/>
  <c r="IW150"/>
  <c r="JC150"/>
  <c r="JJ150"/>
  <c r="JP150"/>
  <c r="JV150"/>
  <c r="KC150"/>
  <c r="KJ150"/>
  <c r="KP150"/>
  <c r="KV150"/>
  <c r="LB150"/>
  <c r="LF150"/>
  <c r="HI151"/>
  <c r="HO151"/>
  <c r="HU151"/>
  <c r="HY151"/>
  <c r="IC151"/>
  <c r="IG151"/>
  <c r="IM151"/>
  <c r="IQ151"/>
  <c r="JD151" s="1"/>
  <c r="IW151"/>
  <c r="JC151"/>
  <c r="JJ151"/>
  <c r="JP151"/>
  <c r="JV151"/>
  <c r="KC151"/>
  <c r="KJ151"/>
  <c r="KP151"/>
  <c r="KV151"/>
  <c r="LB151"/>
  <c r="LF151"/>
  <c r="HI152"/>
  <c r="HO152"/>
  <c r="HU152"/>
  <c r="HY152"/>
  <c r="IC152"/>
  <c r="IG152"/>
  <c r="IM152"/>
  <c r="IQ152"/>
  <c r="IW152"/>
  <c r="JC152"/>
  <c r="JD152" s="1"/>
  <c r="JJ152"/>
  <c r="JP152"/>
  <c r="JV152"/>
  <c r="KC152"/>
  <c r="KJ152"/>
  <c r="KP152"/>
  <c r="KV152"/>
  <c r="LB152"/>
  <c r="LF152"/>
  <c r="HI153"/>
  <c r="HO153"/>
  <c r="HU153"/>
  <c r="HY153"/>
  <c r="IC153"/>
  <c r="IG153"/>
  <c r="IM153"/>
  <c r="IQ153"/>
  <c r="IW153"/>
  <c r="JD153" s="1"/>
  <c r="JC153"/>
  <c r="JJ153"/>
  <c r="JP153"/>
  <c r="JV153"/>
  <c r="KC153"/>
  <c r="KJ153"/>
  <c r="KP153"/>
  <c r="KV153"/>
  <c r="LB153"/>
  <c r="LF153"/>
  <c r="HI154"/>
  <c r="HO154"/>
  <c r="HU154"/>
  <c r="HY154"/>
  <c r="IC154"/>
  <c r="IG154"/>
  <c r="IM154"/>
  <c r="IQ154"/>
  <c r="IW154"/>
  <c r="JC154"/>
  <c r="JJ154"/>
  <c r="JP154"/>
  <c r="JV154"/>
  <c r="KC154"/>
  <c r="KJ154"/>
  <c r="KP154"/>
  <c r="KV154"/>
  <c r="LB154"/>
  <c r="LF154"/>
  <c r="LG154" s="1"/>
  <c r="HO155"/>
  <c r="HU155"/>
  <c r="HY155"/>
  <c r="IC155"/>
  <c r="IG155"/>
  <c r="IM155"/>
  <c r="IQ155"/>
  <c r="IW155"/>
  <c r="JC155"/>
  <c r="JJ155"/>
  <c r="JP155"/>
  <c r="JV155"/>
  <c r="KC155"/>
  <c r="KJ155"/>
  <c r="KP155"/>
  <c r="KV155"/>
  <c r="LB155"/>
  <c r="LF155"/>
  <c r="HI156"/>
  <c r="HO156"/>
  <c r="HU156"/>
  <c r="HY156"/>
  <c r="IC156"/>
  <c r="IG156"/>
  <c r="IM156"/>
  <c r="IQ156"/>
  <c r="IW156"/>
  <c r="JC156"/>
  <c r="JJ156"/>
  <c r="JP156"/>
  <c r="JV156"/>
  <c r="KC156"/>
  <c r="KJ156"/>
  <c r="KP156"/>
  <c r="KV156"/>
  <c r="LB156"/>
  <c r="LF156"/>
  <c r="HI157"/>
  <c r="HO157"/>
  <c r="HU157"/>
  <c r="HY157"/>
  <c r="IC157"/>
  <c r="IG157"/>
  <c r="IM157"/>
  <c r="IQ157"/>
  <c r="IW157"/>
  <c r="JC157"/>
  <c r="JJ157"/>
  <c r="JP157"/>
  <c r="JV157"/>
  <c r="KC157"/>
  <c r="KJ157"/>
  <c r="KP157"/>
  <c r="KV157"/>
  <c r="LB157"/>
  <c r="LF157"/>
  <c r="HI158"/>
  <c r="HO158"/>
  <c r="HU158"/>
  <c r="HY158"/>
  <c r="IC158"/>
  <c r="IG158"/>
  <c r="IM158"/>
  <c r="IQ158"/>
  <c r="IW158"/>
  <c r="JC158"/>
  <c r="JJ158"/>
  <c r="JP158"/>
  <c r="JV158"/>
  <c r="KC158"/>
  <c r="KJ158"/>
  <c r="KP158"/>
  <c r="KV158"/>
  <c r="LB158"/>
  <c r="LF158"/>
  <c r="HI159"/>
  <c r="HO159"/>
  <c r="HU159"/>
  <c r="HY159"/>
  <c r="IC159"/>
  <c r="IG159"/>
  <c r="IM159"/>
  <c r="IQ159"/>
  <c r="IW159"/>
  <c r="JC159"/>
  <c r="JJ159"/>
  <c r="JP159"/>
  <c r="JV159"/>
  <c r="KC159"/>
  <c r="KJ159"/>
  <c r="KP159"/>
  <c r="KV159"/>
  <c r="LB159"/>
  <c r="LF159"/>
  <c r="HI160"/>
  <c r="HO160"/>
  <c r="HU160"/>
  <c r="HY160"/>
  <c r="IC160"/>
  <c r="IG160"/>
  <c r="IM160"/>
  <c r="IQ160"/>
  <c r="IW160"/>
  <c r="JC160"/>
  <c r="JJ160"/>
  <c r="JP160"/>
  <c r="JV160"/>
  <c r="KC160"/>
  <c r="KJ160"/>
  <c r="KP160"/>
  <c r="KV160"/>
  <c r="LB160"/>
  <c r="LF160"/>
  <c r="HI161"/>
  <c r="HO161"/>
  <c r="HU161"/>
  <c r="HY161"/>
  <c r="IC161"/>
  <c r="IG161"/>
  <c r="IM161"/>
  <c r="IQ161"/>
  <c r="IW161"/>
  <c r="JC161"/>
  <c r="JJ161"/>
  <c r="JP161"/>
  <c r="JV161"/>
  <c r="KC161"/>
  <c r="KJ161"/>
  <c r="KP161"/>
  <c r="KV161"/>
  <c r="LB161"/>
  <c r="LF161"/>
  <c r="HI162"/>
  <c r="HO162"/>
  <c r="HU162"/>
  <c r="HY162"/>
  <c r="IC162"/>
  <c r="IG162"/>
  <c r="IM162"/>
  <c r="IQ162"/>
  <c r="IW162"/>
  <c r="JC162"/>
  <c r="JJ162"/>
  <c r="JP162"/>
  <c r="JV162"/>
  <c r="KC162"/>
  <c r="KJ162"/>
  <c r="KP162"/>
  <c r="KV162"/>
  <c r="LB162"/>
  <c r="LF162"/>
  <c r="HI163"/>
  <c r="HO163"/>
  <c r="HU163"/>
  <c r="HY163"/>
  <c r="IC163"/>
  <c r="IG163"/>
  <c r="IM163"/>
  <c r="IQ163"/>
  <c r="IW163"/>
  <c r="JC163"/>
  <c r="JJ163"/>
  <c r="JP163"/>
  <c r="JV163"/>
  <c r="KC163"/>
  <c r="KJ163"/>
  <c r="KP163"/>
  <c r="KV163"/>
  <c r="LB163"/>
  <c r="LF163"/>
  <c r="HI164"/>
  <c r="HO164"/>
  <c r="HU164"/>
  <c r="HY164"/>
  <c r="IC164"/>
  <c r="IG164"/>
  <c r="IM164"/>
  <c r="IQ164"/>
  <c r="IW164"/>
  <c r="JC164"/>
  <c r="JJ164"/>
  <c r="JP164"/>
  <c r="JV164"/>
  <c r="KC164"/>
  <c r="KJ164"/>
  <c r="KP164"/>
  <c r="KV164"/>
  <c r="LB164"/>
  <c r="LF164"/>
  <c r="HI165"/>
  <c r="HO165"/>
  <c r="HU165"/>
  <c r="HY165"/>
  <c r="IC165"/>
  <c r="IG165"/>
  <c r="IM165"/>
  <c r="IQ165"/>
  <c r="IW165"/>
  <c r="JC165"/>
  <c r="JD165" s="1"/>
  <c r="JJ165"/>
  <c r="JP165"/>
  <c r="JV165"/>
  <c r="KC165"/>
  <c r="KJ165"/>
  <c r="KP165"/>
  <c r="KV165"/>
  <c r="LB165"/>
  <c r="LF165"/>
  <c r="HI166"/>
  <c r="HO166"/>
  <c r="HU166"/>
  <c r="HY166"/>
  <c r="IC166"/>
  <c r="IG166"/>
  <c r="IM166"/>
  <c r="IQ166"/>
  <c r="IW166"/>
  <c r="JC166"/>
  <c r="JJ166"/>
  <c r="JP166"/>
  <c r="JV166"/>
  <c r="KC166"/>
  <c r="KJ166"/>
  <c r="KP166"/>
  <c r="KV166"/>
  <c r="LB166"/>
  <c r="LF166"/>
  <c r="HI167"/>
  <c r="HO167"/>
  <c r="HU167"/>
  <c r="HY167"/>
  <c r="IC167"/>
  <c r="IG167"/>
  <c r="IM167"/>
  <c r="IQ167"/>
  <c r="JD167" s="1"/>
  <c r="IW167"/>
  <c r="JC167"/>
  <c r="JJ167"/>
  <c r="JP167"/>
  <c r="JV167"/>
  <c r="KC167"/>
  <c r="KJ167"/>
  <c r="KP167"/>
  <c r="KV167"/>
  <c r="LB167"/>
  <c r="LF167"/>
  <c r="HI168"/>
  <c r="HO168"/>
  <c r="HU168"/>
  <c r="HY168"/>
  <c r="IC168"/>
  <c r="IG168"/>
  <c r="IM168"/>
  <c r="JD168" s="1"/>
  <c r="IQ168"/>
  <c r="IW168"/>
  <c r="JC168"/>
  <c r="JJ168"/>
  <c r="JP168"/>
  <c r="JV168"/>
  <c r="KC168"/>
  <c r="KJ168"/>
  <c r="KP168"/>
  <c r="KV168"/>
  <c r="LB168"/>
  <c r="LF168"/>
  <c r="HI169"/>
  <c r="HO169"/>
  <c r="HU169"/>
  <c r="HY169"/>
  <c r="IC169"/>
  <c r="IG169"/>
  <c r="IM169"/>
  <c r="JD169" s="1"/>
  <c r="IQ169"/>
  <c r="IW169"/>
  <c r="JC169"/>
  <c r="JJ169"/>
  <c r="JP169"/>
  <c r="JV169"/>
  <c r="KC169"/>
  <c r="KJ169"/>
  <c r="KP169"/>
  <c r="KV169"/>
  <c r="LB169"/>
  <c r="LF169"/>
  <c r="HI170"/>
  <c r="HO170"/>
  <c r="HU170"/>
  <c r="HY170"/>
  <c r="IC170"/>
  <c r="IG170"/>
  <c r="IM170"/>
  <c r="IQ170"/>
  <c r="IW170"/>
  <c r="JC170"/>
  <c r="JJ170"/>
  <c r="JP170"/>
  <c r="JV170"/>
  <c r="KC170"/>
  <c r="KJ170"/>
  <c r="KP170"/>
  <c r="KV170"/>
  <c r="LB170"/>
  <c r="LF170"/>
  <c r="HI171"/>
  <c r="HO171"/>
  <c r="HU171"/>
  <c r="HY171"/>
  <c r="IC171"/>
  <c r="IG171"/>
  <c r="IM171"/>
  <c r="IQ171"/>
  <c r="IW171"/>
  <c r="JC171"/>
  <c r="JJ171"/>
  <c r="JP171"/>
  <c r="JV171"/>
  <c r="KC171"/>
  <c r="KJ171"/>
  <c r="KP171"/>
  <c r="KV171"/>
  <c r="LB171"/>
  <c r="LF171"/>
  <c r="HI172"/>
  <c r="HO172"/>
  <c r="HU172"/>
  <c r="HY172"/>
  <c r="IC172"/>
  <c r="IG172"/>
  <c r="JD172" s="1"/>
  <c r="IM172"/>
  <c r="IQ172"/>
  <c r="IW172"/>
  <c r="JC172"/>
  <c r="JJ172"/>
  <c r="JP172"/>
  <c r="JV172"/>
  <c r="KC172"/>
  <c r="KJ172"/>
  <c r="KP172"/>
  <c r="KV172"/>
  <c r="LB172"/>
  <c r="LF172"/>
  <c r="HI173"/>
  <c r="HO173"/>
  <c r="HU173"/>
  <c r="HY173"/>
  <c r="IC173"/>
  <c r="IG173"/>
  <c r="JD173" s="1"/>
  <c r="IM173"/>
  <c r="IQ173"/>
  <c r="IW173"/>
  <c r="JC173"/>
  <c r="JJ173"/>
  <c r="JP173"/>
  <c r="JV173"/>
  <c r="KC173"/>
  <c r="KJ173"/>
  <c r="KP173"/>
  <c r="KV173"/>
  <c r="LB173"/>
  <c r="LF173"/>
  <c r="HI174"/>
  <c r="HO174"/>
  <c r="HU174"/>
  <c r="HY174"/>
  <c r="IC174"/>
  <c r="IG174"/>
  <c r="IM174"/>
  <c r="IQ174"/>
  <c r="IW174"/>
  <c r="JC174"/>
  <c r="JJ174"/>
  <c r="JP174"/>
  <c r="JV174"/>
  <c r="KC174"/>
  <c r="KJ174"/>
  <c r="KP174"/>
  <c r="KV174"/>
  <c r="LB174"/>
  <c r="LF174"/>
  <c r="HI175"/>
  <c r="HO175"/>
  <c r="HU175"/>
  <c r="HY175"/>
  <c r="IC175"/>
  <c r="IG175"/>
  <c r="IM175"/>
  <c r="IQ175"/>
  <c r="IW175"/>
  <c r="JC175"/>
  <c r="JJ175"/>
  <c r="JP175"/>
  <c r="JV175"/>
  <c r="KC175"/>
  <c r="KJ175"/>
  <c r="KP175"/>
  <c r="KV175"/>
  <c r="LB175"/>
  <c r="LF175"/>
  <c r="HI176"/>
  <c r="HO176"/>
  <c r="HU176"/>
  <c r="HY176"/>
  <c r="IC176"/>
  <c r="IG176"/>
  <c r="IM176"/>
  <c r="IQ176"/>
  <c r="IW176"/>
  <c r="JC176"/>
  <c r="JJ176"/>
  <c r="JP176"/>
  <c r="JV176"/>
  <c r="KC176"/>
  <c r="KJ176"/>
  <c r="KP176"/>
  <c r="KV176"/>
  <c r="LB176"/>
  <c r="LF176"/>
  <c r="HI177"/>
  <c r="HO177"/>
  <c r="HU177"/>
  <c r="HY177"/>
  <c r="IC177"/>
  <c r="IG177"/>
  <c r="JD177" s="1"/>
  <c r="IM177"/>
  <c r="IQ177"/>
  <c r="IW177"/>
  <c r="JC177"/>
  <c r="JJ177"/>
  <c r="JP177"/>
  <c r="JV177"/>
  <c r="KC177"/>
  <c r="KJ177"/>
  <c r="KP177"/>
  <c r="KV177"/>
  <c r="LB177"/>
  <c r="LF177"/>
  <c r="HI178"/>
  <c r="HO178"/>
  <c r="HU178"/>
  <c r="HY178"/>
  <c r="IC178"/>
  <c r="IG178"/>
  <c r="IM178"/>
  <c r="IQ178"/>
  <c r="IW178"/>
  <c r="JC178"/>
  <c r="JJ178"/>
  <c r="JP178"/>
  <c r="JV178"/>
  <c r="KC178"/>
  <c r="KJ178"/>
  <c r="KP178"/>
  <c r="KV178"/>
  <c r="LB178"/>
  <c r="LF178"/>
  <c r="HI179"/>
  <c r="HO179"/>
  <c r="HU179"/>
  <c r="HY179"/>
  <c r="IC179"/>
  <c r="IG179"/>
  <c r="IM179"/>
  <c r="IQ179"/>
  <c r="IW179"/>
  <c r="JC179"/>
  <c r="JD179" s="1"/>
  <c r="JJ179"/>
  <c r="JP179"/>
  <c r="JV179"/>
  <c r="KC179"/>
  <c r="KJ179"/>
  <c r="KP179"/>
  <c r="KV179"/>
  <c r="LB179"/>
  <c r="LF179"/>
  <c r="HI180"/>
  <c r="HO180"/>
  <c r="HU180"/>
  <c r="HY180"/>
  <c r="IC180"/>
  <c r="IG180"/>
  <c r="IM180"/>
  <c r="IQ180"/>
  <c r="IW180"/>
  <c r="JC180"/>
  <c r="JJ180"/>
  <c r="JP180"/>
  <c r="JV180"/>
  <c r="KC180"/>
  <c r="KJ180"/>
  <c r="KP180"/>
  <c r="KV180"/>
  <c r="LB180"/>
  <c r="LF180"/>
  <c r="HI181"/>
  <c r="HO181"/>
  <c r="HU181"/>
  <c r="HY181"/>
  <c r="IC181"/>
  <c r="IG181"/>
  <c r="IM181"/>
  <c r="IQ181"/>
  <c r="IW181"/>
  <c r="JC181"/>
  <c r="JJ181"/>
  <c r="JP181"/>
  <c r="JV181"/>
  <c r="KC181"/>
  <c r="KJ181"/>
  <c r="KP181"/>
  <c r="KV181"/>
  <c r="LB181"/>
  <c r="LF181"/>
  <c r="HI182"/>
  <c r="HO182"/>
  <c r="HU182"/>
  <c r="HY182"/>
  <c r="IC182"/>
  <c r="IG182"/>
  <c r="IM182"/>
  <c r="IQ182"/>
  <c r="IW182"/>
  <c r="JC182"/>
  <c r="JJ182"/>
  <c r="JP182"/>
  <c r="JV182"/>
  <c r="KC182"/>
  <c r="KJ182"/>
  <c r="KP182"/>
  <c r="KV182"/>
  <c r="LB182"/>
  <c r="LF182"/>
  <c r="HI183"/>
  <c r="HO183"/>
  <c r="HU183"/>
  <c r="HY183"/>
  <c r="IC183"/>
  <c r="IG183"/>
  <c r="IM183"/>
  <c r="IQ183"/>
  <c r="IW183"/>
  <c r="JC183"/>
  <c r="JJ183"/>
  <c r="JP183"/>
  <c r="JV183"/>
  <c r="KC183"/>
  <c r="KJ183"/>
  <c r="KP183"/>
  <c r="KV183"/>
  <c r="LB183"/>
  <c r="LF183"/>
  <c r="HH75"/>
  <c r="HG60"/>
  <c r="HI60" s="1"/>
  <c r="HG90"/>
  <c r="HE72"/>
  <c r="HE75"/>
  <c r="HE58"/>
  <c r="JJ100"/>
  <c r="JP100"/>
  <c r="JV100"/>
  <c r="KC100"/>
  <c r="KJ100"/>
  <c r="KP100"/>
  <c r="KV100"/>
  <c r="LB100"/>
  <c r="LF100"/>
  <c r="JJ101"/>
  <c r="JP101"/>
  <c r="JV101"/>
  <c r="KD101" s="1"/>
  <c r="KC101"/>
  <c r="KJ101"/>
  <c r="KP101"/>
  <c r="KV101"/>
  <c r="LB101"/>
  <c r="LF101"/>
  <c r="JJ102"/>
  <c r="JP102"/>
  <c r="JV102"/>
  <c r="KC102"/>
  <c r="KJ102"/>
  <c r="KP102"/>
  <c r="KV102"/>
  <c r="LB102"/>
  <c r="LF102"/>
  <c r="LG102" s="1"/>
  <c r="JJ103"/>
  <c r="JP103"/>
  <c r="JV103"/>
  <c r="KC103"/>
  <c r="KJ103"/>
  <c r="KP103"/>
  <c r="KV103"/>
  <c r="LB103"/>
  <c r="LF103"/>
  <c r="JJ104"/>
  <c r="JP104"/>
  <c r="JV104"/>
  <c r="KC104"/>
  <c r="KJ104"/>
  <c r="KP104"/>
  <c r="KV104"/>
  <c r="LG104" s="1"/>
  <c r="LB104"/>
  <c r="LF104"/>
  <c r="JJ105"/>
  <c r="JP105"/>
  <c r="JV105"/>
  <c r="KC105"/>
  <c r="KJ105"/>
  <c r="KP105"/>
  <c r="KV105"/>
  <c r="LB105"/>
  <c r="LF105"/>
  <c r="HI100"/>
  <c r="HO100"/>
  <c r="HU100"/>
  <c r="ID100" s="1"/>
  <c r="HI101"/>
  <c r="HO101"/>
  <c r="HU101"/>
  <c r="HI102"/>
  <c r="HO102"/>
  <c r="HU102"/>
  <c r="HY102"/>
  <c r="IC102"/>
  <c r="HO103"/>
  <c r="HU103"/>
  <c r="HI104"/>
  <c r="HO104"/>
  <c r="HU104"/>
  <c r="HI105"/>
  <c r="HO105"/>
  <c r="HU105"/>
  <c r="ID105" s="1"/>
  <c r="HI55"/>
  <c r="HO55"/>
  <c r="HU55"/>
  <c r="IC55"/>
  <c r="IG55"/>
  <c r="IM55"/>
  <c r="IQ55"/>
  <c r="IW55"/>
  <c r="JC55"/>
  <c r="JP55"/>
  <c r="JV55"/>
  <c r="KC55"/>
  <c r="KJ55"/>
  <c r="KP55"/>
  <c r="KV55"/>
  <c r="LB55"/>
  <c r="LF55"/>
  <c r="HI56"/>
  <c r="HO56"/>
  <c r="HU56"/>
  <c r="IC56"/>
  <c r="IG56"/>
  <c r="IM56"/>
  <c r="IQ56"/>
  <c r="IW56"/>
  <c r="JC56"/>
  <c r="JP56"/>
  <c r="JV56"/>
  <c r="KC56"/>
  <c r="KJ56"/>
  <c r="KP56"/>
  <c r="KV56"/>
  <c r="LB56"/>
  <c r="LF56"/>
  <c r="HI57"/>
  <c r="HO57"/>
  <c r="HU57"/>
  <c r="IC57"/>
  <c r="IG57"/>
  <c r="IM57"/>
  <c r="IQ57"/>
  <c r="IW57"/>
  <c r="JC57"/>
  <c r="JP57"/>
  <c r="JV57"/>
  <c r="KC57"/>
  <c r="KJ57"/>
  <c r="KP57"/>
  <c r="KV57"/>
  <c r="LB57"/>
  <c r="LF57"/>
  <c r="HI58"/>
  <c r="HO58"/>
  <c r="HU58"/>
  <c r="IC58"/>
  <c r="IG58"/>
  <c r="IM58"/>
  <c r="IQ58"/>
  <c r="IW58"/>
  <c r="JC58"/>
  <c r="JP58"/>
  <c r="JV58"/>
  <c r="KC58"/>
  <c r="KJ58"/>
  <c r="KP58"/>
  <c r="KV58"/>
  <c r="LB58"/>
  <c r="LF58"/>
  <c r="HI59"/>
  <c r="HO59"/>
  <c r="HU59"/>
  <c r="IC59"/>
  <c r="IG59"/>
  <c r="IM59"/>
  <c r="IQ59"/>
  <c r="IW59"/>
  <c r="JC59"/>
  <c r="JP59"/>
  <c r="JV59"/>
  <c r="KC59"/>
  <c r="KJ59"/>
  <c r="KP59"/>
  <c r="KV59"/>
  <c r="LB59"/>
  <c r="LF59"/>
  <c r="HO60"/>
  <c r="HU60"/>
  <c r="IC60"/>
  <c r="IG60"/>
  <c r="IM60"/>
  <c r="IQ60"/>
  <c r="IW60"/>
  <c r="JC60"/>
  <c r="JP60"/>
  <c r="JV60"/>
  <c r="KC60"/>
  <c r="KJ60"/>
  <c r="KP60"/>
  <c r="KV60"/>
  <c r="LB60"/>
  <c r="LG60" s="1"/>
  <c r="LF60"/>
  <c r="HI61"/>
  <c r="HO61"/>
  <c r="HU61"/>
  <c r="HY61"/>
  <c r="IC61"/>
  <c r="IG61"/>
  <c r="IM61"/>
  <c r="IQ61"/>
  <c r="IW61"/>
  <c r="JC61"/>
  <c r="JP61"/>
  <c r="JV61"/>
  <c r="KC61"/>
  <c r="KJ61"/>
  <c r="KP61"/>
  <c r="KV61"/>
  <c r="LB61"/>
  <c r="LF61"/>
  <c r="HI62"/>
  <c r="HO62"/>
  <c r="HU62"/>
  <c r="HY62"/>
  <c r="IC62"/>
  <c r="IG62"/>
  <c r="IM62"/>
  <c r="IQ62"/>
  <c r="JD62" s="1"/>
  <c r="IW62"/>
  <c r="JC62"/>
  <c r="JP62"/>
  <c r="JV62"/>
  <c r="KC62"/>
  <c r="KJ62"/>
  <c r="KP62"/>
  <c r="KV62"/>
  <c r="LB62"/>
  <c r="LF62"/>
  <c r="HI63"/>
  <c r="HO63"/>
  <c r="HU63"/>
  <c r="HY63"/>
  <c r="IC63"/>
  <c r="IG63"/>
  <c r="IM63"/>
  <c r="IQ63"/>
  <c r="IW63"/>
  <c r="JC63"/>
  <c r="JP63"/>
  <c r="JV63"/>
  <c r="KC63"/>
  <c r="KJ63"/>
  <c r="KP63"/>
  <c r="KV63"/>
  <c r="LB63"/>
  <c r="LF63"/>
  <c r="HI64"/>
  <c r="HO64"/>
  <c r="HU64"/>
  <c r="HY64"/>
  <c r="IC64"/>
  <c r="IG64"/>
  <c r="IM64"/>
  <c r="IQ64"/>
  <c r="JD64" s="1"/>
  <c r="IW64"/>
  <c r="JC64"/>
  <c r="JP64"/>
  <c r="JV64"/>
  <c r="KC64"/>
  <c r="KJ64"/>
  <c r="KP64"/>
  <c r="KV64"/>
  <c r="LB64"/>
  <c r="LF64"/>
  <c r="HI65"/>
  <c r="HO65"/>
  <c r="HU65"/>
  <c r="HY65"/>
  <c r="IC65"/>
  <c r="IG65"/>
  <c r="IM65"/>
  <c r="IQ65"/>
  <c r="IW65"/>
  <c r="JC65"/>
  <c r="JD65" s="1"/>
  <c r="JP65"/>
  <c r="JV65"/>
  <c r="KC65"/>
  <c r="KJ65"/>
  <c r="KP65"/>
  <c r="KV65"/>
  <c r="LB65"/>
  <c r="LF65"/>
  <c r="HI66"/>
  <c r="HO66"/>
  <c r="HU66"/>
  <c r="HY66"/>
  <c r="IC66"/>
  <c r="IG66"/>
  <c r="IM66"/>
  <c r="IQ66"/>
  <c r="IW66"/>
  <c r="JC66"/>
  <c r="JP66"/>
  <c r="JV66"/>
  <c r="KD66" s="1"/>
  <c r="KC66"/>
  <c r="KJ66"/>
  <c r="KP66"/>
  <c r="KV66"/>
  <c r="LB66"/>
  <c r="LF66"/>
  <c r="HI67"/>
  <c r="HO67"/>
  <c r="HU67"/>
  <c r="HY67"/>
  <c r="IC67"/>
  <c r="IG67"/>
  <c r="IM67"/>
  <c r="JD67" s="1"/>
  <c r="IQ67"/>
  <c r="IW67"/>
  <c r="JC67"/>
  <c r="JP67"/>
  <c r="JV67"/>
  <c r="KC67"/>
  <c r="KJ67"/>
  <c r="KP67"/>
  <c r="KV67"/>
  <c r="LB67"/>
  <c r="LF67"/>
  <c r="HI68"/>
  <c r="HO68"/>
  <c r="HU68"/>
  <c r="HY68"/>
  <c r="IC68"/>
  <c r="IG68"/>
  <c r="IM68"/>
  <c r="IQ68"/>
  <c r="IW68"/>
  <c r="JC68"/>
  <c r="JP68"/>
  <c r="JV68"/>
  <c r="KC68"/>
  <c r="KJ68"/>
  <c r="KP68"/>
  <c r="KV68"/>
  <c r="LB68"/>
  <c r="LF68"/>
  <c r="HI69"/>
  <c r="HO69"/>
  <c r="HU69"/>
  <c r="HY69"/>
  <c r="IC69"/>
  <c r="IG69"/>
  <c r="IM69"/>
  <c r="IQ69"/>
  <c r="IW69"/>
  <c r="JC69"/>
  <c r="JP69"/>
  <c r="JV69"/>
  <c r="KC69"/>
  <c r="KJ69"/>
  <c r="KP69"/>
  <c r="KV69"/>
  <c r="LB69"/>
  <c r="LF69"/>
  <c r="HI70"/>
  <c r="HO70"/>
  <c r="HU70"/>
  <c r="HY70"/>
  <c r="IC70"/>
  <c r="IG70"/>
  <c r="IM70"/>
  <c r="IQ70"/>
  <c r="IW70"/>
  <c r="JC70"/>
  <c r="JP70"/>
  <c r="JV70"/>
  <c r="KD70" s="1"/>
  <c r="KC70"/>
  <c r="KJ70"/>
  <c r="KP70"/>
  <c r="KV70"/>
  <c r="LB70"/>
  <c r="LF70"/>
  <c r="HI71"/>
  <c r="HO71"/>
  <c r="HU71"/>
  <c r="HY71"/>
  <c r="IC71"/>
  <c r="IG71"/>
  <c r="IM71"/>
  <c r="IQ71"/>
  <c r="IW71"/>
  <c r="JC71"/>
  <c r="JP71"/>
  <c r="JV71"/>
  <c r="KC71"/>
  <c r="KJ71"/>
  <c r="KP71"/>
  <c r="KV71"/>
  <c r="LB71"/>
  <c r="LF71"/>
  <c r="HI72"/>
  <c r="HO72"/>
  <c r="HU72"/>
  <c r="HY72"/>
  <c r="IC72"/>
  <c r="IG72"/>
  <c r="IM72"/>
  <c r="IQ72"/>
  <c r="IW72"/>
  <c r="JC72"/>
  <c r="JP72"/>
  <c r="JV72"/>
  <c r="KC72"/>
  <c r="KJ72"/>
  <c r="KP72"/>
  <c r="KV72"/>
  <c r="LB72"/>
  <c r="LF72"/>
  <c r="HI73"/>
  <c r="HO73"/>
  <c r="HU73"/>
  <c r="HY73"/>
  <c r="IC73"/>
  <c r="IG73"/>
  <c r="IM73"/>
  <c r="IQ73"/>
  <c r="IW73"/>
  <c r="JC73"/>
  <c r="JP73"/>
  <c r="JV73"/>
  <c r="KC73"/>
  <c r="KJ73"/>
  <c r="KP73"/>
  <c r="KV73"/>
  <c r="LB73"/>
  <c r="LF73"/>
  <c r="HI74"/>
  <c r="HO74"/>
  <c r="HU74"/>
  <c r="HY74"/>
  <c r="IC74"/>
  <c r="IG74"/>
  <c r="IM74"/>
  <c r="IQ74"/>
  <c r="IW74"/>
  <c r="JC74"/>
  <c r="JP74"/>
  <c r="KD74" s="1"/>
  <c r="JV74"/>
  <c r="KC74"/>
  <c r="KJ74"/>
  <c r="KP74"/>
  <c r="KV74"/>
  <c r="LB74"/>
  <c r="LF74"/>
  <c r="HI75"/>
  <c r="HO75"/>
  <c r="HU75"/>
  <c r="HY75"/>
  <c r="IC75"/>
  <c r="IG75"/>
  <c r="IM75"/>
  <c r="IQ75"/>
  <c r="IW75"/>
  <c r="JC75"/>
  <c r="JP75"/>
  <c r="JV75"/>
  <c r="KC75"/>
  <c r="KJ75"/>
  <c r="KP75"/>
  <c r="KV75"/>
  <c r="LB75"/>
  <c r="LF75"/>
  <c r="HI76"/>
  <c r="HO76"/>
  <c r="HU76"/>
  <c r="HY76"/>
  <c r="IC76"/>
  <c r="IG76"/>
  <c r="IM76"/>
  <c r="JD76" s="1"/>
  <c r="IQ76"/>
  <c r="IW76"/>
  <c r="JC76"/>
  <c r="JP76"/>
  <c r="JV76"/>
  <c r="KC76"/>
  <c r="KJ76"/>
  <c r="KP76"/>
  <c r="KV76"/>
  <c r="LB76"/>
  <c r="LF76"/>
  <c r="HI77"/>
  <c r="HO77"/>
  <c r="HU77"/>
  <c r="HY77"/>
  <c r="IC77"/>
  <c r="IG77"/>
  <c r="IM77"/>
  <c r="JD77" s="1"/>
  <c r="IQ77"/>
  <c r="IW77"/>
  <c r="JC77"/>
  <c r="JP77"/>
  <c r="JV77"/>
  <c r="KC77"/>
  <c r="KJ77"/>
  <c r="KP77"/>
  <c r="KV77"/>
  <c r="LB77"/>
  <c r="LF77"/>
  <c r="HI78"/>
  <c r="HO78"/>
  <c r="HU78"/>
  <c r="HY78"/>
  <c r="IC78"/>
  <c r="IG78"/>
  <c r="IM78"/>
  <c r="IQ78"/>
  <c r="IW78"/>
  <c r="JC78"/>
  <c r="JP78"/>
  <c r="JV78"/>
  <c r="KC78"/>
  <c r="KJ78"/>
  <c r="KP78"/>
  <c r="KV78"/>
  <c r="LB78"/>
  <c r="LF78"/>
  <c r="HI79"/>
  <c r="HO79"/>
  <c r="HU79"/>
  <c r="HY79"/>
  <c r="IC79"/>
  <c r="IG79"/>
  <c r="IM79"/>
  <c r="IQ79"/>
  <c r="IW79"/>
  <c r="JC79"/>
  <c r="JD79" s="1"/>
  <c r="JP79"/>
  <c r="JV79"/>
  <c r="KC79"/>
  <c r="KJ79"/>
  <c r="KP79"/>
  <c r="KV79"/>
  <c r="LB79"/>
  <c r="LF79"/>
  <c r="HI80"/>
  <c r="HO80"/>
  <c r="HU80"/>
  <c r="HY80"/>
  <c r="IC80"/>
  <c r="IG80"/>
  <c r="IM80"/>
  <c r="IQ80"/>
  <c r="JD80" s="1"/>
  <c r="IW80"/>
  <c r="JC80"/>
  <c r="JP80"/>
  <c r="JV80"/>
  <c r="KC80"/>
  <c r="KJ80"/>
  <c r="KP80"/>
  <c r="KV80"/>
  <c r="LB80"/>
  <c r="LF80"/>
  <c r="HI81"/>
  <c r="HO81"/>
  <c r="HU81"/>
  <c r="HY81"/>
  <c r="IC81"/>
  <c r="IG81"/>
  <c r="IM81"/>
  <c r="IQ81"/>
  <c r="IW81"/>
  <c r="JC81"/>
  <c r="JP81"/>
  <c r="JV81"/>
  <c r="KC81"/>
  <c r="KJ81"/>
  <c r="KP81"/>
  <c r="KV81"/>
  <c r="LB81"/>
  <c r="LF81"/>
  <c r="HI82"/>
  <c r="HO82"/>
  <c r="HU82"/>
  <c r="HY82"/>
  <c r="IC82"/>
  <c r="IG82"/>
  <c r="IM82"/>
  <c r="JD82" s="1"/>
  <c r="IQ82"/>
  <c r="IW82"/>
  <c r="JC82"/>
  <c r="JP82"/>
  <c r="JV82"/>
  <c r="KC82"/>
  <c r="KJ82"/>
  <c r="KP82"/>
  <c r="KV82"/>
  <c r="LB82"/>
  <c r="LF82"/>
  <c r="LG82" s="1"/>
  <c r="HI83"/>
  <c r="HO83"/>
  <c r="HU83"/>
  <c r="HY83"/>
  <c r="IC83"/>
  <c r="IG83"/>
  <c r="IM83"/>
  <c r="IQ83"/>
  <c r="IW83"/>
  <c r="JC83"/>
  <c r="JP83"/>
  <c r="JV83"/>
  <c r="KC83"/>
  <c r="KJ83"/>
  <c r="KP83"/>
  <c r="KV83"/>
  <c r="LB83"/>
  <c r="LF83"/>
  <c r="HI84"/>
  <c r="HO84"/>
  <c r="HU84"/>
  <c r="HY84"/>
  <c r="IC84"/>
  <c r="IG84"/>
  <c r="IM84"/>
  <c r="IQ84"/>
  <c r="IW84"/>
  <c r="JC84"/>
  <c r="JP84"/>
  <c r="JV84"/>
  <c r="KC84"/>
  <c r="KJ84"/>
  <c r="KP84"/>
  <c r="KV84"/>
  <c r="LB84"/>
  <c r="LF84"/>
  <c r="LG84" s="1"/>
  <c r="HI85"/>
  <c r="HO85"/>
  <c r="HU85"/>
  <c r="HY85"/>
  <c r="IC85"/>
  <c r="IG85"/>
  <c r="JD85" s="1"/>
  <c r="IM85"/>
  <c r="IQ85"/>
  <c r="IW85"/>
  <c r="JC85"/>
  <c r="JP85"/>
  <c r="JV85"/>
  <c r="KC85"/>
  <c r="KJ85"/>
  <c r="KP85"/>
  <c r="KV85"/>
  <c r="LB85"/>
  <c r="LF85"/>
  <c r="HI86"/>
  <c r="HO86"/>
  <c r="HU86"/>
  <c r="HY86"/>
  <c r="IC86"/>
  <c r="IG86"/>
  <c r="JD86" s="1"/>
  <c r="IM86"/>
  <c r="IQ86"/>
  <c r="IW86"/>
  <c r="JC86"/>
  <c r="JP86"/>
  <c r="JV86"/>
  <c r="KC86"/>
  <c r="KJ86"/>
  <c r="KP86"/>
  <c r="KV86"/>
  <c r="LB86"/>
  <c r="LF86"/>
  <c r="HI87"/>
  <c r="HO87"/>
  <c r="HU87"/>
  <c r="HY87"/>
  <c r="IC87"/>
  <c r="IG87"/>
  <c r="IM87"/>
  <c r="IQ87"/>
  <c r="IW87"/>
  <c r="JC87"/>
  <c r="JP87"/>
  <c r="JV87"/>
  <c r="KC87"/>
  <c r="KJ87"/>
  <c r="KP87"/>
  <c r="KV87"/>
  <c r="LB87"/>
  <c r="LF87"/>
  <c r="LG87" s="1"/>
  <c r="HI88"/>
  <c r="HO88"/>
  <c r="HU88"/>
  <c r="HY88"/>
  <c r="IC88"/>
  <c r="IG88"/>
  <c r="JD88" s="1"/>
  <c r="IM88"/>
  <c r="IQ88"/>
  <c r="IW88"/>
  <c r="JC88"/>
  <c r="JP88"/>
  <c r="JV88"/>
  <c r="KC88"/>
  <c r="KJ88"/>
  <c r="KP88"/>
  <c r="KV88"/>
  <c r="LB88"/>
  <c r="LF88"/>
  <c r="LG88"/>
  <c r="HI89"/>
  <c r="HO89"/>
  <c r="HU89"/>
  <c r="HY89"/>
  <c r="ID89" s="1"/>
  <c r="IC89"/>
  <c r="IG89"/>
  <c r="JD89" s="1"/>
  <c r="IM89"/>
  <c r="IQ89"/>
  <c r="IW89"/>
  <c r="JC89"/>
  <c r="JP89"/>
  <c r="JV89"/>
  <c r="KC89"/>
  <c r="KJ89"/>
  <c r="KP89"/>
  <c r="KV89"/>
  <c r="LB89"/>
  <c r="LF89"/>
  <c r="HI90"/>
  <c r="HO90"/>
  <c r="HU90"/>
  <c r="HY90"/>
  <c r="IC90"/>
  <c r="IG90"/>
  <c r="IM90"/>
  <c r="IQ90"/>
  <c r="IW90"/>
  <c r="JC90"/>
  <c r="JP90"/>
  <c r="JV90"/>
  <c r="KC90"/>
  <c r="KJ90"/>
  <c r="KP90"/>
  <c r="KV90"/>
  <c r="LB90"/>
  <c r="LF90"/>
  <c r="HI91"/>
  <c r="HO91"/>
  <c r="HU91"/>
  <c r="HY91"/>
  <c r="IC91"/>
  <c r="IG91"/>
  <c r="IM91"/>
  <c r="IQ91"/>
  <c r="IW91"/>
  <c r="JC91"/>
  <c r="JP91"/>
  <c r="JV91"/>
  <c r="KC91"/>
  <c r="KJ91"/>
  <c r="KP91"/>
  <c r="KV91"/>
  <c r="LB91"/>
  <c r="LF91"/>
  <c r="HI92"/>
  <c r="HO92"/>
  <c r="HU92"/>
  <c r="HY92"/>
  <c r="IC92"/>
  <c r="IG92"/>
  <c r="IM92"/>
  <c r="IQ92"/>
  <c r="IW92"/>
  <c r="JC92"/>
  <c r="JP92"/>
  <c r="JV92"/>
  <c r="KC92"/>
  <c r="KJ92"/>
  <c r="KP92"/>
  <c r="KV92"/>
  <c r="LB92"/>
  <c r="LF92"/>
  <c r="LG92" s="1"/>
  <c r="HI93"/>
  <c r="HO93"/>
  <c r="HU93"/>
  <c r="HY93"/>
  <c r="IC93"/>
  <c r="IG93"/>
  <c r="IM93"/>
  <c r="JD93" s="1"/>
  <c r="IQ93"/>
  <c r="IW93"/>
  <c r="JC93"/>
  <c r="JP93"/>
  <c r="JV93"/>
  <c r="KC93"/>
  <c r="KJ93"/>
  <c r="KP93"/>
  <c r="KV93"/>
  <c r="LB93"/>
  <c r="LF93"/>
  <c r="HI94"/>
  <c r="HO94"/>
  <c r="HU94"/>
  <c r="HY94"/>
  <c r="IC94"/>
  <c r="IG94"/>
  <c r="IM94"/>
  <c r="IQ94"/>
  <c r="IW94"/>
  <c r="JC94"/>
  <c r="JP94"/>
  <c r="JV94"/>
  <c r="KC94"/>
  <c r="KJ94"/>
  <c r="KP94"/>
  <c r="KV94"/>
  <c r="LB94"/>
  <c r="LF94"/>
  <c r="HI95"/>
  <c r="HO95"/>
  <c r="HU95"/>
  <c r="HY95"/>
  <c r="IC95"/>
  <c r="IG95"/>
  <c r="IM95"/>
  <c r="IQ95"/>
  <c r="IW95"/>
  <c r="JC95"/>
  <c r="JP95"/>
  <c r="JV95"/>
  <c r="KC95"/>
  <c r="KJ95"/>
  <c r="KP95"/>
  <c r="KV95"/>
  <c r="LB95"/>
  <c r="LF95"/>
  <c r="HI96"/>
  <c r="HO96"/>
  <c r="HU96"/>
  <c r="HY96"/>
  <c r="IC96"/>
  <c r="IG96"/>
  <c r="IM96"/>
  <c r="IQ96"/>
  <c r="IW96"/>
  <c r="JC96"/>
  <c r="JJ96"/>
  <c r="JP96"/>
  <c r="JV96"/>
  <c r="KC96"/>
  <c r="KJ96"/>
  <c r="KP96"/>
  <c r="KV96"/>
  <c r="LB96"/>
  <c r="LF96"/>
  <c r="HO41"/>
  <c r="HU41"/>
  <c r="HY41"/>
  <c r="IC41"/>
  <c r="HO42"/>
  <c r="HU42"/>
  <c r="HY42"/>
  <c r="IC42"/>
  <c r="HO43"/>
  <c r="HU43"/>
  <c r="HY43"/>
  <c r="IC43"/>
  <c r="HO44"/>
  <c r="HU44"/>
  <c r="HY44"/>
  <c r="IC44"/>
  <c r="HO45"/>
  <c r="HU45"/>
  <c r="HY45"/>
  <c r="IC45"/>
  <c r="HO46"/>
  <c r="HU46"/>
  <c r="HY46"/>
  <c r="IC46"/>
  <c r="HO6"/>
  <c r="HU6"/>
  <c r="HY6"/>
  <c r="IC6"/>
  <c r="HO7"/>
  <c r="HU7"/>
  <c r="HY7"/>
  <c r="IC7"/>
  <c r="HO8"/>
  <c r="HU8"/>
  <c r="HY8"/>
  <c r="IC8"/>
  <c r="HO9"/>
  <c r="HU9"/>
  <c r="HY9"/>
  <c r="IC9"/>
  <c r="HO10"/>
  <c r="HU10"/>
  <c r="HY10"/>
  <c r="IC10"/>
  <c r="HO11"/>
  <c r="HU11"/>
  <c r="HY11"/>
  <c r="IC11"/>
  <c r="HO12"/>
  <c r="HU12"/>
  <c r="HY12"/>
  <c r="IC12"/>
  <c r="HO13"/>
  <c r="HU13"/>
  <c r="HY13"/>
  <c r="IC13"/>
  <c r="HO14"/>
  <c r="HU14"/>
  <c r="HY14"/>
  <c r="IC14"/>
  <c r="HO15"/>
  <c r="HU15"/>
  <c r="HY15"/>
  <c r="IC15"/>
  <c r="HO16"/>
  <c r="HU16"/>
  <c r="HY16"/>
  <c r="IC16"/>
  <c r="HO17"/>
  <c r="HU17"/>
  <c r="HY17"/>
  <c r="IC17"/>
  <c r="HO18"/>
  <c r="HU18"/>
  <c r="HY18"/>
  <c r="IC18"/>
  <c r="HO19"/>
  <c r="HU19"/>
  <c r="HY19"/>
  <c r="IC19"/>
  <c r="HO20"/>
  <c r="HU20"/>
  <c r="HY20"/>
  <c r="IC20"/>
  <c r="HO21"/>
  <c r="HU21"/>
  <c r="HY21"/>
  <c r="IC21"/>
  <c r="HO22"/>
  <c r="HU22"/>
  <c r="HY22"/>
  <c r="IC22"/>
  <c r="HO23"/>
  <c r="HU23"/>
  <c r="HY23"/>
  <c r="IC23"/>
  <c r="HO24"/>
  <c r="HU24"/>
  <c r="HY24"/>
  <c r="IC24"/>
  <c r="HO25"/>
  <c r="HU25"/>
  <c r="HY25"/>
  <c r="IC25"/>
  <c r="HO26"/>
  <c r="HU26"/>
  <c r="HY26"/>
  <c r="IC26"/>
  <c r="HO27"/>
  <c r="HU27"/>
  <c r="HY27"/>
  <c r="IC27"/>
  <c r="HO28"/>
  <c r="HU28"/>
  <c r="HY28"/>
  <c r="IC28"/>
  <c r="HO29"/>
  <c r="HU29"/>
  <c r="HY29"/>
  <c r="IC29"/>
  <c r="HO30"/>
  <c r="HU30"/>
  <c r="HY30"/>
  <c r="IC30"/>
  <c r="HO31"/>
  <c r="HU31"/>
  <c r="HY31"/>
  <c r="IC31"/>
  <c r="HO32"/>
  <c r="HU32"/>
  <c r="HY32"/>
  <c r="IC32"/>
  <c r="HO33"/>
  <c r="HU33"/>
  <c r="HY33"/>
  <c r="IC33"/>
  <c r="HO34"/>
  <c r="HU34"/>
  <c r="HY34"/>
  <c r="IC34"/>
  <c r="HO35"/>
  <c r="HU35"/>
  <c r="HY35"/>
  <c r="IC35"/>
  <c r="HO36"/>
  <c r="HU36"/>
  <c r="HY36"/>
  <c r="IC36"/>
  <c r="HO37"/>
  <c r="HU37"/>
  <c r="HY37"/>
  <c r="IC37"/>
  <c r="HH45"/>
  <c r="HH37"/>
  <c r="HH30"/>
  <c r="HG45"/>
  <c r="HF46"/>
  <c r="HI46" s="1"/>
  <c r="HF45"/>
  <c r="HF37"/>
  <c r="HF30"/>
  <c r="HE45"/>
  <c r="HE37"/>
  <c r="HI37"/>
  <c r="HE30"/>
  <c r="HI30" s="1"/>
  <c r="HE9"/>
  <c r="HI9" s="1"/>
  <c r="HI41"/>
  <c r="HI42"/>
  <c r="HI43"/>
  <c r="HI44"/>
  <c r="HI6"/>
  <c r="HI7"/>
  <c r="HI8"/>
  <c r="HI10"/>
  <c r="HI11"/>
  <c r="HI12"/>
  <c r="HI13"/>
  <c r="HI14"/>
  <c r="HI15"/>
  <c r="HI16"/>
  <c r="HI17"/>
  <c r="HI18"/>
  <c r="HI19"/>
  <c r="HI20"/>
  <c r="HI21"/>
  <c r="HI22"/>
  <c r="HI23"/>
  <c r="HI24"/>
  <c r="HI25"/>
  <c r="HI26"/>
  <c r="HI27"/>
  <c r="HI28"/>
  <c r="HI29"/>
  <c r="HI31"/>
  <c r="HI32"/>
  <c r="HI33"/>
  <c r="HI34"/>
  <c r="HI35"/>
  <c r="HI36"/>
  <c r="IA226"/>
  <c r="IB226"/>
  <c r="IA254"/>
  <c r="IA252" s="1"/>
  <c r="IB254"/>
  <c r="IB252" s="1"/>
  <c r="IA212"/>
  <c r="IB212"/>
  <c r="IA218"/>
  <c r="IB218"/>
  <c r="IB221" s="1"/>
  <c r="IA221"/>
  <c r="IA198"/>
  <c r="IB198"/>
  <c r="IA204"/>
  <c r="IA207" s="1"/>
  <c r="IB204"/>
  <c r="IB207" s="1"/>
  <c r="IA140"/>
  <c r="IB140"/>
  <c r="IB185"/>
  <c r="IA185"/>
  <c r="IA126"/>
  <c r="IB126"/>
  <c r="IB135" s="1"/>
  <c r="IA132"/>
  <c r="IB132"/>
  <c r="IA135"/>
  <c r="IA112"/>
  <c r="IB112"/>
  <c r="IA118"/>
  <c r="IA121" s="1"/>
  <c r="IB118"/>
  <c r="IA98"/>
  <c r="IA53"/>
  <c r="IA4"/>
  <c r="IB4"/>
  <c r="IA39"/>
  <c r="IB39"/>
  <c r="GX95"/>
  <c r="HC95" s="1"/>
  <c r="GX89"/>
  <c r="GX76"/>
  <c r="HC76" s="1"/>
  <c r="HB72"/>
  <c r="HB75"/>
  <c r="HB68"/>
  <c r="HB58"/>
  <c r="HC58" s="1"/>
  <c r="HB59"/>
  <c r="HA75"/>
  <c r="HA72"/>
  <c r="HC72" s="1"/>
  <c r="HA68"/>
  <c r="HA65"/>
  <c r="GZ63"/>
  <c r="HC63" s="1"/>
  <c r="GZ75"/>
  <c r="GY75"/>
  <c r="GY63"/>
  <c r="GX62"/>
  <c r="HC62" s="1"/>
  <c r="GW59"/>
  <c r="HC59" s="1"/>
  <c r="GT75"/>
  <c r="GT72"/>
  <c r="GT59"/>
  <c r="GV59" s="1"/>
  <c r="GT68"/>
  <c r="GT63"/>
  <c r="GS68"/>
  <c r="GR75"/>
  <c r="GQ75"/>
  <c r="GQ69"/>
  <c r="GV69" s="1"/>
  <c r="GQ68"/>
  <c r="GO56"/>
  <c r="GN72"/>
  <c r="GN63"/>
  <c r="GP63" s="1"/>
  <c r="GN56"/>
  <c r="GL72"/>
  <c r="GL68"/>
  <c r="GP68" s="1"/>
  <c r="GL62"/>
  <c r="GP62" s="1"/>
  <c r="HB100"/>
  <c r="HC100" s="1"/>
  <c r="GZ53"/>
  <c r="GZ99"/>
  <c r="GU99"/>
  <c r="GV99" s="1"/>
  <c r="GV100"/>
  <c r="GV101"/>
  <c r="GV102"/>
  <c r="GV104"/>
  <c r="GV105"/>
  <c r="HC101"/>
  <c r="HC102"/>
  <c r="HC104"/>
  <c r="HC105"/>
  <c r="GX103"/>
  <c r="GY103"/>
  <c r="GZ103"/>
  <c r="HA103"/>
  <c r="HB103"/>
  <c r="GW103"/>
  <c r="GR103"/>
  <c r="GS103"/>
  <c r="GT103"/>
  <c r="GU103"/>
  <c r="GQ103"/>
  <c r="HC55"/>
  <c r="HC56"/>
  <c r="HC57"/>
  <c r="HC60"/>
  <c r="HC61"/>
  <c r="HC64"/>
  <c r="HC65"/>
  <c r="HC66"/>
  <c r="HC67"/>
  <c r="HC69"/>
  <c r="HC70"/>
  <c r="HC71"/>
  <c r="HC73"/>
  <c r="HC74"/>
  <c r="HC77"/>
  <c r="HC78"/>
  <c r="HC79"/>
  <c r="HC80"/>
  <c r="HC81"/>
  <c r="HC82"/>
  <c r="HC83"/>
  <c r="HC84"/>
  <c r="HC85"/>
  <c r="HC86"/>
  <c r="HC87"/>
  <c r="HC88"/>
  <c r="HC89"/>
  <c r="HC90"/>
  <c r="HC91"/>
  <c r="HC92"/>
  <c r="HC93"/>
  <c r="HC94"/>
  <c r="HC96"/>
  <c r="GV55"/>
  <c r="GV56"/>
  <c r="GV57"/>
  <c r="GV58"/>
  <c r="GV60"/>
  <c r="GV61"/>
  <c r="GV62"/>
  <c r="GV63"/>
  <c r="GV64"/>
  <c r="GV65"/>
  <c r="GV66"/>
  <c r="GV67"/>
  <c r="GV70"/>
  <c r="GV71"/>
  <c r="GV72"/>
  <c r="GV73"/>
  <c r="GV74"/>
  <c r="GV75"/>
  <c r="GV76"/>
  <c r="GV77"/>
  <c r="GV78"/>
  <c r="GV79"/>
  <c r="GV80"/>
  <c r="GV81"/>
  <c r="GV82"/>
  <c r="GV83"/>
  <c r="GV84"/>
  <c r="GV85"/>
  <c r="GV86"/>
  <c r="GV87"/>
  <c r="GV88"/>
  <c r="GV89"/>
  <c r="GV90"/>
  <c r="GV91"/>
  <c r="GV92"/>
  <c r="GV93"/>
  <c r="GV94"/>
  <c r="GV95"/>
  <c r="GV96"/>
  <c r="GP54"/>
  <c r="GP55"/>
  <c r="GP56"/>
  <c r="GP57"/>
  <c r="GP58"/>
  <c r="GP59"/>
  <c r="GP60"/>
  <c r="GP61"/>
  <c r="GP64"/>
  <c r="GP65"/>
  <c r="GP66"/>
  <c r="GP67"/>
  <c r="GP69"/>
  <c r="GP70"/>
  <c r="GP71"/>
  <c r="GP73"/>
  <c r="GP74"/>
  <c r="GP75"/>
  <c r="GP76"/>
  <c r="GP77"/>
  <c r="GP78"/>
  <c r="GP79"/>
  <c r="GP80"/>
  <c r="GP81"/>
  <c r="GP82"/>
  <c r="GP83"/>
  <c r="GP84"/>
  <c r="GP85"/>
  <c r="GP86"/>
  <c r="GP87"/>
  <c r="GP88"/>
  <c r="GP89"/>
  <c r="GP90"/>
  <c r="GP91"/>
  <c r="GP92"/>
  <c r="GP93"/>
  <c r="GP94"/>
  <c r="GP95"/>
  <c r="JD68" l="1"/>
  <c r="JD81"/>
  <c r="JD71"/>
  <c r="JD69"/>
  <c r="JD83"/>
  <c r="JD56"/>
  <c r="JD73"/>
  <c r="JD59"/>
  <c r="JD74"/>
  <c r="JD90"/>
  <c r="JD60"/>
  <c r="JD72"/>
  <c r="JD95"/>
  <c r="JD91"/>
  <c r="JD75"/>
  <c r="JD58"/>
  <c r="JD63"/>
  <c r="KD173"/>
  <c r="KD160"/>
  <c r="JD158"/>
  <c r="JD178"/>
  <c r="JD146"/>
  <c r="JD155"/>
  <c r="JD180"/>
  <c r="JD176"/>
  <c r="JD143"/>
  <c r="JD159"/>
  <c r="JD156"/>
  <c r="JD182"/>
  <c r="JD170"/>
  <c r="JD145"/>
  <c r="JD154"/>
  <c r="JD162"/>
  <c r="JD160"/>
  <c r="KD94"/>
  <c r="LG93"/>
  <c r="LG74"/>
  <c r="GV68"/>
  <c r="KD72"/>
  <c r="KD190"/>
  <c r="LG81"/>
  <c r="ID55"/>
  <c r="KD191"/>
  <c r="IB256"/>
  <c r="KD78"/>
  <c r="LG66"/>
  <c r="LG96"/>
  <c r="LG91"/>
  <c r="LG72"/>
  <c r="LG64"/>
  <c r="LG105"/>
  <c r="ID173"/>
  <c r="KD148"/>
  <c r="ID148"/>
  <c r="KD147"/>
  <c r="KD146"/>
  <c r="LG145"/>
  <c r="GP72"/>
  <c r="HC75"/>
  <c r="IB193"/>
  <c r="ID87"/>
  <c r="KD86"/>
  <c r="LG85"/>
  <c r="ID81"/>
  <c r="KD80"/>
  <c r="LG78"/>
  <c r="LG70"/>
  <c r="ID67"/>
  <c r="ID59"/>
  <c r="KD58"/>
  <c r="KD180"/>
  <c r="ID180"/>
  <c r="KD179"/>
  <c r="ID176"/>
  <c r="LG174"/>
  <c r="ID171"/>
  <c r="LG169"/>
  <c r="LG167"/>
  <c r="KD167"/>
  <c r="ID167"/>
  <c r="LG166"/>
  <c r="KD166"/>
  <c r="KD163"/>
  <c r="ID163"/>
  <c r="LG161"/>
  <c r="ID157"/>
  <c r="KD154"/>
  <c r="LG151"/>
  <c r="KD151"/>
  <c r="KD144"/>
  <c r="ID187"/>
  <c r="HC189"/>
  <c r="GV189"/>
  <c r="KD96"/>
  <c r="ID96"/>
  <c r="KD95"/>
  <c r="KD90"/>
  <c r="LG89"/>
  <c r="ID77"/>
  <c r="ID101"/>
  <c r="KD105"/>
  <c r="ID175"/>
  <c r="ID161"/>
  <c r="LG160"/>
  <c r="IB121"/>
  <c r="ID145"/>
  <c r="ID179"/>
  <c r="ID156"/>
  <c r="ID71"/>
  <c r="ID93"/>
  <c r="ID73"/>
  <c r="ID91"/>
  <c r="ID83"/>
  <c r="ID72"/>
  <c r="ID69"/>
  <c r="HA53"/>
  <c r="ID95"/>
  <c r="ID94"/>
  <c r="KD93"/>
  <c r="KD92"/>
  <c r="ID92"/>
  <c r="KD91"/>
  <c r="ID90"/>
  <c r="KD89"/>
  <c r="KD88"/>
  <c r="ID88"/>
  <c r="KD87"/>
  <c r="ID86"/>
  <c r="KD85"/>
  <c r="KD84"/>
  <c r="ID84"/>
  <c r="KD82"/>
  <c r="ID82"/>
  <c r="KD81"/>
  <c r="ID80"/>
  <c r="LG77"/>
  <c r="ID76"/>
  <c r="LG73"/>
  <c r="LG71"/>
  <c r="LG69"/>
  <c r="LG67"/>
  <c r="ID65"/>
  <c r="LG63"/>
  <c r="LG58"/>
  <c r="LG56"/>
  <c r="KD183"/>
  <c r="ID183"/>
  <c r="ID181"/>
  <c r="LG179"/>
  <c r="LG178"/>
  <c r="KD178"/>
  <c r="LG177"/>
  <c r="LG175"/>
  <c r="KD175"/>
  <c r="ID172"/>
  <c r="KD171"/>
  <c r="KD169"/>
  <c r="LG168"/>
  <c r="KD168"/>
  <c r="LG164"/>
  <c r="KD164"/>
  <c r="KD161"/>
  <c r="ID160"/>
  <c r="ID158"/>
  <c r="LG147"/>
  <c r="ID147"/>
  <c r="KD145"/>
  <c r="ID143"/>
  <c r="LG191"/>
  <c r="ID191"/>
  <c r="ID190"/>
  <c r="KD188"/>
  <c r="ID188"/>
  <c r="KD187"/>
  <c r="IA48"/>
  <c r="IA256"/>
  <c r="ID79"/>
  <c r="ID78"/>
  <c r="KD77"/>
  <c r="ID75"/>
  <c r="ID74"/>
  <c r="KD73"/>
  <c r="KD71"/>
  <c r="ID70"/>
  <c r="KD69"/>
  <c r="ID68"/>
  <c r="KD67"/>
  <c r="ID66"/>
  <c r="KD64"/>
  <c r="ID64"/>
  <c r="KD63"/>
  <c r="LG61"/>
  <c r="ID61"/>
  <c r="LG59"/>
  <c r="LG57"/>
  <c r="ID57"/>
  <c r="LG55"/>
  <c r="ID104"/>
  <c r="LG183"/>
  <c r="LG182"/>
  <c r="KD182"/>
  <c r="LG181"/>
  <c r="LG180"/>
  <c r="KD177"/>
  <c r="LG176"/>
  <c r="KD176"/>
  <c r="ID174"/>
  <c r="LG172"/>
  <c r="LG171"/>
  <c r="LG159"/>
  <c r="KD159"/>
  <c r="ID159"/>
  <c r="LG158"/>
  <c r="KD158"/>
  <c r="LG157"/>
  <c r="LG156"/>
  <c r="KD156"/>
  <c r="ID144"/>
  <c r="KD143"/>
  <c r="HC103"/>
  <c r="GZ98"/>
  <c r="GZ107" s="1"/>
  <c r="HC68"/>
  <c r="IB48"/>
  <c r="HI45"/>
  <c r="LG95"/>
  <c r="LG94"/>
  <c r="LG90"/>
  <c r="LG86"/>
  <c r="LG80"/>
  <c r="ID63"/>
  <c r="ID62"/>
  <c r="KD61"/>
  <c r="KD60"/>
  <c r="ID60"/>
  <c r="KD59"/>
  <c r="ID58"/>
  <c r="KD57"/>
  <c r="ID56"/>
  <c r="KD55"/>
  <c r="KD102"/>
  <c r="LG100"/>
  <c r="KD181"/>
  <c r="KD174"/>
  <c r="LG173"/>
  <c r="KD172"/>
  <c r="ID170"/>
  <c r="ID169"/>
  <c r="ID168"/>
  <c r="ID166"/>
  <c r="ID165"/>
  <c r="ID164"/>
  <c r="KD157"/>
  <c r="ID154"/>
  <c r="ID153"/>
  <c r="ID152"/>
  <c r="ID151"/>
  <c r="LG150"/>
  <c r="KD150"/>
  <c r="LG148"/>
  <c r="LG144"/>
  <c r="LG143"/>
  <c r="ID146"/>
  <c r="ID150"/>
  <c r="ID162"/>
  <c r="ID155"/>
  <c r="ID177"/>
  <c r="ID178"/>
  <c r="ID182"/>
  <c r="IA193"/>
  <c r="ID102"/>
  <c r="ID85"/>
  <c r="IA107"/>
  <c r="GV103"/>
  <c r="GP228"/>
  <c r="GP229"/>
  <c r="GP230"/>
  <c r="GP231"/>
  <c r="GP232"/>
  <c r="GP233"/>
  <c r="GP234"/>
  <c r="GP235"/>
  <c r="GP236"/>
  <c r="GP237"/>
  <c r="GP238"/>
  <c r="GP239"/>
  <c r="GP240"/>
  <c r="GP241"/>
  <c r="GP242"/>
  <c r="GP243"/>
  <c r="GP244"/>
  <c r="GP245"/>
  <c r="GP246"/>
  <c r="GP247"/>
  <c r="GP248"/>
  <c r="GP249"/>
  <c r="GP250"/>
  <c r="GV228"/>
  <c r="GV229"/>
  <c r="GV230"/>
  <c r="GV231"/>
  <c r="GV232"/>
  <c r="GV233"/>
  <c r="GV234"/>
  <c r="GV235"/>
  <c r="GV236"/>
  <c r="GV237"/>
  <c r="GV238"/>
  <c r="GV239"/>
  <c r="GV240"/>
  <c r="GV241"/>
  <c r="GV242"/>
  <c r="GV243"/>
  <c r="GV244"/>
  <c r="GV245"/>
  <c r="GV246"/>
  <c r="GV247"/>
  <c r="GV248"/>
  <c r="GV249"/>
  <c r="GV250"/>
  <c r="HC228"/>
  <c r="HC229"/>
  <c r="HC230"/>
  <c r="HC231"/>
  <c r="HC232"/>
  <c r="HC233"/>
  <c r="HC234"/>
  <c r="HC235"/>
  <c r="HC236"/>
  <c r="HC237"/>
  <c r="HC238"/>
  <c r="HC239"/>
  <c r="HC240"/>
  <c r="HC241"/>
  <c r="HC242"/>
  <c r="HC243"/>
  <c r="HC244"/>
  <c r="HC245"/>
  <c r="HC246"/>
  <c r="HC247"/>
  <c r="HC248"/>
  <c r="HC249"/>
  <c r="GZ226"/>
  <c r="HA226"/>
  <c r="GZ252"/>
  <c r="HA252"/>
  <c r="HA212"/>
  <c r="HA218"/>
  <c r="GZ212"/>
  <c r="GZ218"/>
  <c r="GZ221" s="1"/>
  <c r="HC214"/>
  <c r="HC215"/>
  <c r="HC216"/>
  <c r="HC219"/>
  <c r="HC213"/>
  <c r="GV205"/>
  <c r="HC205"/>
  <c r="HC200"/>
  <c r="HC201"/>
  <c r="HC202"/>
  <c r="GV200"/>
  <c r="GV201"/>
  <c r="GV202"/>
  <c r="GV199"/>
  <c r="HC199"/>
  <c r="GZ198"/>
  <c r="HA198"/>
  <c r="GZ204"/>
  <c r="HA204"/>
  <c r="GZ207"/>
  <c r="GZ126"/>
  <c r="HA126"/>
  <c r="GZ132"/>
  <c r="HA132"/>
  <c r="HA135" s="1"/>
  <c r="HC128"/>
  <c r="HC129"/>
  <c r="HC130"/>
  <c r="HC127"/>
  <c r="HB133"/>
  <c r="HC133" s="1"/>
  <c r="GV133"/>
  <c r="GV128"/>
  <c r="GV129"/>
  <c r="GV130"/>
  <c r="HB113"/>
  <c r="HC113" s="1"/>
  <c r="GZ113"/>
  <c r="GZ118"/>
  <c r="HA118"/>
  <c r="GZ112"/>
  <c r="HA112"/>
  <c r="HC114"/>
  <c r="HC115"/>
  <c r="HC116"/>
  <c r="HC119"/>
  <c r="GV114"/>
  <c r="GV115"/>
  <c r="GV116"/>
  <c r="GV119"/>
  <c r="GP113"/>
  <c r="GP114"/>
  <c r="GP115"/>
  <c r="GP119"/>
  <c r="GX13"/>
  <c r="GM11"/>
  <c r="GL13"/>
  <c r="HB46"/>
  <c r="HB37"/>
  <c r="HB45"/>
  <c r="HB39" s="1"/>
  <c r="HB30"/>
  <c r="HA46"/>
  <c r="HA39" s="1"/>
  <c r="HA37"/>
  <c r="HA30"/>
  <c r="GZ46"/>
  <c r="GZ39" s="1"/>
  <c r="GZ37"/>
  <c r="GZ30"/>
  <c r="GZ4" s="1"/>
  <c r="GY45"/>
  <c r="GY37"/>
  <c r="GY30"/>
  <c r="GW46"/>
  <c r="GW37"/>
  <c r="GW30"/>
  <c r="IA260" l="1"/>
  <c r="HA4"/>
  <c r="HA221"/>
  <c r="GZ256"/>
  <c r="GZ48"/>
  <c r="GZ135"/>
  <c r="HA207"/>
  <c r="HA256"/>
  <c r="HA121"/>
  <c r="GZ260"/>
  <c r="GZ121"/>
  <c r="GT46" l="1"/>
  <c r="GT37"/>
  <c r="GT45"/>
  <c r="GT30"/>
  <c r="GS46"/>
  <c r="GS37"/>
  <c r="GS30"/>
  <c r="GR46"/>
  <c r="GR45"/>
  <c r="GR37"/>
  <c r="GR30"/>
  <c r="GV30" s="1"/>
  <c r="GQ46"/>
  <c r="GQ37"/>
  <c r="HC40"/>
  <c r="HC41"/>
  <c r="HC42"/>
  <c r="HC43"/>
  <c r="HC44"/>
  <c r="HC45"/>
  <c r="HC6"/>
  <c r="HC7"/>
  <c r="HC8"/>
  <c r="HC9"/>
  <c r="HC10"/>
  <c r="HC11"/>
  <c r="HC12"/>
  <c r="HC13"/>
  <c r="HC14"/>
  <c r="HC15"/>
  <c r="HC16"/>
  <c r="HC17"/>
  <c r="HC18"/>
  <c r="HC19"/>
  <c r="HC20"/>
  <c r="HC21"/>
  <c r="HC22"/>
  <c r="HC23"/>
  <c r="HC24"/>
  <c r="HC25"/>
  <c r="HC26"/>
  <c r="HC27"/>
  <c r="HC28"/>
  <c r="HC29"/>
  <c r="HC30"/>
  <c r="HC31"/>
  <c r="HC32"/>
  <c r="HC33"/>
  <c r="HC34"/>
  <c r="HC35"/>
  <c r="HC36"/>
  <c r="HC37"/>
  <c r="GO46"/>
  <c r="GO37"/>
  <c r="GO45"/>
  <c r="GO30"/>
  <c r="GM37"/>
  <c r="GM30"/>
  <c r="GL46"/>
  <c r="GL45"/>
  <c r="GV40"/>
  <c r="GV41"/>
  <c r="GV42"/>
  <c r="GV43"/>
  <c r="GV44"/>
  <c r="GV45"/>
  <c r="GV6"/>
  <c r="GV7"/>
  <c r="GV8"/>
  <c r="GV9"/>
  <c r="GV10"/>
  <c r="GV11"/>
  <c r="GV12"/>
  <c r="GV13"/>
  <c r="GV14"/>
  <c r="GV15"/>
  <c r="GV16"/>
  <c r="GV17"/>
  <c r="GV18"/>
  <c r="GV19"/>
  <c r="GV20"/>
  <c r="GV21"/>
  <c r="GV22"/>
  <c r="GV23"/>
  <c r="GV24"/>
  <c r="GV25"/>
  <c r="GV26"/>
  <c r="GV27"/>
  <c r="GV28"/>
  <c r="GV29"/>
  <c r="GV31"/>
  <c r="GV32"/>
  <c r="GV33"/>
  <c r="GV34"/>
  <c r="GV35"/>
  <c r="GV36"/>
  <c r="GV37"/>
  <c r="GP6"/>
  <c r="GP7"/>
  <c r="GP8"/>
  <c r="GP9"/>
  <c r="GP10"/>
  <c r="GP11"/>
  <c r="GP12"/>
  <c r="GP13"/>
  <c r="GP14"/>
  <c r="GP15"/>
  <c r="GP16"/>
  <c r="GP17"/>
  <c r="GP18"/>
  <c r="GP19"/>
  <c r="GP20"/>
  <c r="GP21"/>
  <c r="GP22"/>
  <c r="GP23"/>
  <c r="GP24"/>
  <c r="GP25"/>
  <c r="GP26"/>
  <c r="GP27"/>
  <c r="GP28"/>
  <c r="GP29"/>
  <c r="GP31"/>
  <c r="GP32"/>
  <c r="GP33"/>
  <c r="GP34"/>
  <c r="GP35"/>
  <c r="GP36"/>
  <c r="GP37"/>
  <c r="GP40"/>
  <c r="GP41"/>
  <c r="GP42"/>
  <c r="GP43"/>
  <c r="GP44"/>
  <c r="GP45"/>
  <c r="GP30" l="1"/>
  <c r="F26" i="27" l="1"/>
  <c r="G26"/>
  <c r="M26"/>
  <c r="K7" i="11"/>
  <c r="GP99" i="17" l="1"/>
  <c r="GP103"/>
  <c r="K19" i="27" l="1"/>
  <c r="K21"/>
  <c r="GJ162" i="17"/>
  <c r="GJ160"/>
  <c r="GH146"/>
  <c r="GC155"/>
  <c r="GB162"/>
  <c r="GB159"/>
  <c r="GB152"/>
  <c r="FZ162"/>
  <c r="FY162"/>
  <c r="GK187" l="1"/>
  <c r="HD187" s="1"/>
  <c r="GK188"/>
  <c r="HD188" s="1"/>
  <c r="GK190"/>
  <c r="HD190" s="1"/>
  <c r="GK191"/>
  <c r="GK142"/>
  <c r="HD142" s="1"/>
  <c r="GK143"/>
  <c r="GK144"/>
  <c r="HD144" s="1"/>
  <c r="GK145"/>
  <c r="GK146"/>
  <c r="GK147"/>
  <c r="HD147" s="1"/>
  <c r="GK148"/>
  <c r="HD148" s="1"/>
  <c r="GK149"/>
  <c r="HD149" s="1"/>
  <c r="GK150"/>
  <c r="GK151"/>
  <c r="HD151" s="1"/>
  <c r="GK152"/>
  <c r="HD152" s="1"/>
  <c r="GK153"/>
  <c r="GK154"/>
  <c r="HD154" s="1"/>
  <c r="GK155"/>
  <c r="GK156"/>
  <c r="HD156" s="1"/>
  <c r="GK157"/>
  <c r="HD157" s="1"/>
  <c r="GK158"/>
  <c r="GK159"/>
  <c r="GK160"/>
  <c r="GK161"/>
  <c r="HD161" s="1"/>
  <c r="GK162"/>
  <c r="GK163"/>
  <c r="GK164"/>
  <c r="HD164" s="1"/>
  <c r="GK165"/>
  <c r="HD165" s="1"/>
  <c r="GK166"/>
  <c r="HD166" s="1"/>
  <c r="GK167"/>
  <c r="GK168"/>
  <c r="HD168" s="1"/>
  <c r="GK169"/>
  <c r="GK170"/>
  <c r="GK171"/>
  <c r="GK172"/>
  <c r="HD172" s="1"/>
  <c r="GK173"/>
  <c r="HD173" s="1"/>
  <c r="GK174"/>
  <c r="GK175"/>
  <c r="GK176"/>
  <c r="HD176" s="1"/>
  <c r="GK177"/>
  <c r="GK178"/>
  <c r="HD178" s="1"/>
  <c r="GK179"/>
  <c r="GK180"/>
  <c r="HD180" s="1"/>
  <c r="GK181"/>
  <c r="GK182"/>
  <c r="GK183"/>
  <c r="GJ75"/>
  <c r="GJ72"/>
  <c r="GJ63"/>
  <c r="GI75"/>
  <c r="GI63"/>
  <c r="GG63"/>
  <c r="GF59"/>
  <c r="GP100"/>
  <c r="GP101"/>
  <c r="GP102"/>
  <c r="GP104"/>
  <c r="GP105"/>
  <c r="GD186"/>
  <c r="GD187"/>
  <c r="GD188"/>
  <c r="GD190"/>
  <c r="FZ189"/>
  <c r="GA189"/>
  <c r="GB189"/>
  <c r="GC189"/>
  <c r="FY189"/>
  <c r="GD142"/>
  <c r="GD143"/>
  <c r="GD144"/>
  <c r="GD145"/>
  <c r="GD146"/>
  <c r="GD147"/>
  <c r="GD148"/>
  <c r="GD149"/>
  <c r="GD150"/>
  <c r="GD151"/>
  <c r="GD152"/>
  <c r="GD153"/>
  <c r="GD154"/>
  <c r="GD155"/>
  <c r="GD156"/>
  <c r="GD157"/>
  <c r="GD158"/>
  <c r="GD159"/>
  <c r="GD160"/>
  <c r="GD161"/>
  <c r="GD162"/>
  <c r="GD163"/>
  <c r="GD164"/>
  <c r="GD165"/>
  <c r="GD166"/>
  <c r="GD167"/>
  <c r="GD168"/>
  <c r="GD169"/>
  <c r="GD170"/>
  <c r="GD171"/>
  <c r="GD172"/>
  <c r="GD173"/>
  <c r="GD174"/>
  <c r="GD175"/>
  <c r="GD176"/>
  <c r="GD177"/>
  <c r="GD178"/>
  <c r="GD179"/>
  <c r="GD180"/>
  <c r="GD181"/>
  <c r="GD182"/>
  <c r="GD183"/>
  <c r="GC72"/>
  <c r="GC63"/>
  <c r="GD63" s="1"/>
  <c r="GB75"/>
  <c r="GB72"/>
  <c r="GC60"/>
  <c r="GC68"/>
  <c r="GB65"/>
  <c r="GA76"/>
  <c r="GA60"/>
  <c r="FZ75"/>
  <c r="FZ58"/>
  <c r="GH56"/>
  <c r="GC56"/>
  <c r="FY72"/>
  <c r="FY62"/>
  <c r="FY89"/>
  <c r="GP96"/>
  <c r="FZ103"/>
  <c r="GA103"/>
  <c r="GB103"/>
  <c r="GC103"/>
  <c r="FY103"/>
  <c r="GK100"/>
  <c r="HD100" s="1"/>
  <c r="GK101"/>
  <c r="HD101" s="1"/>
  <c r="GK102"/>
  <c r="HD102" s="1"/>
  <c r="GK104"/>
  <c r="HD104" s="1"/>
  <c r="GK105"/>
  <c r="HD105" s="1"/>
  <c r="GD100"/>
  <c r="GD101"/>
  <c r="GD102"/>
  <c r="GD104"/>
  <c r="GD105"/>
  <c r="GD99"/>
  <c r="GK54"/>
  <c r="GK55"/>
  <c r="HD55" s="1"/>
  <c r="GK56"/>
  <c r="GK57"/>
  <c r="HD57" s="1"/>
  <c r="GK58"/>
  <c r="GK59"/>
  <c r="GK60"/>
  <c r="HD60" s="1"/>
  <c r="GK61"/>
  <c r="HD61" s="1"/>
  <c r="GK62"/>
  <c r="HD62" s="1"/>
  <c r="GK63"/>
  <c r="GK64"/>
  <c r="HD64" s="1"/>
  <c r="GK65"/>
  <c r="HD65" s="1"/>
  <c r="GK66"/>
  <c r="HD66" s="1"/>
  <c r="GK67"/>
  <c r="HD67" s="1"/>
  <c r="GK68"/>
  <c r="GK69"/>
  <c r="HD69" s="1"/>
  <c r="GK70"/>
  <c r="HD70" s="1"/>
  <c r="GK71"/>
  <c r="HD71" s="1"/>
  <c r="GK72"/>
  <c r="GK73"/>
  <c r="GK74"/>
  <c r="HD74" s="1"/>
  <c r="GK75"/>
  <c r="GK76"/>
  <c r="HD76" s="1"/>
  <c r="GK77"/>
  <c r="HD77" s="1"/>
  <c r="GK78"/>
  <c r="HD78" s="1"/>
  <c r="GK79"/>
  <c r="HD79" s="1"/>
  <c r="GK80"/>
  <c r="HD80" s="1"/>
  <c r="GK81"/>
  <c r="HD81" s="1"/>
  <c r="GK82"/>
  <c r="HD82" s="1"/>
  <c r="GK83"/>
  <c r="HD83" s="1"/>
  <c r="GK84"/>
  <c r="HD84" s="1"/>
  <c r="GK85"/>
  <c r="HD85" s="1"/>
  <c r="GK86"/>
  <c r="HD86" s="1"/>
  <c r="GK87"/>
  <c r="HD87" s="1"/>
  <c r="GK88"/>
  <c r="HD88" s="1"/>
  <c r="GK89"/>
  <c r="HD89" s="1"/>
  <c r="GK90"/>
  <c r="HD90" s="1"/>
  <c r="GK91"/>
  <c r="HD91" s="1"/>
  <c r="GK92"/>
  <c r="HD92" s="1"/>
  <c r="GK93"/>
  <c r="HD93" s="1"/>
  <c r="GK94"/>
  <c r="HD94" s="1"/>
  <c r="GK95"/>
  <c r="HD95" s="1"/>
  <c r="GD54"/>
  <c r="GD55"/>
  <c r="GD56"/>
  <c r="GD57"/>
  <c r="GD58"/>
  <c r="GD59"/>
  <c r="GD60"/>
  <c r="GD61"/>
  <c r="GD62"/>
  <c r="GD64"/>
  <c r="GD65"/>
  <c r="GD66"/>
  <c r="GD67"/>
  <c r="GD68"/>
  <c r="GD69"/>
  <c r="GD70"/>
  <c r="GD71"/>
  <c r="GD72"/>
  <c r="GD73"/>
  <c r="GD74"/>
  <c r="GD75"/>
  <c r="GD76"/>
  <c r="GD77"/>
  <c r="GD78"/>
  <c r="GD79"/>
  <c r="GD80"/>
  <c r="GD81"/>
  <c r="GD82"/>
  <c r="GD83"/>
  <c r="GD84"/>
  <c r="GD85"/>
  <c r="GD86"/>
  <c r="GD87"/>
  <c r="GD88"/>
  <c r="GD89"/>
  <c r="GD90"/>
  <c r="GD91"/>
  <c r="GD92"/>
  <c r="GD93"/>
  <c r="GD94"/>
  <c r="GD95"/>
  <c r="GG253"/>
  <c r="GH253"/>
  <c r="GI253"/>
  <c r="GJ253"/>
  <c r="GG254"/>
  <c r="GH254"/>
  <c r="GI254"/>
  <c r="GJ254"/>
  <c r="GF254"/>
  <c r="GF253"/>
  <c r="FZ253"/>
  <c r="GA253"/>
  <c r="GB253"/>
  <c r="GC253"/>
  <c r="FY253"/>
  <c r="GD228"/>
  <c r="GD229"/>
  <c r="GD230"/>
  <c r="GD231"/>
  <c r="GD232"/>
  <c r="GD233"/>
  <c r="GD234"/>
  <c r="GD235"/>
  <c r="GD236"/>
  <c r="GD237"/>
  <c r="GD238"/>
  <c r="GD239"/>
  <c r="GD240"/>
  <c r="GD241"/>
  <c r="GD242"/>
  <c r="GD243"/>
  <c r="GD244"/>
  <c r="GD245"/>
  <c r="GD246"/>
  <c r="GD247"/>
  <c r="GD248"/>
  <c r="GD249"/>
  <c r="GD250"/>
  <c r="GD219"/>
  <c r="GD214"/>
  <c r="GD215"/>
  <c r="GD216"/>
  <c r="GD205"/>
  <c r="GD200"/>
  <c r="GD201"/>
  <c r="GD202"/>
  <c r="GD199"/>
  <c r="GD133"/>
  <c r="GD128"/>
  <c r="GD129"/>
  <c r="GD130"/>
  <c r="GD127"/>
  <c r="GD119"/>
  <c r="GD114"/>
  <c r="GD115"/>
  <c r="GD116"/>
  <c r="FZ113"/>
  <c r="GD113" s="1"/>
  <c r="GJ26"/>
  <c r="FY13"/>
  <c r="GD189" l="1"/>
  <c r="GK253"/>
  <c r="HD182"/>
  <c r="HD177"/>
  <c r="HD171"/>
  <c r="HD155"/>
  <c r="HD181"/>
  <c r="HD175"/>
  <c r="HD170"/>
  <c r="HD179"/>
  <c r="HD174"/>
  <c r="HD169"/>
  <c r="HD163"/>
  <c r="HD158"/>
  <c r="HD153"/>
  <c r="HD191"/>
  <c r="HD183"/>
  <c r="HD167"/>
  <c r="HD143"/>
  <c r="HD150"/>
  <c r="HD146"/>
  <c r="HD59"/>
  <c r="GD103"/>
  <c r="GJ37"/>
  <c r="GG45"/>
  <c r="GK45" s="1"/>
  <c r="GC37"/>
  <c r="GC30"/>
  <c r="GB45"/>
  <c r="GA37"/>
  <c r="GA45"/>
  <c r="GA30"/>
  <c r="GP46"/>
  <c r="GV46"/>
  <c r="HC46"/>
  <c r="HC39" s="1"/>
  <c r="GK41"/>
  <c r="GK42"/>
  <c r="GK43"/>
  <c r="GK44"/>
  <c r="GK46"/>
  <c r="GK6"/>
  <c r="GK7"/>
  <c r="GK8"/>
  <c r="GK9"/>
  <c r="GK10"/>
  <c r="GK11"/>
  <c r="GK12"/>
  <c r="GK13"/>
  <c r="GK14"/>
  <c r="GK15"/>
  <c r="GK16"/>
  <c r="GK17"/>
  <c r="GK18"/>
  <c r="GK19"/>
  <c r="GK20"/>
  <c r="GK21"/>
  <c r="GK22"/>
  <c r="GK23"/>
  <c r="GK24"/>
  <c r="GK25"/>
  <c r="GK26"/>
  <c r="GK27"/>
  <c r="GK28"/>
  <c r="GK29"/>
  <c r="GK30"/>
  <c r="GK31"/>
  <c r="GK32"/>
  <c r="GK33"/>
  <c r="GK34"/>
  <c r="GK35"/>
  <c r="GK36"/>
  <c r="GK37"/>
  <c r="FZ46"/>
  <c r="FZ37"/>
  <c r="FZ45"/>
  <c r="FZ30"/>
  <c r="GD30" s="1"/>
  <c r="FY37"/>
  <c r="FY30"/>
  <c r="GD40"/>
  <c r="GD41"/>
  <c r="GD42"/>
  <c r="GD43"/>
  <c r="GD44"/>
  <c r="GD6"/>
  <c r="GD7"/>
  <c r="GD8"/>
  <c r="GD9"/>
  <c r="GD10"/>
  <c r="GD11"/>
  <c r="GD12"/>
  <c r="GD13"/>
  <c r="GD14"/>
  <c r="GD15"/>
  <c r="GD16"/>
  <c r="GD17"/>
  <c r="GD18"/>
  <c r="GD19"/>
  <c r="GD20"/>
  <c r="GD21"/>
  <c r="GD22"/>
  <c r="GD23"/>
  <c r="GD24"/>
  <c r="GD25"/>
  <c r="GD26"/>
  <c r="GD27"/>
  <c r="GD28"/>
  <c r="GD29"/>
  <c r="GD31"/>
  <c r="GD32"/>
  <c r="GD33"/>
  <c r="GD34"/>
  <c r="GD35"/>
  <c r="GD36"/>
  <c r="HD160"/>
  <c r="K24" i="11"/>
  <c r="K22"/>
  <c r="F43"/>
  <c r="F44"/>
  <c r="F46"/>
  <c r="F25" i="27"/>
  <c r="F45" i="11"/>
  <c r="HD75" i="17" l="1"/>
  <c r="HD145"/>
  <c r="HD159"/>
  <c r="HD72"/>
  <c r="HD73"/>
  <c r="HD63"/>
  <c r="HD56"/>
  <c r="HD68"/>
  <c r="GD45"/>
  <c r="GD37"/>
  <c r="G46" i="11"/>
  <c r="M46"/>
  <c r="HD162" i="17" l="1"/>
  <c r="HD58"/>
  <c r="G45" i="11"/>
  <c r="M45"/>
  <c r="FV158" i="17" l="1"/>
  <c r="FU95"/>
  <c r="FU91"/>
  <c r="FV95"/>
  <c r="FV91"/>
  <c r="FW89"/>
  <c r="FX89" s="1"/>
  <c r="FW72"/>
  <c r="FX72" s="1"/>
  <c r="FW71"/>
  <c r="FX71" s="1"/>
  <c r="FX54"/>
  <c r="FX55"/>
  <c r="FX56"/>
  <c r="FX57"/>
  <c r="FX59"/>
  <c r="FX60"/>
  <c r="FX61"/>
  <c r="FX62"/>
  <c r="FX63"/>
  <c r="FX64"/>
  <c r="FX65"/>
  <c r="FX66"/>
  <c r="FX67"/>
  <c r="FX68"/>
  <c r="FX69"/>
  <c r="FX70"/>
  <c r="FX74"/>
  <c r="FX75"/>
  <c r="FX77"/>
  <c r="FX78"/>
  <c r="FX79"/>
  <c r="FX80"/>
  <c r="FX81"/>
  <c r="FX82"/>
  <c r="FX83"/>
  <c r="FX84"/>
  <c r="FX85"/>
  <c r="FX86"/>
  <c r="FX87"/>
  <c r="FX88"/>
  <c r="FX90"/>
  <c r="FX92"/>
  <c r="FX93"/>
  <c r="FX94"/>
  <c r="FV76"/>
  <c r="FX76" s="1"/>
  <c r="FV105"/>
  <c r="FX105" s="1"/>
  <c r="FT103"/>
  <c r="FU103"/>
  <c r="FV103"/>
  <c r="FW103"/>
  <c r="FS103"/>
  <c r="FX100"/>
  <c r="FX101"/>
  <c r="FX102"/>
  <c r="FX104"/>
  <c r="FX187"/>
  <c r="FX188"/>
  <c r="FX190"/>
  <c r="FX191"/>
  <c r="FX119"/>
  <c r="FX133"/>
  <c r="FX219"/>
  <c r="FX214"/>
  <c r="FX215"/>
  <c r="FX216"/>
  <c r="FX95" l="1"/>
  <c r="FX91"/>
  <c r="FX103"/>
  <c r="F42" i="11"/>
  <c r="M44"/>
  <c r="M43"/>
  <c r="G42"/>
  <c r="M42"/>
  <c r="M25" i="27"/>
  <c r="FX41" i="17" l="1"/>
  <c r="FX42"/>
  <c r="FX43"/>
  <c r="FX44"/>
  <c r="FX46"/>
  <c r="FX40"/>
  <c r="FS45"/>
  <c r="FX45" s="1"/>
  <c r="FQ37"/>
  <c r="FP45"/>
  <c r="FR45" s="1"/>
  <c r="FP46"/>
  <c r="F7" i="26"/>
  <c r="H7"/>
  <c r="FR40" i="17"/>
  <c r="FR41"/>
  <c r="FR42"/>
  <c r="FR43"/>
  <c r="FR44"/>
  <c r="FR6"/>
  <c r="FR7"/>
  <c r="FR8"/>
  <c r="FR9"/>
  <c r="FR10"/>
  <c r="FR11"/>
  <c r="FR12"/>
  <c r="FR13"/>
  <c r="FR14"/>
  <c r="FR15"/>
  <c r="FR16"/>
  <c r="FR17"/>
  <c r="FR18"/>
  <c r="FR19"/>
  <c r="FR20"/>
  <c r="FR21"/>
  <c r="FR22"/>
  <c r="FR23"/>
  <c r="FR24"/>
  <c r="FR25"/>
  <c r="FR26"/>
  <c r="FR27"/>
  <c r="FR28"/>
  <c r="FR29"/>
  <c r="FR30"/>
  <c r="FR31"/>
  <c r="FR32"/>
  <c r="FR33"/>
  <c r="FD155"/>
  <c r="FE162"/>
  <c r="FH160"/>
  <c r="FJ190"/>
  <c r="FK162"/>
  <c r="FK146"/>
  <c r="FK147"/>
  <c r="FK167" l="1"/>
  <c r="FL162"/>
  <c r="FL160"/>
  <c r="FL147"/>
  <c r="FN162" l="1"/>
  <c r="FN143"/>
  <c r="FO162"/>
  <c r="FO145"/>
  <c r="FP162"/>
  <c r="FP159"/>
  <c r="FP156"/>
  <c r="FP155"/>
  <c r="FP145"/>
  <c r="FP150"/>
  <c r="FP190"/>
  <c r="FQ162" l="1"/>
  <c r="FO189"/>
  <c r="FP189"/>
  <c r="FQ189"/>
  <c r="FN189"/>
  <c r="FS150"/>
  <c r="FT189"/>
  <c r="FU189"/>
  <c r="FV189"/>
  <c r="FW189"/>
  <c r="FS189"/>
  <c r="FT162"/>
  <c r="FX189" l="1"/>
  <c r="FO253"/>
  <c r="FP253"/>
  <c r="FQ253"/>
  <c r="FN253"/>
  <c r="FO246"/>
  <c r="FD75" l="1"/>
  <c r="FD73"/>
  <c r="FD68"/>
  <c r="FD104"/>
  <c r="FE75"/>
  <c r="FF75"/>
  <c r="FF72"/>
  <c r="FI75"/>
  <c r="FJ75"/>
  <c r="FK75"/>
  <c r="FK72"/>
  <c r="FK80"/>
  <c r="FL75"/>
  <c r="FL60"/>
  <c r="FL90"/>
  <c r="FL62"/>
  <c r="FN59"/>
  <c r="FN75"/>
  <c r="FN74"/>
  <c r="FO75"/>
  <c r="FP75"/>
  <c r="FP69"/>
  <c r="FP90"/>
  <c r="FQ91"/>
  <c r="FS58"/>
  <c r="FX58" s="1"/>
  <c r="FS73"/>
  <c r="FX73" s="1"/>
  <c r="H16" i="26" l="1"/>
  <c r="F16"/>
  <c r="H15"/>
  <c r="F15"/>
  <c r="H14"/>
  <c r="F14"/>
  <c r="H13"/>
  <c r="F13"/>
  <c r="H12"/>
  <c r="F12"/>
  <c r="H11"/>
  <c r="F11"/>
  <c r="H10"/>
  <c r="F10"/>
  <c r="H9"/>
  <c r="F9"/>
  <c r="H8"/>
  <c r="F8"/>
  <c r="H6"/>
  <c r="F6"/>
  <c r="H5"/>
  <c r="F5"/>
  <c r="E7" i="8" l="1"/>
  <c r="G41" i="11" l="1"/>
  <c r="F41"/>
  <c r="M41"/>
  <c r="F38"/>
  <c r="G40"/>
  <c r="F40"/>
  <c r="M40"/>
  <c r="FK68" i="17"/>
  <c r="FK102"/>
  <c r="FI187"/>
  <c r="FF188"/>
  <c r="H72" i="11" l="1"/>
  <c r="G72"/>
  <c r="FI103" i="17"/>
  <c r="FJ103"/>
  <c r="FK103"/>
  <c r="FL103"/>
  <c r="FH103"/>
  <c r="FI189"/>
  <c r="FJ189"/>
  <c r="FK189"/>
  <c r="FL189"/>
  <c r="FH189"/>
  <c r="FI215"/>
  <c r="FI219"/>
  <c r="FL199"/>
  <c r="FI201"/>
  <c r="FD249"/>
  <c r="FI253"/>
  <c r="FJ253"/>
  <c r="FK253"/>
  <c r="FL253"/>
  <c r="FH253"/>
  <c r="FE253"/>
  <c r="FF253"/>
  <c r="FD253"/>
  <c r="FD254"/>
  <c r="FL13" l="1"/>
  <c r="FL45"/>
  <c r="FJ46"/>
  <c r="FJ45"/>
  <c r="FJ37"/>
  <c r="FJ30"/>
  <c r="FI46"/>
  <c r="FI37"/>
  <c r="FI30"/>
  <c r="FH45"/>
  <c r="FH46"/>
  <c r="FH37"/>
  <c r="FH30"/>
  <c r="FM5"/>
  <c r="FF46"/>
  <c r="FF45"/>
  <c r="FF37"/>
  <c r="FF30"/>
  <c r="FG28"/>
  <c r="FE37"/>
  <c r="FE46"/>
  <c r="FE30"/>
  <c r="FD46"/>
  <c r="FD45"/>
  <c r="J14" i="28" l="1"/>
  <c r="FG228" i="17" l="1"/>
  <c r="FM228"/>
  <c r="FR228"/>
  <c r="FX228"/>
  <c r="FG229"/>
  <c r="FM229"/>
  <c r="FR229"/>
  <c r="FX229"/>
  <c r="FG230"/>
  <c r="FM230"/>
  <c r="FR230"/>
  <c r="FX230"/>
  <c r="FG231"/>
  <c r="FM231"/>
  <c r="FR231"/>
  <c r="FX231"/>
  <c r="FG232"/>
  <c r="FM232"/>
  <c r="FR232"/>
  <c r="FX232"/>
  <c r="FG233"/>
  <c r="FM233"/>
  <c r="FR233"/>
  <c r="FX233"/>
  <c r="FG234"/>
  <c r="FM234"/>
  <c r="FR234"/>
  <c r="FX234"/>
  <c r="FG235"/>
  <c r="FM235"/>
  <c r="FR235"/>
  <c r="FX235"/>
  <c r="FG236"/>
  <c r="FM236"/>
  <c r="FR236"/>
  <c r="FX236"/>
  <c r="FG237"/>
  <c r="FM237"/>
  <c r="FR237"/>
  <c r="FX237"/>
  <c r="FG238"/>
  <c r="FM238"/>
  <c r="FR238"/>
  <c r="FX238"/>
  <c r="FG239"/>
  <c r="FM239"/>
  <c r="FR239"/>
  <c r="FX239"/>
  <c r="FG240"/>
  <c r="FM240"/>
  <c r="FR240"/>
  <c r="FX240"/>
  <c r="FG241"/>
  <c r="FM241"/>
  <c r="FR241"/>
  <c r="FX241"/>
  <c r="FG242"/>
  <c r="FM242"/>
  <c r="FR242"/>
  <c r="FX242"/>
  <c r="FG243"/>
  <c r="FM243"/>
  <c r="FR243"/>
  <c r="FX243"/>
  <c r="FG244"/>
  <c r="FM244"/>
  <c r="FR244"/>
  <c r="FX244"/>
  <c r="FG245"/>
  <c r="FM245"/>
  <c r="FR245"/>
  <c r="FX245"/>
  <c r="FG246"/>
  <c r="FM246"/>
  <c r="FR246"/>
  <c r="FX246"/>
  <c r="FG247"/>
  <c r="FM247"/>
  <c r="FR247"/>
  <c r="FX247"/>
  <c r="FG248"/>
  <c r="FM248"/>
  <c r="FR248"/>
  <c r="FX248"/>
  <c r="FG249"/>
  <c r="FM249"/>
  <c r="FR249"/>
  <c r="FX249"/>
  <c r="FG250"/>
  <c r="FM250"/>
  <c r="FR250"/>
  <c r="FX250"/>
  <c r="FG253"/>
  <c r="FM253"/>
  <c r="FS253"/>
  <c r="FT253"/>
  <c r="FU253"/>
  <c r="FV253"/>
  <c r="FW253"/>
  <c r="FG205"/>
  <c r="FG200"/>
  <c r="FG201"/>
  <c r="FG202"/>
  <c r="FG199"/>
  <c r="FG187"/>
  <c r="FM187"/>
  <c r="FR187"/>
  <c r="FG188"/>
  <c r="FM188"/>
  <c r="FR188"/>
  <c r="FM189"/>
  <c r="FR189"/>
  <c r="FG190"/>
  <c r="FM190"/>
  <c r="FR190"/>
  <c r="FG191"/>
  <c r="FM191"/>
  <c r="FR191"/>
  <c r="GD191"/>
  <c r="FG142"/>
  <c r="FM142"/>
  <c r="FR142"/>
  <c r="FX142"/>
  <c r="FG143"/>
  <c r="FM143"/>
  <c r="FR143"/>
  <c r="FX143"/>
  <c r="FG144"/>
  <c r="FM144"/>
  <c r="FR144"/>
  <c r="FX144"/>
  <c r="FG145"/>
  <c r="FM145"/>
  <c r="FR145"/>
  <c r="FX145"/>
  <c r="FG146"/>
  <c r="FM146"/>
  <c r="FR146"/>
  <c r="FX146"/>
  <c r="FG147"/>
  <c r="FM147"/>
  <c r="FR147"/>
  <c r="FX147"/>
  <c r="FG148"/>
  <c r="FM148"/>
  <c r="FR148"/>
  <c r="FX148"/>
  <c r="FG149"/>
  <c r="FM149"/>
  <c r="FR149"/>
  <c r="FX149"/>
  <c r="FG150"/>
  <c r="FM150"/>
  <c r="FR150"/>
  <c r="FX150"/>
  <c r="FG151"/>
  <c r="FM151"/>
  <c r="FR151"/>
  <c r="FX151"/>
  <c r="FG152"/>
  <c r="FM152"/>
  <c r="FR152"/>
  <c r="FX152"/>
  <c r="FG153"/>
  <c r="FM153"/>
  <c r="FR153"/>
  <c r="FX153"/>
  <c r="FG154"/>
  <c r="FM154"/>
  <c r="FR154"/>
  <c r="FX154"/>
  <c r="FG155"/>
  <c r="FM155"/>
  <c r="FR155"/>
  <c r="FX155"/>
  <c r="FG156"/>
  <c r="FM156"/>
  <c r="FR156"/>
  <c r="FX156"/>
  <c r="FG157"/>
  <c r="FM157"/>
  <c r="GE157" s="1"/>
  <c r="FR157"/>
  <c r="FX157"/>
  <c r="FG158"/>
  <c r="FM158"/>
  <c r="FR158"/>
  <c r="FX158"/>
  <c r="FG159"/>
  <c r="FM159"/>
  <c r="FR159"/>
  <c r="FX159"/>
  <c r="FG160"/>
  <c r="FM160"/>
  <c r="FR160"/>
  <c r="FX160"/>
  <c r="FG161"/>
  <c r="FM161"/>
  <c r="FR161"/>
  <c r="FX161"/>
  <c r="FG162"/>
  <c r="FM162"/>
  <c r="FR162"/>
  <c r="FX162"/>
  <c r="FG163"/>
  <c r="FM163"/>
  <c r="GE163" s="1"/>
  <c r="FR163"/>
  <c r="FX163"/>
  <c r="FG164"/>
  <c r="FM164"/>
  <c r="FR164"/>
  <c r="FX164"/>
  <c r="FG165"/>
  <c r="FM165"/>
  <c r="FR165"/>
  <c r="FX165"/>
  <c r="FG166"/>
  <c r="FM166"/>
  <c r="FR166"/>
  <c r="FX166"/>
  <c r="FG167"/>
  <c r="FM167"/>
  <c r="FR167"/>
  <c r="FX167"/>
  <c r="FG168"/>
  <c r="FM168"/>
  <c r="FR168"/>
  <c r="FX168"/>
  <c r="FG169"/>
  <c r="FM169"/>
  <c r="FR169"/>
  <c r="FX169"/>
  <c r="FG170"/>
  <c r="FM170"/>
  <c r="FR170"/>
  <c r="FX170"/>
  <c r="FG171"/>
  <c r="FM171"/>
  <c r="FR171"/>
  <c r="FX171"/>
  <c r="FG172"/>
  <c r="FM172"/>
  <c r="FR172"/>
  <c r="FX172"/>
  <c r="FG173"/>
  <c r="FM173"/>
  <c r="FR173"/>
  <c r="FX173"/>
  <c r="FG174"/>
  <c r="FM174"/>
  <c r="FR174"/>
  <c r="FX174"/>
  <c r="FG175"/>
  <c r="FM175"/>
  <c r="FR175"/>
  <c r="FX175"/>
  <c r="FG176"/>
  <c r="FM176"/>
  <c r="FR176"/>
  <c r="FX176"/>
  <c r="FG177"/>
  <c r="FM177"/>
  <c r="FR177"/>
  <c r="FX177"/>
  <c r="FG178"/>
  <c r="FM178"/>
  <c r="FR178"/>
  <c r="FX178"/>
  <c r="FG179"/>
  <c r="FM179"/>
  <c r="FR179"/>
  <c r="FX179"/>
  <c r="FG180"/>
  <c r="FM180"/>
  <c r="FR180"/>
  <c r="FX180"/>
  <c r="FG181"/>
  <c r="FM181"/>
  <c r="FR181"/>
  <c r="FX181"/>
  <c r="FG182"/>
  <c r="FM182"/>
  <c r="FR182"/>
  <c r="FX182"/>
  <c r="FG183"/>
  <c r="FM183"/>
  <c r="FR183"/>
  <c r="FX183"/>
  <c r="FG128"/>
  <c r="FM128"/>
  <c r="FR128"/>
  <c r="FX128"/>
  <c r="GD126"/>
  <c r="FG129"/>
  <c r="FM129"/>
  <c r="FR129"/>
  <c r="FX129"/>
  <c r="FG130"/>
  <c r="FM130"/>
  <c r="FR130"/>
  <c r="FX130"/>
  <c r="FG114"/>
  <c r="FM114"/>
  <c r="FR114"/>
  <c r="FX114"/>
  <c r="FG115"/>
  <c r="FM115"/>
  <c r="FR115"/>
  <c r="FX115"/>
  <c r="FG116"/>
  <c r="FM116"/>
  <c r="FR116"/>
  <c r="FX116"/>
  <c r="FG100"/>
  <c r="FM100"/>
  <c r="FR100"/>
  <c r="FG101"/>
  <c r="FM101"/>
  <c r="FR101"/>
  <c r="FG102"/>
  <c r="FM102"/>
  <c r="FR102"/>
  <c r="FM103"/>
  <c r="FR103"/>
  <c r="FG104"/>
  <c r="FM104"/>
  <c r="FR104"/>
  <c r="FG105"/>
  <c r="FM105"/>
  <c r="FR105"/>
  <c r="FG55"/>
  <c r="FM55"/>
  <c r="FR55"/>
  <c r="FG56"/>
  <c r="FM56"/>
  <c r="FR56"/>
  <c r="FG57"/>
  <c r="FM57"/>
  <c r="FR57"/>
  <c r="FG58"/>
  <c r="FM58"/>
  <c r="FR58"/>
  <c r="FG59"/>
  <c r="FM59"/>
  <c r="FR59"/>
  <c r="FG60"/>
  <c r="FM60"/>
  <c r="FR60"/>
  <c r="FG61"/>
  <c r="FM61"/>
  <c r="FR61"/>
  <c r="FG62"/>
  <c r="FM62"/>
  <c r="FR62"/>
  <c r="FG63"/>
  <c r="FM63"/>
  <c r="FR63"/>
  <c r="FG64"/>
  <c r="FM64"/>
  <c r="FR64"/>
  <c r="FG65"/>
  <c r="FM65"/>
  <c r="FR65"/>
  <c r="FG66"/>
  <c r="FM66"/>
  <c r="FR66"/>
  <c r="FG67"/>
  <c r="FM67"/>
  <c r="FR67"/>
  <c r="FG68"/>
  <c r="FM68"/>
  <c r="FR68"/>
  <c r="FG69"/>
  <c r="FM69"/>
  <c r="FR69"/>
  <c r="FG70"/>
  <c r="FM70"/>
  <c r="FR70"/>
  <c r="FG71"/>
  <c r="FM71"/>
  <c r="FR71"/>
  <c r="FG72"/>
  <c r="FM72"/>
  <c r="FR72"/>
  <c r="FG73"/>
  <c r="FM73"/>
  <c r="FR73"/>
  <c r="FG74"/>
  <c r="FM74"/>
  <c r="FR74"/>
  <c r="FG75"/>
  <c r="FM75"/>
  <c r="FR75"/>
  <c r="FG76"/>
  <c r="FM76"/>
  <c r="FR76"/>
  <c r="FG77"/>
  <c r="FM77"/>
  <c r="FR77"/>
  <c r="FG78"/>
  <c r="FM78"/>
  <c r="FR78"/>
  <c r="FG79"/>
  <c r="FM79"/>
  <c r="FR79"/>
  <c r="FG80"/>
  <c r="FM80"/>
  <c r="FR80"/>
  <c r="FG81"/>
  <c r="FM81"/>
  <c r="FR81"/>
  <c r="FG82"/>
  <c r="FM82"/>
  <c r="FR82"/>
  <c r="FG83"/>
  <c r="FM83"/>
  <c r="FR83"/>
  <c r="FG84"/>
  <c r="FM84"/>
  <c r="FR84"/>
  <c r="FG85"/>
  <c r="FM85"/>
  <c r="FR85"/>
  <c r="FG86"/>
  <c r="FM86"/>
  <c r="FR86"/>
  <c r="FG87"/>
  <c r="FM87"/>
  <c r="FR87"/>
  <c r="FG88"/>
  <c r="FM88"/>
  <c r="FR88"/>
  <c r="FG89"/>
  <c r="FM89"/>
  <c r="FR89"/>
  <c r="FG90"/>
  <c r="FM90"/>
  <c r="FR90"/>
  <c r="FG91"/>
  <c r="FM91"/>
  <c r="FR91"/>
  <c r="FG92"/>
  <c r="FM92"/>
  <c r="FR92"/>
  <c r="FG93"/>
  <c r="FM93"/>
  <c r="FR93"/>
  <c r="FG94"/>
  <c r="FM94"/>
  <c r="FR94"/>
  <c r="FG95"/>
  <c r="FM95"/>
  <c r="FR95"/>
  <c r="FG96"/>
  <c r="FM96"/>
  <c r="FR96"/>
  <c r="FX96"/>
  <c r="GD96"/>
  <c r="FG41"/>
  <c r="FM41"/>
  <c r="FG42"/>
  <c r="FM42"/>
  <c r="FG43"/>
  <c r="FM43"/>
  <c r="FG44"/>
  <c r="FM44"/>
  <c r="FG45"/>
  <c r="FM45"/>
  <c r="FG46"/>
  <c r="FM46"/>
  <c r="FR46"/>
  <c r="GD46"/>
  <c r="FG6"/>
  <c r="FM6"/>
  <c r="FX6"/>
  <c r="FG7"/>
  <c r="FM7"/>
  <c r="FX7"/>
  <c r="FG8"/>
  <c r="FM8"/>
  <c r="FX8"/>
  <c r="FG9"/>
  <c r="FM9"/>
  <c r="FX9"/>
  <c r="FG10"/>
  <c r="FM10"/>
  <c r="FX10"/>
  <c r="FG11"/>
  <c r="FM11"/>
  <c r="FX11"/>
  <c r="FG12"/>
  <c r="FM12"/>
  <c r="FX12"/>
  <c r="FG13"/>
  <c r="FM13"/>
  <c r="FG14"/>
  <c r="FM14"/>
  <c r="FG15"/>
  <c r="FM15"/>
  <c r="FG16"/>
  <c r="FM16"/>
  <c r="FG17"/>
  <c r="FM17"/>
  <c r="FG18"/>
  <c r="FM18"/>
  <c r="FG19"/>
  <c r="FM19"/>
  <c r="FX19"/>
  <c r="FG20"/>
  <c r="FM20"/>
  <c r="FX20"/>
  <c r="FG21"/>
  <c r="FM21"/>
  <c r="FX21"/>
  <c r="FG22"/>
  <c r="FM22"/>
  <c r="FX22"/>
  <c r="FG23"/>
  <c r="FM23"/>
  <c r="FX23"/>
  <c r="FG24"/>
  <c r="FM24"/>
  <c r="FX24"/>
  <c r="FG25"/>
  <c r="FM25"/>
  <c r="FX25"/>
  <c r="FG26"/>
  <c r="FM26"/>
  <c r="FG27"/>
  <c r="FM27"/>
  <c r="FX27"/>
  <c r="FM28"/>
  <c r="FX28"/>
  <c r="FG29"/>
  <c r="FM29"/>
  <c r="FX29"/>
  <c r="FG30"/>
  <c r="FM30"/>
  <c r="FX30"/>
  <c r="FG31"/>
  <c r="FM31"/>
  <c r="FX31"/>
  <c r="FG32"/>
  <c r="FM32"/>
  <c r="FX32"/>
  <c r="FG33"/>
  <c r="FM33"/>
  <c r="FX33"/>
  <c r="FG34"/>
  <c r="FM34"/>
  <c r="FR34"/>
  <c r="FX34"/>
  <c r="FG35"/>
  <c r="FM35"/>
  <c r="FR35"/>
  <c r="FX35"/>
  <c r="FG36"/>
  <c r="FM36"/>
  <c r="FR36"/>
  <c r="FX36"/>
  <c r="FG37"/>
  <c r="FM37"/>
  <c r="FR37"/>
  <c r="FX37"/>
  <c r="GC254"/>
  <c r="GB254"/>
  <c r="GA254"/>
  <c r="GA252" s="1"/>
  <c r="FZ254"/>
  <c r="FZ252" s="1"/>
  <c r="FY254"/>
  <c r="GB252"/>
  <c r="GD227"/>
  <c r="GC226"/>
  <c r="GB226"/>
  <c r="GA226"/>
  <c r="FZ226"/>
  <c r="FY226"/>
  <c r="GC218"/>
  <c r="GB218"/>
  <c r="GA218"/>
  <c r="FZ218"/>
  <c r="FY218"/>
  <c r="GD213"/>
  <c r="GC212"/>
  <c r="GB212"/>
  <c r="GA212"/>
  <c r="FZ212"/>
  <c r="FY212"/>
  <c r="GD204"/>
  <c r="GC204"/>
  <c r="GB204"/>
  <c r="GA204"/>
  <c r="FZ204"/>
  <c r="FY204"/>
  <c r="GC198"/>
  <c r="GB198"/>
  <c r="GA198"/>
  <c r="FZ198"/>
  <c r="FY198"/>
  <c r="GC185"/>
  <c r="GB185"/>
  <c r="GA185"/>
  <c r="FZ185"/>
  <c r="GD141"/>
  <c r="GD140" s="1"/>
  <c r="GC140"/>
  <c r="GB140"/>
  <c r="GA140"/>
  <c r="FZ140"/>
  <c r="FY140"/>
  <c r="GD132"/>
  <c r="GC132"/>
  <c r="GB132"/>
  <c r="GA132"/>
  <c r="FZ132"/>
  <c r="FY132"/>
  <c r="GC126"/>
  <c r="GB126"/>
  <c r="GA126"/>
  <c r="GA135" s="1"/>
  <c r="FZ126"/>
  <c r="FY126"/>
  <c r="GD118"/>
  <c r="GC118"/>
  <c r="GB118"/>
  <c r="GA118"/>
  <c r="FZ118"/>
  <c r="FY118"/>
  <c r="GD112"/>
  <c r="GC112"/>
  <c r="GB112"/>
  <c r="GA112"/>
  <c r="FZ112"/>
  <c r="FZ121" s="1"/>
  <c r="FY112"/>
  <c r="GC98"/>
  <c r="GB98"/>
  <c r="GA98"/>
  <c r="FZ98"/>
  <c r="FY98"/>
  <c r="GD53"/>
  <c r="GC53"/>
  <c r="GB53"/>
  <c r="GA53"/>
  <c r="FZ53"/>
  <c r="FY53"/>
  <c r="GC39"/>
  <c r="GB39"/>
  <c r="GA39"/>
  <c r="FZ39"/>
  <c r="FY39"/>
  <c r="GD5"/>
  <c r="GD4" s="1"/>
  <c r="GC4"/>
  <c r="GB4"/>
  <c r="GA4"/>
  <c r="FZ4"/>
  <c r="FY4"/>
  <c r="GE41" l="1"/>
  <c r="GE70"/>
  <c r="GE233"/>
  <c r="GE101"/>
  <c r="GB121"/>
  <c r="GE166"/>
  <c r="FY252"/>
  <c r="GD254"/>
  <c r="GE13"/>
  <c r="GE115"/>
  <c r="GE78"/>
  <c r="GE128"/>
  <c r="GC252"/>
  <c r="GE27"/>
  <c r="GE17"/>
  <c r="GE76"/>
  <c r="GE247"/>
  <c r="GE235"/>
  <c r="GE7"/>
  <c r="GD39"/>
  <c r="GD98"/>
  <c r="GE237"/>
  <c r="FZ193"/>
  <c r="GD226"/>
  <c r="GE35"/>
  <c r="GE15"/>
  <c r="GE94"/>
  <c r="GE88"/>
  <c r="GE129"/>
  <c r="GE173"/>
  <c r="GE165"/>
  <c r="GE249"/>
  <c r="GE243"/>
  <c r="GE229"/>
  <c r="GE24"/>
  <c r="GE82"/>
  <c r="GE149"/>
  <c r="GE31"/>
  <c r="GE29"/>
  <c r="GE23"/>
  <c r="GE19"/>
  <c r="GE12"/>
  <c r="GE68"/>
  <c r="GE183"/>
  <c r="GE175"/>
  <c r="GE171"/>
  <c r="GE161"/>
  <c r="GE8"/>
  <c r="GE151"/>
  <c r="GE153"/>
  <c r="GE167"/>
  <c r="GE143"/>
  <c r="GE155"/>
  <c r="GE159"/>
  <c r="GE104"/>
  <c r="GE80"/>
  <c r="GE74"/>
  <c r="GE60"/>
  <c r="GE62"/>
  <c r="GE72"/>
  <c r="GE58"/>
  <c r="GE66"/>
  <c r="GE64"/>
  <c r="GE56"/>
  <c r="GE90"/>
  <c r="GB107"/>
  <c r="FY207"/>
  <c r="GC207"/>
  <c r="GD212"/>
  <c r="GE245"/>
  <c r="GA121"/>
  <c r="FY135"/>
  <c r="GC135"/>
  <c r="GB221"/>
  <c r="GE96"/>
  <c r="GE84"/>
  <c r="GE100"/>
  <c r="FX253"/>
  <c r="FZ135"/>
  <c r="GA207"/>
  <c r="GE21"/>
  <c r="GE6"/>
  <c r="GE92"/>
  <c r="GE114"/>
  <c r="GE146"/>
  <c r="GE190"/>
  <c r="GE241"/>
  <c r="GE231"/>
  <c r="GE228"/>
  <c r="GD198"/>
  <c r="GD207" s="1"/>
  <c r="FZ221"/>
  <c r="GE10"/>
  <c r="GE9"/>
  <c r="GE178"/>
  <c r="GE145"/>
  <c r="GE187"/>
  <c r="GE246"/>
  <c r="FZ48"/>
  <c r="GB135"/>
  <c r="GB207"/>
  <c r="FY221"/>
  <c r="GC221"/>
  <c r="GE14"/>
  <c r="GE85"/>
  <c r="GE79"/>
  <c r="GE67"/>
  <c r="GE180"/>
  <c r="GE176"/>
  <c r="GE148"/>
  <c r="GE142"/>
  <c r="GD253"/>
  <c r="GE250"/>
  <c r="GE242"/>
  <c r="GE230"/>
  <c r="GE18"/>
  <c r="GE89"/>
  <c r="GE86"/>
  <c r="GE83"/>
  <c r="GE77"/>
  <c r="GE73"/>
  <c r="GE59"/>
  <c r="GE181"/>
  <c r="GE164"/>
  <c r="GE160"/>
  <c r="GE158"/>
  <c r="GE156"/>
  <c r="GE152"/>
  <c r="GE147"/>
  <c r="FR253"/>
  <c r="GE248"/>
  <c r="GE240"/>
  <c r="GE236"/>
  <c r="GD135"/>
  <c r="FZ207"/>
  <c r="GA221"/>
  <c r="GE36"/>
  <c r="GE32"/>
  <c r="GE16"/>
  <c r="GE87"/>
  <c r="GE71"/>
  <c r="GE65"/>
  <c r="GE57"/>
  <c r="GE174"/>
  <c r="GE239"/>
  <c r="GE234"/>
  <c r="GA107"/>
  <c r="GE22"/>
  <c r="GE69"/>
  <c r="GE63"/>
  <c r="GE55"/>
  <c r="GE162"/>
  <c r="GE154"/>
  <c r="GE150"/>
  <c r="GE144"/>
  <c r="GE244"/>
  <c r="GE238"/>
  <c r="GE232"/>
  <c r="GE61"/>
  <c r="GE75"/>
  <c r="GE105"/>
  <c r="GE102"/>
  <c r="GE191"/>
  <c r="GE188"/>
  <c r="GE95"/>
  <c r="GE91"/>
  <c r="GE93"/>
  <c r="GE81"/>
  <c r="GE182"/>
  <c r="GE172"/>
  <c r="GE177"/>
  <c r="GE179"/>
  <c r="GE169"/>
  <c r="GE168"/>
  <c r="GE170"/>
  <c r="GE130"/>
  <c r="GE116"/>
  <c r="GD48"/>
  <c r="GE11"/>
  <c r="GE25"/>
  <c r="GE20"/>
  <c r="GE26"/>
  <c r="GE43"/>
  <c r="GE34"/>
  <c r="GE45"/>
  <c r="GE37"/>
  <c r="GE28"/>
  <c r="GE46"/>
  <c r="GE44"/>
  <c r="GE42"/>
  <c r="GE33"/>
  <c r="GE30"/>
  <c r="FY256"/>
  <c r="GC256"/>
  <c r="GB256"/>
  <c r="GA256"/>
  <c r="FZ256"/>
  <c r="GA193"/>
  <c r="GC193"/>
  <c r="GD121"/>
  <c r="FY121"/>
  <c r="GC121"/>
  <c r="FZ107"/>
  <c r="GD252"/>
  <c r="GD256" s="1"/>
  <c r="FY107"/>
  <c r="GC107"/>
  <c r="GC48"/>
  <c r="GB48"/>
  <c r="GD185"/>
  <c r="GD193" s="1"/>
  <c r="FY48"/>
  <c r="GA48"/>
  <c r="GB193"/>
  <c r="FY185"/>
  <c r="FY193" s="1"/>
  <c r="GD107"/>
  <c r="GE253" l="1"/>
  <c r="FZ260"/>
  <c r="FY260"/>
  <c r="GC260"/>
  <c r="GD260"/>
  <c r="GB260"/>
  <c r="GA260"/>
  <c r="G39" i="11"/>
  <c r="F39"/>
  <c r="M39"/>
  <c r="G26" l="1"/>
  <c r="FA245" i="17"/>
  <c r="EV253"/>
  <c r="EW253"/>
  <c r="EX253"/>
  <c r="EY253"/>
  <c r="EZ253"/>
  <c r="FA253"/>
  <c r="EP253"/>
  <c r="EQ253"/>
  <c r="ER253"/>
  <c r="ES253"/>
  <c r="EU253"/>
  <c r="EO253"/>
  <c r="ET219"/>
  <c r="ET214"/>
  <c r="ET215"/>
  <c r="ET216"/>
  <c r="ET213"/>
  <c r="FB219"/>
  <c r="FB214"/>
  <c r="FB215"/>
  <c r="FB216"/>
  <c r="FB213"/>
  <c r="FB205"/>
  <c r="FB200"/>
  <c r="FB201"/>
  <c r="FB202"/>
  <c r="FB199"/>
  <c r="FB133"/>
  <c r="FB119"/>
  <c r="FB114"/>
  <c r="FB115"/>
  <c r="FB116"/>
  <c r="FB113"/>
  <c r="FA75"/>
  <c r="FA72"/>
  <c r="FA91"/>
  <c r="FA65"/>
  <c r="EZ72"/>
  <c r="EX75"/>
  <c r="EX72"/>
  <c r="EX62"/>
  <c r="EV72"/>
  <c r="EV95"/>
  <c r="EV91"/>
  <c r="EU89"/>
  <c r="ES74"/>
  <c r="ES63"/>
  <c r="EQ75"/>
  <c r="EO75"/>
  <c r="EO69"/>
  <c r="EO63"/>
  <c r="FB99"/>
  <c r="FB100"/>
  <c r="FB101"/>
  <c r="FB102"/>
  <c r="FB104"/>
  <c r="FB105"/>
  <c r="ET100"/>
  <c r="ET101"/>
  <c r="ET102"/>
  <c r="ET104"/>
  <c r="ET105"/>
  <c r="FA145"/>
  <c r="FA165"/>
  <c r="FA159"/>
  <c r="FA152"/>
  <c r="EZ159"/>
  <c r="EZ162"/>
  <c r="EZ160"/>
  <c r="EZ182"/>
  <c r="EZ178"/>
  <c r="EY162"/>
  <c r="EY178"/>
  <c r="EY182"/>
  <c r="EV159"/>
  <c r="EV162"/>
  <c r="EU159"/>
  <c r="EU156"/>
  <c r="ER159"/>
  <c r="EP162"/>
  <c r="EO159"/>
  <c r="EO156"/>
  <c r="EM159"/>
  <c r="EM162"/>
  <c r="EJ190"/>
  <c r="EJ159"/>
  <c r="EJ177"/>
  <c r="EJ147"/>
  <c r="EI159"/>
  <c r="EI155"/>
  <c r="EI182"/>
  <c r="EI178"/>
  <c r="FB186"/>
  <c r="FB187"/>
  <c r="FB188"/>
  <c r="FB190"/>
  <c r="ET187"/>
  <c r="ET188"/>
  <c r="ET190"/>
  <c r="ET191"/>
  <c r="EV189"/>
  <c r="EW189"/>
  <c r="EX189"/>
  <c r="EY189"/>
  <c r="EZ189"/>
  <c r="FA189"/>
  <c r="EU189"/>
  <c r="EP189"/>
  <c r="EQ189"/>
  <c r="ER189"/>
  <c r="ES189"/>
  <c r="EO189"/>
  <c r="EV26"/>
  <c r="FB189" l="1"/>
  <c r="FB253"/>
  <c r="ET253"/>
  <c r="ET189"/>
  <c r="EO26"/>
  <c r="FB228"/>
  <c r="FB229"/>
  <c r="FB230"/>
  <c r="FB231"/>
  <c r="FB232"/>
  <c r="FB233"/>
  <c r="FB234"/>
  <c r="FB235"/>
  <c r="FB236"/>
  <c r="FB237"/>
  <c r="FB238"/>
  <c r="FB239"/>
  <c r="FB240"/>
  <c r="FB241"/>
  <c r="FB242"/>
  <c r="FB243"/>
  <c r="FB244"/>
  <c r="FB245"/>
  <c r="FB246"/>
  <c r="FB247"/>
  <c r="FB248"/>
  <c r="FB249"/>
  <c r="FB250"/>
  <c r="FB142"/>
  <c r="FB143"/>
  <c r="FB144"/>
  <c r="FB145"/>
  <c r="FB146"/>
  <c r="FB147"/>
  <c r="FB148"/>
  <c r="FB149"/>
  <c r="FB150"/>
  <c r="FB151"/>
  <c r="FB152"/>
  <c r="FB153"/>
  <c r="FB154"/>
  <c r="FB155"/>
  <c r="FB156"/>
  <c r="FB157"/>
  <c r="FB158"/>
  <c r="FB159"/>
  <c r="FB160"/>
  <c r="FB161"/>
  <c r="FB162"/>
  <c r="FB163"/>
  <c r="FB164"/>
  <c r="FB165"/>
  <c r="FB166"/>
  <c r="FB167"/>
  <c r="FB168"/>
  <c r="FB169"/>
  <c r="FB170"/>
  <c r="FB171"/>
  <c r="FB172"/>
  <c r="FB173"/>
  <c r="FB174"/>
  <c r="FB175"/>
  <c r="FB176"/>
  <c r="FB177"/>
  <c r="FB178"/>
  <c r="FB179"/>
  <c r="FB180"/>
  <c r="FB181"/>
  <c r="ET142"/>
  <c r="ET143"/>
  <c r="ET144"/>
  <c r="ET145"/>
  <c r="ET146"/>
  <c r="ET147"/>
  <c r="ET148"/>
  <c r="ET149"/>
  <c r="ET150"/>
  <c r="ET151"/>
  <c r="ET152"/>
  <c r="ET153"/>
  <c r="ET154"/>
  <c r="ET155"/>
  <c r="ET156"/>
  <c r="ET157"/>
  <c r="ET158"/>
  <c r="ET159"/>
  <c r="ET160"/>
  <c r="ET161"/>
  <c r="ET162"/>
  <c r="ET163"/>
  <c r="ET164"/>
  <c r="ET165"/>
  <c r="ET166"/>
  <c r="ET167"/>
  <c r="ET168"/>
  <c r="ET169"/>
  <c r="ET170"/>
  <c r="ET171"/>
  <c r="ET172"/>
  <c r="ET173"/>
  <c r="ET174"/>
  <c r="ET175"/>
  <c r="ET176"/>
  <c r="ET177"/>
  <c r="ET178"/>
  <c r="ET179"/>
  <c r="ET180"/>
  <c r="ET181"/>
  <c r="ET182"/>
  <c r="ET183"/>
  <c r="EN142"/>
  <c r="EN143"/>
  <c r="EN144"/>
  <c r="EN145"/>
  <c r="EN146"/>
  <c r="EN147"/>
  <c r="EN148"/>
  <c r="EN149"/>
  <c r="EN150"/>
  <c r="EN151"/>
  <c r="EN152"/>
  <c r="EN153"/>
  <c r="EN154"/>
  <c r="EN155"/>
  <c r="EN156"/>
  <c r="EN157"/>
  <c r="EN158"/>
  <c r="EN159"/>
  <c r="EN160"/>
  <c r="EN161"/>
  <c r="EN162"/>
  <c r="EN163"/>
  <c r="EN164"/>
  <c r="EN165"/>
  <c r="EN166"/>
  <c r="EN167"/>
  <c r="EN168"/>
  <c r="EN169"/>
  <c r="EN170"/>
  <c r="EN171"/>
  <c r="EN172"/>
  <c r="EN173"/>
  <c r="EN174"/>
  <c r="EN175"/>
  <c r="EN176"/>
  <c r="EN177"/>
  <c r="EN178"/>
  <c r="EN179"/>
  <c r="EN180"/>
  <c r="EN181"/>
  <c r="EN182"/>
  <c r="EN183"/>
  <c r="ET55"/>
  <c r="ET56"/>
  <c r="ET57"/>
  <c r="ET58"/>
  <c r="ET59"/>
  <c r="ET60"/>
  <c r="ET61"/>
  <c r="ET62"/>
  <c r="ET63"/>
  <c r="ET64"/>
  <c r="ET65"/>
  <c r="ET66"/>
  <c r="ET67"/>
  <c r="ET68"/>
  <c r="ET69"/>
  <c r="ET70"/>
  <c r="ET71"/>
  <c r="ET72"/>
  <c r="ET73"/>
  <c r="ET74"/>
  <c r="ET75"/>
  <c r="ET76"/>
  <c r="ET77"/>
  <c r="ET78"/>
  <c r="ET79"/>
  <c r="ET80"/>
  <c r="ET81"/>
  <c r="ET82"/>
  <c r="ET83"/>
  <c r="ET84"/>
  <c r="ET85"/>
  <c r="ET86"/>
  <c r="ET87"/>
  <c r="ET88"/>
  <c r="ET89"/>
  <c r="ET90"/>
  <c r="ET91"/>
  <c r="ET92"/>
  <c r="ET93"/>
  <c r="ET94"/>
  <c r="ET95"/>
  <c r="ET96"/>
  <c r="FB55"/>
  <c r="FB56"/>
  <c r="FB57"/>
  <c r="FB58"/>
  <c r="FB59"/>
  <c r="FB60"/>
  <c r="FB61"/>
  <c r="FB62"/>
  <c r="FB63"/>
  <c r="FB64"/>
  <c r="FB65"/>
  <c r="FB66"/>
  <c r="FB67"/>
  <c r="FB68"/>
  <c r="FB69"/>
  <c r="FB70"/>
  <c r="FB71"/>
  <c r="FB72"/>
  <c r="FB73"/>
  <c r="FB74"/>
  <c r="FB75"/>
  <c r="FB76"/>
  <c r="FB77"/>
  <c r="FB78"/>
  <c r="FB79"/>
  <c r="FB80"/>
  <c r="FB81"/>
  <c r="FB82"/>
  <c r="FB83"/>
  <c r="FB84"/>
  <c r="FB85"/>
  <c r="FB86"/>
  <c r="FB87"/>
  <c r="FB88"/>
  <c r="FB89"/>
  <c r="FB90"/>
  <c r="FB91"/>
  <c r="FB92"/>
  <c r="FB93"/>
  <c r="FB94"/>
  <c r="FB95"/>
  <c r="FB96"/>
  <c r="FA44"/>
  <c r="FA41"/>
  <c r="FA12"/>
  <c r="FA45"/>
  <c r="EY46" l="1"/>
  <c r="EY45"/>
  <c r="EX46"/>
  <c r="EX37"/>
  <c r="EX30"/>
  <c r="EW45"/>
  <c r="EW37"/>
  <c r="EW30"/>
  <c r="EU46"/>
  <c r="EU37"/>
  <c r="EU30"/>
  <c r="ES46"/>
  <c r="ES45"/>
  <c r="ES37"/>
  <c r="ES30"/>
  <c r="ER46"/>
  <c r="ER45"/>
  <c r="ER37"/>
  <c r="ER30"/>
  <c r="EQ37"/>
  <c r="EQ46"/>
  <c r="EQ45"/>
  <c r="EQ30"/>
  <c r="EP37"/>
  <c r="EP45"/>
  <c r="EP30"/>
  <c r="EO46"/>
  <c r="EO37"/>
  <c r="EO45"/>
  <c r="EO30"/>
  <c r="EL45"/>
  <c r="FB41"/>
  <c r="FB42"/>
  <c r="FB43"/>
  <c r="FB44"/>
  <c r="FB45"/>
  <c r="FB40"/>
  <c r="FB6"/>
  <c r="FB7"/>
  <c r="FB8"/>
  <c r="FB9"/>
  <c r="FB10"/>
  <c r="FB11"/>
  <c r="FB12"/>
  <c r="FB13"/>
  <c r="FB14"/>
  <c r="FB15"/>
  <c r="FB16"/>
  <c r="FB17"/>
  <c r="FB18"/>
  <c r="FB19"/>
  <c r="FB20"/>
  <c r="FB21"/>
  <c r="FB22"/>
  <c r="FB23"/>
  <c r="FB24"/>
  <c r="FB25"/>
  <c r="FB26"/>
  <c r="FB27"/>
  <c r="FB28"/>
  <c r="FB29"/>
  <c r="FB31"/>
  <c r="FB32"/>
  <c r="FB33"/>
  <c r="FB34"/>
  <c r="FB35"/>
  <c r="FB36"/>
  <c r="FB5"/>
  <c r="ET41"/>
  <c r="ET42"/>
  <c r="ET43"/>
  <c r="ET44"/>
  <c r="ET40"/>
  <c r="ET6"/>
  <c r="ET7"/>
  <c r="ET8"/>
  <c r="ET9"/>
  <c r="ET10"/>
  <c r="ET11"/>
  <c r="ET12"/>
  <c r="ET13"/>
  <c r="ET14"/>
  <c r="ET15"/>
  <c r="ET16"/>
  <c r="ET17"/>
  <c r="ET18"/>
  <c r="ET19"/>
  <c r="ET20"/>
  <c r="ET21"/>
  <c r="ET22"/>
  <c r="ET23"/>
  <c r="ET24"/>
  <c r="ET25"/>
  <c r="ET26"/>
  <c r="ET27"/>
  <c r="ET28"/>
  <c r="ET29"/>
  <c r="ET31"/>
  <c r="ET32"/>
  <c r="ET33"/>
  <c r="ET34"/>
  <c r="ET35"/>
  <c r="ET36"/>
  <c r="ET37" l="1"/>
  <c r="ET45"/>
  <c r="FB37"/>
  <c r="FB46"/>
  <c r="ET46"/>
  <c r="FB30"/>
  <c r="ET30"/>
  <c r="F37" i="11" l="1"/>
  <c r="K15" l="1"/>
  <c r="M38" l="1"/>
  <c r="M37"/>
  <c r="G36"/>
  <c r="F36"/>
  <c r="M36"/>
  <c r="EJ63" i="17"/>
  <c r="EK93"/>
  <c r="EK62"/>
  <c r="EM76"/>
  <c r="EI60"/>
  <c r="EJ104"/>
  <c r="EN100"/>
  <c r="EN101"/>
  <c r="EN102"/>
  <c r="EN105"/>
  <c r="EL104"/>
  <c r="EN55"/>
  <c r="EN56"/>
  <c r="EN57"/>
  <c r="EN58"/>
  <c r="EN59"/>
  <c r="EN60"/>
  <c r="EN61"/>
  <c r="EN62"/>
  <c r="EN63"/>
  <c r="EN64"/>
  <c r="EN65"/>
  <c r="EN66"/>
  <c r="EN67"/>
  <c r="EN68"/>
  <c r="EN69"/>
  <c r="EN70"/>
  <c r="EN71"/>
  <c r="EN72"/>
  <c r="EN73"/>
  <c r="EN74"/>
  <c r="EN75"/>
  <c r="EN76"/>
  <c r="EN77"/>
  <c r="EN78"/>
  <c r="EN79"/>
  <c r="EN80"/>
  <c r="EN81"/>
  <c r="EN82"/>
  <c r="EN83"/>
  <c r="EN84"/>
  <c r="EN85"/>
  <c r="EN86"/>
  <c r="EN87"/>
  <c r="EN88"/>
  <c r="EN89"/>
  <c r="EN90"/>
  <c r="EN91"/>
  <c r="EN92"/>
  <c r="EN93"/>
  <c r="EN94"/>
  <c r="EN95"/>
  <c r="EN96"/>
  <c r="EN187"/>
  <c r="EN188"/>
  <c r="EN190"/>
  <c r="EN191"/>
  <c r="EN186"/>
  <c r="EJ189"/>
  <c r="EK189"/>
  <c r="EL189"/>
  <c r="EM189"/>
  <c r="EI189"/>
  <c r="EN219"/>
  <c r="EN214"/>
  <c r="EN215"/>
  <c r="EN216"/>
  <c r="EN213"/>
  <c r="EI113"/>
  <c r="EK13"/>
  <c r="EN13" s="1"/>
  <c r="EN41"/>
  <c r="EN42"/>
  <c r="EN43"/>
  <c r="EN44"/>
  <c r="EN40"/>
  <c r="EM46"/>
  <c r="EL46"/>
  <c r="EL37"/>
  <c r="EL30"/>
  <c r="EK37"/>
  <c r="EK45"/>
  <c r="EJ46"/>
  <c r="EJ37"/>
  <c r="EJ45"/>
  <c r="EJ30"/>
  <c r="EN6"/>
  <c r="EN7"/>
  <c r="EN8"/>
  <c r="EN9"/>
  <c r="EN10"/>
  <c r="EN11"/>
  <c r="EN12"/>
  <c r="EN14"/>
  <c r="EN15"/>
  <c r="EN16"/>
  <c r="EN17"/>
  <c r="EN18"/>
  <c r="EN19"/>
  <c r="EN20"/>
  <c r="EN21"/>
  <c r="EN22"/>
  <c r="EN23"/>
  <c r="EN24"/>
  <c r="EN25"/>
  <c r="EN26"/>
  <c r="EN27"/>
  <c r="EN28"/>
  <c r="EN29"/>
  <c r="EN31"/>
  <c r="EN32"/>
  <c r="EN33"/>
  <c r="EN34"/>
  <c r="EN35"/>
  <c r="EN36"/>
  <c r="EI46"/>
  <c r="G71" i="11" l="1"/>
  <c r="H71"/>
  <c r="EN30" i="17"/>
  <c r="EN46"/>
  <c r="EN37"/>
  <c r="EN189"/>
  <c r="EN45"/>
  <c r="EN104"/>
  <c r="F24" i="27"/>
  <c r="F35" i="11"/>
  <c r="F23" i="27"/>
  <c r="EN39" i="17" l="1"/>
  <c r="EG162"/>
  <c r="EG156"/>
  <c r="EG155"/>
  <c r="EE162"/>
  <c r="EE152"/>
  <c r="EC162"/>
  <c r="EC159"/>
  <c r="EC155"/>
  <c r="DX146"/>
  <c r="DX150"/>
  <c r="DW162"/>
  <c r="DW159"/>
  <c r="DV162"/>
  <c r="DT162"/>
  <c r="DS162"/>
  <c r="DS159"/>
  <c r="DS156"/>
  <c r="DP162"/>
  <c r="DP159"/>
  <c r="DN162"/>
  <c r="DN159"/>
  <c r="DN156"/>
  <c r="DM154"/>
  <c r="DM188"/>
  <c r="ED189" l="1"/>
  <c r="EE189"/>
  <c r="EF189"/>
  <c r="EG189"/>
  <c r="EC189"/>
  <c r="DW189"/>
  <c r="DX189"/>
  <c r="DY189"/>
  <c r="DZ189"/>
  <c r="DQ189"/>
  <c r="DR189"/>
  <c r="DS189"/>
  <c r="DT189"/>
  <c r="DK189"/>
  <c r="DL189"/>
  <c r="DM189"/>
  <c r="DN189"/>
  <c r="DV189"/>
  <c r="DP189"/>
  <c r="DJ189"/>
  <c r="DO187"/>
  <c r="DU187"/>
  <c r="EA187"/>
  <c r="EH187"/>
  <c r="FC187" s="1"/>
  <c r="DO188"/>
  <c r="DU188"/>
  <c r="EA188"/>
  <c r="EH188"/>
  <c r="FC188" s="1"/>
  <c r="DO190"/>
  <c r="DU190"/>
  <c r="EA190"/>
  <c r="EH190"/>
  <c r="FC190" s="1"/>
  <c r="DO191"/>
  <c r="DU191"/>
  <c r="EA191"/>
  <c r="EH191"/>
  <c r="FB191"/>
  <c r="EA142"/>
  <c r="EA143"/>
  <c r="EA144"/>
  <c r="EA145"/>
  <c r="EA146"/>
  <c r="EA147"/>
  <c r="EA148"/>
  <c r="EA149"/>
  <c r="EA150"/>
  <c r="EA151"/>
  <c r="EA152"/>
  <c r="EA153"/>
  <c r="EA154"/>
  <c r="EA155"/>
  <c r="EA156"/>
  <c r="EA157"/>
  <c r="EA158"/>
  <c r="EA159"/>
  <c r="EA160"/>
  <c r="EA161"/>
  <c r="EA162"/>
  <c r="EA163"/>
  <c r="EA164"/>
  <c r="EA165"/>
  <c r="EA166"/>
  <c r="EA167"/>
  <c r="EA168"/>
  <c r="EA169"/>
  <c r="EA170"/>
  <c r="EA171"/>
  <c r="EA172"/>
  <c r="EA173"/>
  <c r="EA174"/>
  <c r="EA175"/>
  <c r="EA176"/>
  <c r="EA177"/>
  <c r="EA178"/>
  <c r="EA179"/>
  <c r="EA180"/>
  <c r="EA181"/>
  <c r="EA182"/>
  <c r="EA183"/>
  <c r="DU142"/>
  <c r="DU143"/>
  <c r="DU144"/>
  <c r="DU145"/>
  <c r="DU146"/>
  <c r="DU147"/>
  <c r="DU148"/>
  <c r="DU149"/>
  <c r="DU150"/>
  <c r="DU151"/>
  <c r="DU152"/>
  <c r="DU153"/>
  <c r="DU154"/>
  <c r="DU155"/>
  <c r="DU156"/>
  <c r="DU157"/>
  <c r="DU158"/>
  <c r="DU159"/>
  <c r="DU160"/>
  <c r="DU161"/>
  <c r="DU162"/>
  <c r="DU163"/>
  <c r="DU164"/>
  <c r="DU165"/>
  <c r="DU166"/>
  <c r="DU167"/>
  <c r="DU168"/>
  <c r="DU169"/>
  <c r="DU170"/>
  <c r="DU171"/>
  <c r="DU172"/>
  <c r="DU173"/>
  <c r="DU174"/>
  <c r="DU175"/>
  <c r="DU176"/>
  <c r="DU177"/>
  <c r="DU178"/>
  <c r="DU179"/>
  <c r="DU180"/>
  <c r="DU181"/>
  <c r="DU182"/>
  <c r="DU183"/>
  <c r="DO142"/>
  <c r="DO143"/>
  <c r="DO144"/>
  <c r="DO145"/>
  <c r="DO147"/>
  <c r="DO148"/>
  <c r="DO149"/>
  <c r="DO150"/>
  <c r="DO151"/>
  <c r="DO152"/>
  <c r="DO153"/>
  <c r="DO154"/>
  <c r="DO155"/>
  <c r="DO156"/>
  <c r="DO157"/>
  <c r="DO158"/>
  <c r="DO159"/>
  <c r="DO160"/>
  <c r="DO161"/>
  <c r="DO163"/>
  <c r="DO164"/>
  <c r="DO165"/>
  <c r="DO166"/>
  <c r="DO167"/>
  <c r="DO168"/>
  <c r="DO169"/>
  <c r="DO170"/>
  <c r="DO171"/>
  <c r="DO172"/>
  <c r="DO173"/>
  <c r="DO174"/>
  <c r="DO175"/>
  <c r="DO176"/>
  <c r="DO177"/>
  <c r="DO178"/>
  <c r="DO179"/>
  <c r="DO180"/>
  <c r="DO181"/>
  <c r="DO182"/>
  <c r="DO183"/>
  <c r="EH142"/>
  <c r="FC142" s="1"/>
  <c r="EH143"/>
  <c r="EH144"/>
  <c r="FC144" s="1"/>
  <c r="EH145"/>
  <c r="EH146"/>
  <c r="FC146" s="1"/>
  <c r="EH147"/>
  <c r="EH148"/>
  <c r="FC148" s="1"/>
  <c r="EH149"/>
  <c r="FC149" s="1"/>
  <c r="EH150"/>
  <c r="EH151"/>
  <c r="FC151" s="1"/>
  <c r="EH152"/>
  <c r="EH153"/>
  <c r="EH154"/>
  <c r="FC154" s="1"/>
  <c r="EH155"/>
  <c r="FC155" s="1"/>
  <c r="EH156"/>
  <c r="EH157"/>
  <c r="FC157" s="1"/>
  <c r="EH158"/>
  <c r="EH159"/>
  <c r="EH160"/>
  <c r="EH161"/>
  <c r="EH162"/>
  <c r="EH163"/>
  <c r="FC163" s="1"/>
  <c r="EH164"/>
  <c r="FC164" s="1"/>
  <c r="EH165"/>
  <c r="EH166"/>
  <c r="EH167"/>
  <c r="FC167" s="1"/>
  <c r="EH168"/>
  <c r="FC168" s="1"/>
  <c r="EH169"/>
  <c r="FC169" s="1"/>
  <c r="EH170"/>
  <c r="FC170" s="1"/>
  <c r="EH171"/>
  <c r="FC171" s="1"/>
  <c r="EH172"/>
  <c r="EH173"/>
  <c r="EH174"/>
  <c r="FC174" s="1"/>
  <c r="EH175"/>
  <c r="FC175" s="1"/>
  <c r="EH176"/>
  <c r="FC176" s="1"/>
  <c r="EH177"/>
  <c r="FC177" s="1"/>
  <c r="EH178"/>
  <c r="FC178" s="1"/>
  <c r="EH179"/>
  <c r="FC179" s="1"/>
  <c r="EH180"/>
  <c r="EH181"/>
  <c r="FC181" s="1"/>
  <c r="EH182"/>
  <c r="FB182"/>
  <c r="EH183"/>
  <c r="FB183"/>
  <c r="EG75"/>
  <c r="EF75"/>
  <c r="EE65"/>
  <c r="ED75"/>
  <c r="ED63"/>
  <c r="EC72"/>
  <c r="EC68"/>
  <c r="DX75"/>
  <c r="DV75"/>
  <c r="DV63"/>
  <c r="DS75"/>
  <c r="DS72"/>
  <c r="DS63"/>
  <c r="DU63" s="1"/>
  <c r="DS56"/>
  <c r="DU56" s="1"/>
  <c r="DR75"/>
  <c r="DR60"/>
  <c r="DU60" s="1"/>
  <c r="DQ75"/>
  <c r="DP69"/>
  <c r="DU69" s="1"/>
  <c r="DN75"/>
  <c r="DM67"/>
  <c r="EH100"/>
  <c r="FC100" s="1"/>
  <c r="EH101"/>
  <c r="FC101" s="1"/>
  <c r="EH102"/>
  <c r="FC102" s="1"/>
  <c r="EH104"/>
  <c r="FC104" s="1"/>
  <c r="EH105"/>
  <c r="FC105" s="1"/>
  <c r="EA100"/>
  <c r="EA101"/>
  <c r="EA102"/>
  <c r="EA104"/>
  <c r="EA105"/>
  <c r="EA99"/>
  <c r="DU100"/>
  <c r="DU101"/>
  <c r="DU102"/>
  <c r="DU104"/>
  <c r="DU105"/>
  <c r="DU99"/>
  <c r="EA55"/>
  <c r="EA56"/>
  <c r="EA57"/>
  <c r="EA58"/>
  <c r="EA59"/>
  <c r="EA60"/>
  <c r="EA61"/>
  <c r="EA62"/>
  <c r="EA63"/>
  <c r="EA64"/>
  <c r="EA65"/>
  <c r="EA66"/>
  <c r="EA67"/>
  <c r="EA68"/>
  <c r="EA69"/>
  <c r="EA70"/>
  <c r="EA71"/>
  <c r="EA72"/>
  <c r="EA73"/>
  <c r="EA74"/>
  <c r="EA76"/>
  <c r="EA77"/>
  <c r="EA78"/>
  <c r="EA79"/>
  <c r="EA80"/>
  <c r="EA81"/>
  <c r="EA82"/>
  <c r="EA83"/>
  <c r="EA84"/>
  <c r="EA85"/>
  <c r="EA86"/>
  <c r="EA87"/>
  <c r="EA88"/>
  <c r="EA89"/>
  <c r="EA90"/>
  <c r="EA91"/>
  <c r="EA92"/>
  <c r="EA93"/>
  <c r="EA94"/>
  <c r="EA95"/>
  <c r="EA96"/>
  <c r="EA54"/>
  <c r="DU55"/>
  <c r="DU57"/>
  <c r="DU58"/>
  <c r="DU59"/>
  <c r="DU61"/>
  <c r="DU62"/>
  <c r="DU64"/>
  <c r="DU65"/>
  <c r="DU66"/>
  <c r="DU67"/>
  <c r="DU68"/>
  <c r="DU70"/>
  <c r="DU71"/>
  <c r="DU72"/>
  <c r="DU73"/>
  <c r="DU74"/>
  <c r="DU76"/>
  <c r="DU77"/>
  <c r="DU78"/>
  <c r="DU79"/>
  <c r="DU80"/>
  <c r="DU81"/>
  <c r="DU82"/>
  <c r="DU83"/>
  <c r="DU84"/>
  <c r="DU85"/>
  <c r="DU86"/>
  <c r="DU87"/>
  <c r="DU88"/>
  <c r="DU89"/>
  <c r="DU90"/>
  <c r="DU91"/>
  <c r="DU92"/>
  <c r="DU93"/>
  <c r="DU94"/>
  <c r="DU95"/>
  <c r="DU96"/>
  <c r="DU54"/>
  <c r="DO55"/>
  <c r="DO56"/>
  <c r="DO57"/>
  <c r="DO58"/>
  <c r="DO59"/>
  <c r="DO61"/>
  <c r="DO63"/>
  <c r="DO64"/>
  <c r="DO65"/>
  <c r="DO66"/>
  <c r="DO67"/>
  <c r="DO68"/>
  <c r="DO69"/>
  <c r="DO70"/>
  <c r="DO71"/>
  <c r="DO72"/>
  <c r="DO74"/>
  <c r="DO76"/>
  <c r="DO77"/>
  <c r="DO78"/>
  <c r="DO79"/>
  <c r="DO80"/>
  <c r="DO81"/>
  <c r="DO82"/>
  <c r="DO83"/>
  <c r="DO84"/>
  <c r="DO85"/>
  <c r="DO86"/>
  <c r="DO87"/>
  <c r="DO88"/>
  <c r="DO89"/>
  <c r="DO90"/>
  <c r="DO91"/>
  <c r="DO92"/>
  <c r="DO93"/>
  <c r="DO94"/>
  <c r="DO95"/>
  <c r="DO96"/>
  <c r="DO54"/>
  <c r="DO189" l="1"/>
  <c r="EA75"/>
  <c r="EH189"/>
  <c r="FC189" s="1"/>
  <c r="FC183"/>
  <c r="DU75"/>
  <c r="FC191"/>
  <c r="DU189"/>
  <c r="FC153"/>
  <c r="FC152"/>
  <c r="FC161"/>
  <c r="FC180"/>
  <c r="FC172"/>
  <c r="FC182"/>
  <c r="FC173"/>
  <c r="EA189"/>
  <c r="EH55"/>
  <c r="FC55" s="1"/>
  <c r="EH56"/>
  <c r="EH57"/>
  <c r="FC57" s="1"/>
  <c r="EH58"/>
  <c r="EH59"/>
  <c r="FC59" s="1"/>
  <c r="EH60"/>
  <c r="EH61"/>
  <c r="FC61" s="1"/>
  <c r="EH62"/>
  <c r="FC62" s="1"/>
  <c r="EH63"/>
  <c r="EH64"/>
  <c r="FC64" s="1"/>
  <c r="EH65"/>
  <c r="FC65" s="1"/>
  <c r="EH66"/>
  <c r="FC66" s="1"/>
  <c r="EH67"/>
  <c r="FC67" s="1"/>
  <c r="EH68"/>
  <c r="EH69"/>
  <c r="FC69" s="1"/>
  <c r="EH70"/>
  <c r="FC70" s="1"/>
  <c r="EH71"/>
  <c r="EH72"/>
  <c r="EH73"/>
  <c r="EH74"/>
  <c r="FC74" s="1"/>
  <c r="EH75"/>
  <c r="EH76"/>
  <c r="FC76" s="1"/>
  <c r="EH77"/>
  <c r="FC77" s="1"/>
  <c r="EH78"/>
  <c r="FC78" s="1"/>
  <c r="EH79"/>
  <c r="FC79" s="1"/>
  <c r="EH80"/>
  <c r="FC80" s="1"/>
  <c r="EH81"/>
  <c r="FC81" s="1"/>
  <c r="EH82"/>
  <c r="FC82" s="1"/>
  <c r="EH83"/>
  <c r="FC83" s="1"/>
  <c r="EH84"/>
  <c r="FC84" s="1"/>
  <c r="EH85"/>
  <c r="FC85" s="1"/>
  <c r="EH86"/>
  <c r="FC86" s="1"/>
  <c r="EH87"/>
  <c r="FC87" s="1"/>
  <c r="EH88"/>
  <c r="FC88" s="1"/>
  <c r="EH89"/>
  <c r="FC89" s="1"/>
  <c r="EH90"/>
  <c r="FC90" s="1"/>
  <c r="EH91"/>
  <c r="FC91" s="1"/>
  <c r="EH92"/>
  <c r="FC92" s="1"/>
  <c r="EH93"/>
  <c r="FC93" s="1"/>
  <c r="EH94"/>
  <c r="FC94" s="1"/>
  <c r="EH95"/>
  <c r="FC95" s="1"/>
  <c r="EH96"/>
  <c r="FC96" s="1"/>
  <c r="EH54"/>
  <c r="DZ20" l="1"/>
  <c r="DW13"/>
  <c r="DI6"/>
  <c r="DI7"/>
  <c r="DI8"/>
  <c r="DI10"/>
  <c r="DI11"/>
  <c r="DI12"/>
  <c r="DI13"/>
  <c r="DI14"/>
  <c r="DI15"/>
  <c r="DI16"/>
  <c r="DI17"/>
  <c r="DI18"/>
  <c r="DI19"/>
  <c r="DI20"/>
  <c r="DI21"/>
  <c r="DI22"/>
  <c r="DI23"/>
  <c r="DI24"/>
  <c r="DI25"/>
  <c r="DI26"/>
  <c r="DI27"/>
  <c r="DI28"/>
  <c r="DI29"/>
  <c r="DI31"/>
  <c r="DI32"/>
  <c r="DI33"/>
  <c r="DI34"/>
  <c r="DI35"/>
  <c r="DI36"/>
  <c r="DU6"/>
  <c r="DU7"/>
  <c r="DU9"/>
  <c r="DU10"/>
  <c r="DU11"/>
  <c r="DU12"/>
  <c r="DU13"/>
  <c r="DU14"/>
  <c r="DU15"/>
  <c r="DU16"/>
  <c r="DU17"/>
  <c r="DU18"/>
  <c r="DU19"/>
  <c r="DU20"/>
  <c r="DU21"/>
  <c r="DU22"/>
  <c r="DU23"/>
  <c r="DU24"/>
  <c r="DU25"/>
  <c r="DU27"/>
  <c r="DU28"/>
  <c r="DU29"/>
  <c r="DU30"/>
  <c r="DU31"/>
  <c r="DU32"/>
  <c r="DU33"/>
  <c r="DU34"/>
  <c r="DU35"/>
  <c r="DU36"/>
  <c r="DU37"/>
  <c r="DO6"/>
  <c r="DO7"/>
  <c r="DO8"/>
  <c r="DO9"/>
  <c r="DO10"/>
  <c r="DO11"/>
  <c r="DO12"/>
  <c r="DO14"/>
  <c r="DO15"/>
  <c r="DO16"/>
  <c r="DO17"/>
  <c r="DO18"/>
  <c r="DO19"/>
  <c r="DO20"/>
  <c r="DO21"/>
  <c r="DO22"/>
  <c r="DO23"/>
  <c r="DO24"/>
  <c r="DO25"/>
  <c r="DO27"/>
  <c r="DO28"/>
  <c r="DO29"/>
  <c r="DO31"/>
  <c r="DO32"/>
  <c r="DO33"/>
  <c r="DO34"/>
  <c r="DO35"/>
  <c r="DO36"/>
  <c r="DO5"/>
  <c r="DT8"/>
  <c r="DU8" s="1"/>
  <c r="DS26"/>
  <c r="DU26" s="1"/>
  <c r="DN26"/>
  <c r="DO26" s="1"/>
  <c r="DX45" l="1"/>
  <c r="EH6"/>
  <c r="EH7"/>
  <c r="EH8"/>
  <c r="EH9"/>
  <c r="EH10"/>
  <c r="EH11"/>
  <c r="EH12"/>
  <c r="EH13"/>
  <c r="EH14"/>
  <c r="EH15"/>
  <c r="EH16"/>
  <c r="EH17"/>
  <c r="EH18"/>
  <c r="EH19"/>
  <c r="EH20"/>
  <c r="EH21"/>
  <c r="EH22"/>
  <c r="EH23"/>
  <c r="EH24"/>
  <c r="EH25"/>
  <c r="EH26"/>
  <c r="EH27"/>
  <c r="EH28"/>
  <c r="EH29"/>
  <c r="EH30"/>
  <c r="EH31"/>
  <c r="EH32"/>
  <c r="EH33"/>
  <c r="EH34"/>
  <c r="EH35"/>
  <c r="EH36"/>
  <c r="EH37"/>
  <c r="EH41"/>
  <c r="EH42"/>
  <c r="EH43"/>
  <c r="EH44"/>
  <c r="EH45"/>
  <c r="EH46"/>
  <c r="EH40"/>
  <c r="EA5"/>
  <c r="EA6"/>
  <c r="EA7"/>
  <c r="EA8"/>
  <c r="EA9"/>
  <c r="EA10"/>
  <c r="EA11"/>
  <c r="EA12"/>
  <c r="EA13"/>
  <c r="EA14"/>
  <c r="EA15"/>
  <c r="EA16"/>
  <c r="EA17"/>
  <c r="EA18"/>
  <c r="EA19"/>
  <c r="EA20"/>
  <c r="EA21"/>
  <c r="EA22"/>
  <c r="EA23"/>
  <c r="EA24"/>
  <c r="EA25"/>
  <c r="EA26"/>
  <c r="EA27"/>
  <c r="EA28"/>
  <c r="EA29"/>
  <c r="EA30"/>
  <c r="EA31"/>
  <c r="EA32"/>
  <c r="EA33"/>
  <c r="EA34"/>
  <c r="EA35"/>
  <c r="EA36"/>
  <c r="EA40"/>
  <c r="EA41"/>
  <c r="EA42"/>
  <c r="EA43"/>
  <c r="EA44"/>
  <c r="EA45"/>
  <c r="DU40"/>
  <c r="DU41"/>
  <c r="DU42"/>
  <c r="DU43"/>
  <c r="DU44"/>
  <c r="DU45"/>
  <c r="DO41"/>
  <c r="DO42"/>
  <c r="DO43"/>
  <c r="DO44"/>
  <c r="FC156"/>
  <c r="FC158"/>
  <c r="FC147"/>
  <c r="FC143"/>
  <c r="FC150"/>
  <c r="FC166"/>
  <c r="FC159"/>
  <c r="FC165"/>
  <c r="FC71"/>
  <c r="FC60"/>
  <c r="ET119"/>
  <c r="ET114"/>
  <c r="ET115"/>
  <c r="ET116"/>
  <c r="ET113"/>
  <c r="ED113"/>
  <c r="DX113"/>
  <c r="EA113" s="1"/>
  <c r="EA119"/>
  <c r="EA114"/>
  <c r="EA115"/>
  <c r="EA116"/>
  <c r="DU113"/>
  <c r="DU114"/>
  <c r="DU115"/>
  <c r="DU119"/>
  <c r="DO113"/>
  <c r="FC162" l="1"/>
  <c r="FC73"/>
  <c r="FC75"/>
  <c r="FC58"/>
  <c r="FC63"/>
  <c r="FC68"/>
  <c r="FC145"/>
  <c r="FC72" l="1"/>
  <c r="FC160"/>
  <c r="FC56"/>
  <c r="FB128"/>
  <c r="FB129"/>
  <c r="FB130"/>
  <c r="FB127"/>
  <c r="EZ4"/>
  <c r="EZ39"/>
  <c r="EZ53"/>
  <c r="EZ103"/>
  <c r="EZ98" s="1"/>
  <c r="EZ112"/>
  <c r="EZ118"/>
  <c r="EZ140"/>
  <c r="EZ185"/>
  <c r="EZ212"/>
  <c r="EZ218"/>
  <c r="EZ198"/>
  <c r="EZ204"/>
  <c r="EZ226"/>
  <c r="EZ254"/>
  <c r="EZ252" s="1"/>
  <c r="EZ132"/>
  <c r="EZ126"/>
  <c r="EA133"/>
  <c r="EA128"/>
  <c r="EA129"/>
  <c r="EA130"/>
  <c r="EA127"/>
  <c r="DU130"/>
  <c r="DU133"/>
  <c r="DU128"/>
  <c r="DU129"/>
  <c r="ET205"/>
  <c r="EN205"/>
  <c r="ET200"/>
  <c r="ET201"/>
  <c r="ET202"/>
  <c r="EN200"/>
  <c r="EN201"/>
  <c r="EN202"/>
  <c r="ET199"/>
  <c r="EN199"/>
  <c r="EH200"/>
  <c r="EH201"/>
  <c r="EH202"/>
  <c r="EA200"/>
  <c r="EA201"/>
  <c r="EA202"/>
  <c r="EA205"/>
  <c r="EA199"/>
  <c r="DU200"/>
  <c r="DU201"/>
  <c r="DU202"/>
  <c r="DU199"/>
  <c r="DU205"/>
  <c r="DO199"/>
  <c r="DO200"/>
  <c r="DO202"/>
  <c r="DO205"/>
  <c r="DU214"/>
  <c r="DU215"/>
  <c r="DU216"/>
  <c r="EA214"/>
  <c r="EA215"/>
  <c r="EA216"/>
  <c r="EA219"/>
  <c r="EA213"/>
  <c r="DU219"/>
  <c r="DU213"/>
  <c r="EZ135" l="1"/>
  <c r="EZ221"/>
  <c r="EZ121"/>
  <c r="EZ207"/>
  <c r="EZ256"/>
  <c r="EZ107"/>
  <c r="EZ48"/>
  <c r="EZ193"/>
  <c r="EZ260" l="1"/>
  <c r="EN253"/>
  <c r="EH253"/>
  <c r="DU254"/>
  <c r="DU253"/>
  <c r="DU228"/>
  <c r="DU229"/>
  <c r="DU230"/>
  <c r="DU231"/>
  <c r="DU232"/>
  <c r="DU233"/>
  <c r="DU234"/>
  <c r="DU235"/>
  <c r="DU236"/>
  <c r="DU237"/>
  <c r="DU238"/>
  <c r="DU239"/>
  <c r="DU240"/>
  <c r="DU241"/>
  <c r="DU242"/>
  <c r="DU243"/>
  <c r="DU244"/>
  <c r="DU245"/>
  <c r="DU246"/>
  <c r="DU247"/>
  <c r="DU248"/>
  <c r="DU249"/>
  <c r="DU250"/>
  <c r="DU227"/>
  <c r="EA254"/>
  <c r="EA253"/>
  <c r="EA228"/>
  <c r="EA229"/>
  <c r="EA230"/>
  <c r="EA231"/>
  <c r="EA232"/>
  <c r="EA233"/>
  <c r="EA234"/>
  <c r="EA235"/>
  <c r="EA236"/>
  <c r="EA237"/>
  <c r="EA238"/>
  <c r="EA239"/>
  <c r="EA240"/>
  <c r="EA241"/>
  <c r="EA242"/>
  <c r="EA243"/>
  <c r="EA244"/>
  <c r="EA245"/>
  <c r="EA246"/>
  <c r="EA247"/>
  <c r="EA248"/>
  <c r="EA249"/>
  <c r="EA250"/>
  <c r="EA227"/>
  <c r="FC253" l="1"/>
  <c r="E10" i="8"/>
  <c r="E13" s="1"/>
  <c r="F22" i="27" l="1"/>
  <c r="M24"/>
  <c r="M23"/>
  <c r="G35" i="11"/>
  <c r="G34"/>
  <c r="F34"/>
  <c r="H73" s="1"/>
  <c r="M34"/>
  <c r="H35" i="27" l="1"/>
  <c r="G35"/>
  <c r="M32" i="11"/>
  <c r="M33"/>
  <c r="M35"/>
  <c r="F33"/>
  <c r="F32"/>
  <c r="DM201" i="17"/>
  <c r="DO201" s="1"/>
  <c r="M22" i="27" l="1"/>
  <c r="F31" i="11"/>
  <c r="M31"/>
  <c r="DL162" i="17"/>
  <c r="DK162"/>
  <c r="DJ162"/>
  <c r="DJ146"/>
  <c r="DO146" s="1"/>
  <c r="DG155"/>
  <c r="DF147"/>
  <c r="DE162"/>
  <c r="DE143"/>
  <c r="DI143" s="1"/>
  <c r="EB143" s="1"/>
  <c r="DD162"/>
  <c r="DD155"/>
  <c r="DD145"/>
  <c r="DA159"/>
  <c r="DA162"/>
  <c r="DA152"/>
  <c r="DB152" s="1"/>
  <c r="CZ162"/>
  <c r="CY162"/>
  <c r="CY140" s="1"/>
  <c r="CX162"/>
  <c r="CX159"/>
  <c r="DB142"/>
  <c r="DB143"/>
  <c r="DB144"/>
  <c r="DB145"/>
  <c r="DB146"/>
  <c r="DB147"/>
  <c r="DB148"/>
  <c r="DB149"/>
  <c r="DB150"/>
  <c r="DB151"/>
  <c r="DB153"/>
  <c r="DB154"/>
  <c r="DB155"/>
  <c r="DB156"/>
  <c r="DB157"/>
  <c r="DB158"/>
  <c r="DB160"/>
  <c r="DB161"/>
  <c r="DB163"/>
  <c r="DB164"/>
  <c r="DB165"/>
  <c r="DB166"/>
  <c r="DB167"/>
  <c r="DB168"/>
  <c r="DB169"/>
  <c r="DB170"/>
  <c r="DB171"/>
  <c r="DB172"/>
  <c r="DB173"/>
  <c r="DB174"/>
  <c r="DB175"/>
  <c r="DB176"/>
  <c r="DB177"/>
  <c r="DB178"/>
  <c r="DB179"/>
  <c r="DB180"/>
  <c r="DB181"/>
  <c r="DB182"/>
  <c r="DB183"/>
  <c r="CY185"/>
  <c r="DI200"/>
  <c r="DI201"/>
  <c r="DI202"/>
  <c r="DI205"/>
  <c r="DI199"/>
  <c r="CY198"/>
  <c r="CY204"/>
  <c r="CY212"/>
  <c r="CY218"/>
  <c r="DB219"/>
  <c r="DB214"/>
  <c r="DB215"/>
  <c r="DB216"/>
  <c r="DI142"/>
  <c r="EB142" s="1"/>
  <c r="DI144"/>
  <c r="EB144" s="1"/>
  <c r="DI145"/>
  <c r="EB145" s="1"/>
  <c r="DI146"/>
  <c r="DI147"/>
  <c r="EB147" s="1"/>
  <c r="DI148"/>
  <c r="EB148" s="1"/>
  <c r="DI149"/>
  <c r="EB149" s="1"/>
  <c r="DI150"/>
  <c r="EB150" s="1"/>
  <c r="DI151"/>
  <c r="EB151" s="1"/>
  <c r="DI152"/>
  <c r="EB152" s="1"/>
  <c r="DI153"/>
  <c r="EB153" s="1"/>
  <c r="DI154"/>
  <c r="EB154" s="1"/>
  <c r="DI155"/>
  <c r="EB155" s="1"/>
  <c r="DI156"/>
  <c r="EB156" s="1"/>
  <c r="DI157"/>
  <c r="EB157" s="1"/>
  <c r="DI158"/>
  <c r="EB158" s="1"/>
  <c r="DI159"/>
  <c r="EB159" s="1"/>
  <c r="DI160"/>
  <c r="EB160" s="1"/>
  <c r="DI161"/>
  <c r="EB161" s="1"/>
  <c r="DI162"/>
  <c r="DI163"/>
  <c r="EB163" s="1"/>
  <c r="DI164"/>
  <c r="EB164" s="1"/>
  <c r="DI165"/>
  <c r="EB165" s="1"/>
  <c r="DI166"/>
  <c r="EB166" s="1"/>
  <c r="DI167"/>
  <c r="EB167" s="1"/>
  <c r="DI168"/>
  <c r="EB168" s="1"/>
  <c r="DI169"/>
  <c r="EB169" s="1"/>
  <c r="DI170"/>
  <c r="EB170" s="1"/>
  <c r="DI171"/>
  <c r="EB171" s="1"/>
  <c r="DI172"/>
  <c r="EB172" s="1"/>
  <c r="DI173"/>
  <c r="EB173" s="1"/>
  <c r="DI174"/>
  <c r="EB174" s="1"/>
  <c r="DI175"/>
  <c r="EB175" s="1"/>
  <c r="DI176"/>
  <c r="EB176" s="1"/>
  <c r="DI177"/>
  <c r="EB177" s="1"/>
  <c r="DI178"/>
  <c r="EB178" s="1"/>
  <c r="DI179"/>
  <c r="EB179" s="1"/>
  <c r="DI180"/>
  <c r="EB180" s="1"/>
  <c r="DI181"/>
  <c r="EB181" s="1"/>
  <c r="DI182"/>
  <c r="EB182" s="1"/>
  <c r="DI183"/>
  <c r="EB183" s="1"/>
  <c r="DI187"/>
  <c r="EB187" s="1"/>
  <c r="DI188"/>
  <c r="EB188" s="1"/>
  <c r="DI190"/>
  <c r="EB190" s="1"/>
  <c r="DI191"/>
  <c r="EB191" s="1"/>
  <c r="DK253"/>
  <c r="DL253"/>
  <c r="DM253"/>
  <c r="DN253"/>
  <c r="DK254"/>
  <c r="DL254"/>
  <c r="DM254"/>
  <c r="DN254"/>
  <c r="DJ253"/>
  <c r="DJ254"/>
  <c r="DI228"/>
  <c r="DI229"/>
  <c r="DI230"/>
  <c r="DI231"/>
  <c r="DI232"/>
  <c r="DI233"/>
  <c r="DI234"/>
  <c r="DI235"/>
  <c r="DI236"/>
  <c r="DI237"/>
  <c r="DI238"/>
  <c r="DI239"/>
  <c r="DI240"/>
  <c r="DI241"/>
  <c r="DI242"/>
  <c r="DI243"/>
  <c r="DI244"/>
  <c r="DI245"/>
  <c r="DI246"/>
  <c r="DI247"/>
  <c r="DI248"/>
  <c r="DI250"/>
  <c r="DE253"/>
  <c r="DF253"/>
  <c r="DG253"/>
  <c r="DH253"/>
  <c r="DE254"/>
  <c r="DF254"/>
  <c r="DG254"/>
  <c r="DH254"/>
  <c r="DD254"/>
  <c r="DD253"/>
  <c r="DD249"/>
  <c r="DI249" s="1"/>
  <c r="CY226"/>
  <c r="DB228"/>
  <c r="DB229"/>
  <c r="DB230"/>
  <c r="DB231"/>
  <c r="DB232"/>
  <c r="DB233"/>
  <c r="DB234"/>
  <c r="DB235"/>
  <c r="DB236"/>
  <c r="DB237"/>
  <c r="DB238"/>
  <c r="DB239"/>
  <c r="DB240"/>
  <c r="DB241"/>
  <c r="DB242"/>
  <c r="DB243"/>
  <c r="DB244"/>
  <c r="DB245"/>
  <c r="DB246"/>
  <c r="DB247"/>
  <c r="DB248"/>
  <c r="DB249"/>
  <c r="DB250"/>
  <c r="CY253"/>
  <c r="CZ253"/>
  <c r="DA253"/>
  <c r="CY254"/>
  <c r="CZ254"/>
  <c r="DA254"/>
  <c r="CX253"/>
  <c r="DO133"/>
  <c r="DI100"/>
  <c r="DI101"/>
  <c r="DI105"/>
  <c r="DO101"/>
  <c r="DO102"/>
  <c r="DO104"/>
  <c r="DO105"/>
  <c r="EB105" s="1"/>
  <c r="DO100"/>
  <c r="DO128"/>
  <c r="DO129"/>
  <c r="DO130"/>
  <c r="DO127"/>
  <c r="CY132"/>
  <c r="CY126"/>
  <c r="DB133"/>
  <c r="DB128"/>
  <c r="DB129"/>
  <c r="DB130"/>
  <c r="DB119"/>
  <c r="DB114"/>
  <c r="DB115"/>
  <c r="DB116"/>
  <c r="DB113"/>
  <c r="DD95"/>
  <c r="DL73"/>
  <c r="DO73" s="1"/>
  <c r="DL60"/>
  <c r="DO60" s="1"/>
  <c r="DK75"/>
  <c r="DD75"/>
  <c r="DJ75"/>
  <c r="DJ62"/>
  <c r="DO62" s="1"/>
  <c r="DH75"/>
  <c r="DH68"/>
  <c r="DG104"/>
  <c r="DI104" s="1"/>
  <c r="DF75"/>
  <c r="DF102"/>
  <c r="DI102" s="1"/>
  <c r="DE75"/>
  <c r="DA73"/>
  <c r="DA59"/>
  <c r="DA68"/>
  <c r="DA65"/>
  <c r="CY73"/>
  <c r="CY63"/>
  <c r="EB101" l="1"/>
  <c r="EB100"/>
  <c r="DI254"/>
  <c r="CY207"/>
  <c r="CY135"/>
  <c r="CY221"/>
  <c r="DB253"/>
  <c r="CY252"/>
  <c r="CY256" s="1"/>
  <c r="CY193"/>
  <c r="EB104"/>
  <c r="DO75"/>
  <c r="DB162"/>
  <c r="DI253"/>
  <c r="DO254"/>
  <c r="DO253"/>
  <c r="DO162"/>
  <c r="EB162" s="1"/>
  <c r="DB159"/>
  <c r="EB146"/>
  <c r="EB102"/>
  <c r="EB254" l="1"/>
  <c r="EB253"/>
  <c r="CX73"/>
  <c r="CX63"/>
  <c r="DB63" s="1"/>
  <c r="DI55"/>
  <c r="DI56"/>
  <c r="DI57"/>
  <c r="EB57" s="1"/>
  <c r="DI58"/>
  <c r="DI59"/>
  <c r="DI60"/>
  <c r="DI61"/>
  <c r="EB61" s="1"/>
  <c r="DI62"/>
  <c r="EB62" s="1"/>
  <c r="DI63"/>
  <c r="DI64"/>
  <c r="EB64" s="1"/>
  <c r="DI65"/>
  <c r="EB65" s="1"/>
  <c r="DI66"/>
  <c r="EB66" s="1"/>
  <c r="DI67"/>
  <c r="DI68"/>
  <c r="DI69"/>
  <c r="EB69" s="1"/>
  <c r="DI70"/>
  <c r="EB70" s="1"/>
  <c r="DI71"/>
  <c r="DI72"/>
  <c r="DI73"/>
  <c r="DI74"/>
  <c r="DI75"/>
  <c r="DI76"/>
  <c r="EB76" s="1"/>
  <c r="DI77"/>
  <c r="EB77" s="1"/>
  <c r="DI78"/>
  <c r="EB78" s="1"/>
  <c r="DI79"/>
  <c r="EB79" s="1"/>
  <c r="DI80"/>
  <c r="EB80" s="1"/>
  <c r="DI81"/>
  <c r="EB81" s="1"/>
  <c r="DI82"/>
  <c r="EB82" s="1"/>
  <c r="DI83"/>
  <c r="EB83" s="1"/>
  <c r="DI84"/>
  <c r="EB84" s="1"/>
  <c r="DI85"/>
  <c r="EB85" s="1"/>
  <c r="DI86"/>
  <c r="EB86" s="1"/>
  <c r="DI87"/>
  <c r="EB87" s="1"/>
  <c r="DI88"/>
  <c r="EB88" s="1"/>
  <c r="DI89"/>
  <c r="EB89" s="1"/>
  <c r="DI90"/>
  <c r="DI91"/>
  <c r="EB91" s="1"/>
  <c r="DI92"/>
  <c r="EB92" s="1"/>
  <c r="DI93"/>
  <c r="EB93" s="1"/>
  <c r="DI94"/>
  <c r="EB94" s="1"/>
  <c r="DI95"/>
  <c r="EB95" s="1"/>
  <c r="DI96"/>
  <c r="EB96" s="1"/>
  <c r="DB99"/>
  <c r="DB100"/>
  <c r="DB101"/>
  <c r="DB102"/>
  <c r="DB104"/>
  <c r="DB56"/>
  <c r="DB57"/>
  <c r="DB58"/>
  <c r="DB59"/>
  <c r="DB60"/>
  <c r="DB61"/>
  <c r="DB62"/>
  <c r="DB64"/>
  <c r="DB65"/>
  <c r="DB66"/>
  <c r="DB67"/>
  <c r="DB68"/>
  <c r="DB69"/>
  <c r="DB70"/>
  <c r="DB71"/>
  <c r="DB72"/>
  <c r="DB73"/>
  <c r="DB74"/>
  <c r="DB75"/>
  <c r="DB76"/>
  <c r="DB77"/>
  <c r="DB78"/>
  <c r="DB79"/>
  <c r="DB80"/>
  <c r="DB81"/>
  <c r="DB82"/>
  <c r="DB83"/>
  <c r="DB84"/>
  <c r="DB85"/>
  <c r="DB86"/>
  <c r="DB87"/>
  <c r="DB88"/>
  <c r="DB89"/>
  <c r="DB90"/>
  <c r="DB91"/>
  <c r="DB92"/>
  <c r="DB93"/>
  <c r="DB94"/>
  <c r="DB95"/>
  <c r="DB96"/>
  <c r="CY103"/>
  <c r="CY98" s="1"/>
  <c r="CZ103"/>
  <c r="DA103"/>
  <c r="CX103"/>
  <c r="CY53"/>
  <c r="DO40"/>
  <c r="DJ13"/>
  <c r="DO13" s="1"/>
  <c r="DD9"/>
  <c r="DI9" s="1"/>
  <c r="DK45"/>
  <c r="DK37"/>
  <c r="DO37" s="1"/>
  <c r="DK30"/>
  <c r="DO30" s="1"/>
  <c r="DJ46"/>
  <c r="DO46" s="1"/>
  <c r="DJ45"/>
  <c r="DO45" s="1"/>
  <c r="DH30"/>
  <c r="DH37"/>
  <c r="DH46"/>
  <c r="DG45"/>
  <c r="DF46"/>
  <c r="DF45"/>
  <c r="DF37"/>
  <c r="DF30"/>
  <c r="DE46"/>
  <c r="DI46" s="1"/>
  <c r="DE45"/>
  <c r="EA46"/>
  <c r="DU46"/>
  <c r="EA37"/>
  <c r="DD45"/>
  <c r="DI41"/>
  <c r="DI42"/>
  <c r="DI43"/>
  <c r="DI44"/>
  <c r="DA27"/>
  <c r="CX13"/>
  <c r="CX26"/>
  <c r="DI37" l="1"/>
  <c r="DB103"/>
  <c r="DI30"/>
  <c r="DI45"/>
  <c r="EB90"/>
  <c r="EB74"/>
  <c r="CY107"/>
  <c r="DB5"/>
  <c r="DB6"/>
  <c r="DB7"/>
  <c r="DB8"/>
  <c r="DB9"/>
  <c r="DB10"/>
  <c r="DB11"/>
  <c r="DB12"/>
  <c r="DB13"/>
  <c r="DB14"/>
  <c r="DB15"/>
  <c r="DB16"/>
  <c r="DB17"/>
  <c r="DB18"/>
  <c r="DB19"/>
  <c r="DB20"/>
  <c r="DB21"/>
  <c r="DB22"/>
  <c r="DB23"/>
  <c r="DB24"/>
  <c r="DB25"/>
  <c r="DB26"/>
  <c r="DB27"/>
  <c r="DB28"/>
  <c r="DB29"/>
  <c r="DB31"/>
  <c r="DB32"/>
  <c r="DB33"/>
  <c r="DB34"/>
  <c r="DB35"/>
  <c r="DB36"/>
  <c r="DB40"/>
  <c r="DB41"/>
  <c r="DB42"/>
  <c r="DB43"/>
  <c r="DB44"/>
  <c r="DA46"/>
  <c r="DA37"/>
  <c r="DA30"/>
  <c r="CZ46"/>
  <c r="CZ45"/>
  <c r="CZ37"/>
  <c r="CZ30"/>
  <c r="CY46"/>
  <c r="CY45"/>
  <c r="CY30"/>
  <c r="CY37"/>
  <c r="CX37"/>
  <c r="CX30"/>
  <c r="CX45"/>
  <c r="CX46"/>
  <c r="DB45" l="1"/>
  <c r="DB30"/>
  <c r="CY39"/>
  <c r="EB71"/>
  <c r="EB59"/>
  <c r="EB68" l="1"/>
  <c r="EB63"/>
  <c r="EB67"/>
  <c r="EB58"/>
  <c r="EB75"/>
  <c r="EB56"/>
  <c r="EB60"/>
  <c r="EB72"/>
  <c r="EB73"/>
  <c r="M26" i="11"/>
  <c r="M27"/>
  <c r="M28"/>
  <c r="M29"/>
  <c r="M30"/>
  <c r="F30"/>
  <c r="CV155" i="17" l="1"/>
  <c r="CW191" l="1"/>
  <c r="CV56"/>
  <c r="CW56" s="1"/>
  <c r="CU95"/>
  <c r="CU91"/>
  <c r="CU63"/>
  <c r="CR75"/>
  <c r="CW75" s="1"/>
  <c r="CR58"/>
  <c r="CW58" s="1"/>
  <c r="CS60"/>
  <c r="CS90"/>
  <c r="CS95"/>
  <c r="CW55"/>
  <c r="CW57"/>
  <c r="CW59"/>
  <c r="CW60"/>
  <c r="CW61"/>
  <c r="CW62"/>
  <c r="CW63"/>
  <c r="CW64"/>
  <c r="CW65"/>
  <c r="CW66"/>
  <c r="CW67"/>
  <c r="CW68"/>
  <c r="CW69"/>
  <c r="CW70"/>
  <c r="CW71"/>
  <c r="CW72"/>
  <c r="CW73"/>
  <c r="CW74"/>
  <c r="CW76"/>
  <c r="CW77"/>
  <c r="CW78"/>
  <c r="CW79"/>
  <c r="CW80"/>
  <c r="CW81"/>
  <c r="CW82"/>
  <c r="CW83"/>
  <c r="CW100"/>
  <c r="CW101"/>
  <c r="CW102"/>
  <c r="CW104"/>
  <c r="CW105"/>
  <c r="CU162"/>
  <c r="CW162" s="1"/>
  <c r="CS162"/>
  <c r="CR159"/>
  <c r="CW159" s="1"/>
  <c r="CW141"/>
  <c r="CW142"/>
  <c r="CW143"/>
  <c r="CW144"/>
  <c r="CW145"/>
  <c r="CW146"/>
  <c r="CW147"/>
  <c r="CW148"/>
  <c r="CW149"/>
  <c r="CW150"/>
  <c r="CW151"/>
  <c r="CW152"/>
  <c r="CW153"/>
  <c r="CW154"/>
  <c r="CW155"/>
  <c r="CW156"/>
  <c r="CW157"/>
  <c r="CW158"/>
  <c r="CW160"/>
  <c r="CW161"/>
  <c r="CW163"/>
  <c r="CW164"/>
  <c r="CW165"/>
  <c r="CW166"/>
  <c r="CW167"/>
  <c r="CW168"/>
  <c r="CW169"/>
  <c r="CW170"/>
  <c r="CW171"/>
  <c r="CW172"/>
  <c r="CW173"/>
  <c r="CW174"/>
  <c r="CW175"/>
  <c r="CW176"/>
  <c r="CW177"/>
  <c r="CW178"/>
  <c r="CW179"/>
  <c r="CW180"/>
  <c r="CW181"/>
  <c r="CW182"/>
  <c r="CW183"/>
  <c r="CW187"/>
  <c r="CW188"/>
  <c r="CW190"/>
  <c r="CW186"/>
  <c r="CW219"/>
  <c r="CW214"/>
  <c r="CW215"/>
  <c r="CW216"/>
  <c r="CW213"/>
  <c r="CW200"/>
  <c r="CW201"/>
  <c r="CW202"/>
  <c r="CW205"/>
  <c r="CW199"/>
  <c r="CW133"/>
  <c r="CW128"/>
  <c r="CW129"/>
  <c r="CW130"/>
  <c r="CW127"/>
  <c r="CW114"/>
  <c r="CW115" s="1"/>
  <c r="CW116" s="1"/>
  <c r="CW119"/>
  <c r="CR113"/>
  <c r="CU8"/>
  <c r="CV46"/>
  <c r="CV45"/>
  <c r="CV37"/>
  <c r="CV30"/>
  <c r="CU46"/>
  <c r="CU37"/>
  <c r="CU30"/>
  <c r="CT46"/>
  <c r="CR45"/>
  <c r="CR46"/>
  <c r="CR37"/>
  <c r="CR30"/>
  <c r="CW5"/>
  <c r="CW6"/>
  <c r="CW7"/>
  <c r="CW8"/>
  <c r="CW9"/>
  <c r="CW10"/>
  <c r="CW11"/>
  <c r="CW12"/>
  <c r="CW13"/>
  <c r="CW14"/>
  <c r="CW15"/>
  <c r="CW16"/>
  <c r="CW17"/>
  <c r="CW18"/>
  <c r="CW19"/>
  <c r="CW20"/>
  <c r="CW21"/>
  <c r="CW22"/>
  <c r="CW23"/>
  <c r="CW24"/>
  <c r="CW25"/>
  <c r="CW26"/>
  <c r="CW27"/>
  <c r="CW28"/>
  <c r="CW29"/>
  <c r="CW31"/>
  <c r="CW32"/>
  <c r="CW33"/>
  <c r="CW34"/>
  <c r="CW35"/>
  <c r="CW36"/>
  <c r="CW40"/>
  <c r="CW41"/>
  <c r="CW42"/>
  <c r="CW43"/>
  <c r="CW44"/>
  <c r="CW30" l="1"/>
  <c r="CW45"/>
  <c r="F29" i="11" l="1"/>
  <c r="F28"/>
  <c r="K16" i="27" l="1"/>
  <c r="K14"/>
  <c r="K10"/>
  <c r="CP91" i="17" l="1"/>
  <c r="CP58"/>
  <c r="CQ58" s="1"/>
  <c r="CO60"/>
  <c r="CO72"/>
  <c r="CO71"/>
  <c r="CQ71" s="1"/>
  <c r="CO90"/>
  <c r="CQ90" s="1"/>
  <c r="CO93"/>
  <c r="CN69"/>
  <c r="CQ69" s="1"/>
  <c r="CM75"/>
  <c r="CQ75" s="1"/>
  <c r="CQ55"/>
  <c r="CQ56"/>
  <c r="CQ57"/>
  <c r="CQ59"/>
  <c r="CQ60"/>
  <c r="CQ61"/>
  <c r="CQ62"/>
  <c r="CQ63"/>
  <c r="CQ64"/>
  <c r="CQ65"/>
  <c r="CQ66"/>
  <c r="CQ67"/>
  <c r="CQ68"/>
  <c r="CQ70"/>
  <c r="CQ72"/>
  <c r="CQ73"/>
  <c r="CQ74"/>
  <c r="CQ76"/>
  <c r="CQ77"/>
  <c r="CQ78"/>
  <c r="CQ79"/>
  <c r="CQ80"/>
  <c r="CQ81"/>
  <c r="CQ82"/>
  <c r="CQ83"/>
  <c r="CQ84"/>
  <c r="CQ85"/>
  <c r="CQ86"/>
  <c r="CQ87"/>
  <c r="CQ88"/>
  <c r="CQ89"/>
  <c r="CQ91"/>
  <c r="CQ92"/>
  <c r="CQ93"/>
  <c r="CQ94"/>
  <c r="CQ95"/>
  <c r="CQ96"/>
  <c r="CQ100"/>
  <c r="CQ101"/>
  <c r="CQ104"/>
  <c r="CQ105"/>
  <c r="CN102"/>
  <c r="CQ102" s="1"/>
  <c r="CP182"/>
  <c r="CO162"/>
  <c r="CO158"/>
  <c r="CO145"/>
  <c r="CM162"/>
  <c r="CM159"/>
  <c r="CM164"/>
  <c r="CL182"/>
  <c r="CM190"/>
  <c r="CQ190" s="1"/>
  <c r="CQ187"/>
  <c r="CQ188"/>
  <c r="CQ191"/>
  <c r="CQ142"/>
  <c r="CQ143"/>
  <c r="CQ144"/>
  <c r="CQ145"/>
  <c r="CQ146"/>
  <c r="CQ147"/>
  <c r="CQ148"/>
  <c r="CQ149"/>
  <c r="CQ150"/>
  <c r="CQ151"/>
  <c r="CQ152"/>
  <c r="CQ153"/>
  <c r="CQ154"/>
  <c r="CQ155"/>
  <c r="CQ156"/>
  <c r="CQ157"/>
  <c r="CQ158"/>
  <c r="CQ159"/>
  <c r="CQ160"/>
  <c r="CQ161"/>
  <c r="CQ163"/>
  <c r="CQ164"/>
  <c r="CQ165"/>
  <c r="CQ166"/>
  <c r="CQ167"/>
  <c r="CQ168"/>
  <c r="CQ169"/>
  <c r="CQ170"/>
  <c r="CQ171"/>
  <c r="CQ172"/>
  <c r="CQ173"/>
  <c r="CQ174"/>
  <c r="CQ175"/>
  <c r="CQ176"/>
  <c r="CQ177"/>
  <c r="CQ178"/>
  <c r="CQ179"/>
  <c r="CQ180"/>
  <c r="CQ181"/>
  <c r="CQ183"/>
  <c r="CQ162" l="1"/>
  <c r="CQ182"/>
  <c r="CQ133"/>
  <c r="CQ128"/>
  <c r="CQ129"/>
  <c r="CQ130"/>
  <c r="CQ127"/>
  <c r="CQ114"/>
  <c r="CQ115"/>
  <c r="CQ113"/>
  <c r="CN116"/>
  <c r="CQ116" s="1"/>
  <c r="CN119"/>
  <c r="CQ119" s="1"/>
  <c r="CQ219"/>
  <c r="CQ228"/>
  <c r="CQ229"/>
  <c r="CQ230"/>
  <c r="CQ231"/>
  <c r="CQ232"/>
  <c r="CQ233"/>
  <c r="CQ234"/>
  <c r="CQ235"/>
  <c r="CQ236"/>
  <c r="CQ237"/>
  <c r="CQ238"/>
  <c r="CQ239"/>
  <c r="CQ240"/>
  <c r="CQ241"/>
  <c r="CQ242"/>
  <c r="CQ243"/>
  <c r="CQ244"/>
  <c r="CQ245"/>
  <c r="CQ246"/>
  <c r="CQ247"/>
  <c r="CQ248"/>
  <c r="CQ249"/>
  <c r="CQ250"/>
  <c r="CO20" l="1"/>
  <c r="CQ20" s="1"/>
  <c r="CN11"/>
  <c r="CQ11" s="1"/>
  <c r="CP46"/>
  <c r="CP37"/>
  <c r="CP30"/>
  <c r="CO30"/>
  <c r="CO37"/>
  <c r="CO46"/>
  <c r="CO45"/>
  <c r="CN37"/>
  <c r="CN30"/>
  <c r="CM37"/>
  <c r="CM45"/>
  <c r="CQ45" s="1"/>
  <c r="CM30"/>
  <c r="CL46"/>
  <c r="CQ43"/>
  <c r="CQ44"/>
  <c r="CQ40"/>
  <c r="CQ41"/>
  <c r="CQ6"/>
  <c r="CQ7"/>
  <c r="CQ8"/>
  <c r="CQ9"/>
  <c r="CQ10"/>
  <c r="CQ12"/>
  <c r="CQ13"/>
  <c r="CQ14"/>
  <c r="CQ15"/>
  <c r="CQ16"/>
  <c r="CQ17"/>
  <c r="CQ18"/>
  <c r="CQ19"/>
  <c r="CQ21"/>
  <c r="CQ22"/>
  <c r="CQ23"/>
  <c r="CQ24"/>
  <c r="CQ25"/>
  <c r="CQ26"/>
  <c r="CQ27"/>
  <c r="CQ28"/>
  <c r="CQ29"/>
  <c r="CQ31"/>
  <c r="CQ32"/>
  <c r="CQ33"/>
  <c r="CQ34"/>
  <c r="CQ35"/>
  <c r="CQ36"/>
  <c r="CQ46" l="1"/>
  <c r="CQ30"/>
  <c r="CQ37"/>
  <c r="DB189"/>
  <c r="DB105"/>
  <c r="CJ75"/>
  <c r="CJ68"/>
  <c r="CK100"/>
  <c r="CK101"/>
  <c r="CK102"/>
  <c r="CK104"/>
  <c r="CK105"/>
  <c r="CJ62"/>
  <c r="CK62" s="1"/>
  <c r="CI75"/>
  <c r="CI74"/>
  <c r="CI72"/>
  <c r="CI59"/>
  <c r="CK59" s="1"/>
  <c r="CH75"/>
  <c r="CH72"/>
  <c r="CH73"/>
  <c r="CK73" s="1"/>
  <c r="CH58"/>
  <c r="CG72"/>
  <c r="CG58"/>
  <c r="CG68"/>
  <c r="CG80"/>
  <c r="CK80" s="1"/>
  <c r="CF101"/>
  <c r="CF104"/>
  <c r="CF105"/>
  <c r="CD102"/>
  <c r="CF102" s="1"/>
  <c r="CC75"/>
  <c r="BZ63"/>
  <c r="BZ59"/>
  <c r="BZ68"/>
  <c r="CW84"/>
  <c r="CW85"/>
  <c r="CW86"/>
  <c r="CW87"/>
  <c r="CW88"/>
  <c r="CW89"/>
  <c r="CW90"/>
  <c r="CW91"/>
  <c r="CW92"/>
  <c r="CW93"/>
  <c r="CW94"/>
  <c r="CW95"/>
  <c r="CW96"/>
  <c r="CQ54"/>
  <c r="CK56"/>
  <c r="CK57"/>
  <c r="CK60"/>
  <c r="CK61"/>
  <c r="CK63"/>
  <c r="CK64"/>
  <c r="CK65"/>
  <c r="CK66"/>
  <c r="CK67"/>
  <c r="CK69"/>
  <c r="CK70"/>
  <c r="CK71"/>
  <c r="CK74"/>
  <c r="CK75"/>
  <c r="CK76"/>
  <c r="CK77"/>
  <c r="CK78"/>
  <c r="CK79"/>
  <c r="CK81"/>
  <c r="CK82"/>
  <c r="CK83"/>
  <c r="CK84"/>
  <c r="CK85"/>
  <c r="CK86"/>
  <c r="CK87"/>
  <c r="CK88"/>
  <c r="CK89"/>
  <c r="CK90"/>
  <c r="CK91"/>
  <c r="CK92"/>
  <c r="CK93"/>
  <c r="CK94"/>
  <c r="CK95"/>
  <c r="CK96"/>
  <c r="CF56"/>
  <c r="CF57"/>
  <c r="CF58"/>
  <c r="CF59"/>
  <c r="CF60"/>
  <c r="CF61"/>
  <c r="CF62"/>
  <c r="CF63"/>
  <c r="CF64"/>
  <c r="CF65"/>
  <c r="CF66"/>
  <c r="CF67"/>
  <c r="CF68"/>
  <c r="CF69"/>
  <c r="CF70"/>
  <c r="CF71"/>
  <c r="CF72"/>
  <c r="CF73"/>
  <c r="CF74"/>
  <c r="CF75"/>
  <c r="CF76"/>
  <c r="DC76" s="1"/>
  <c r="CF77"/>
  <c r="CF78"/>
  <c r="CF79"/>
  <c r="DC79" s="1"/>
  <c r="CF80"/>
  <c r="CF81"/>
  <c r="CF82"/>
  <c r="CF83"/>
  <c r="CF84"/>
  <c r="CF85"/>
  <c r="CF86"/>
  <c r="CF87"/>
  <c r="CF88"/>
  <c r="CF89"/>
  <c r="CF90"/>
  <c r="CF91"/>
  <c r="CF92"/>
  <c r="CF93"/>
  <c r="CF94"/>
  <c r="CF95"/>
  <c r="CF96"/>
  <c r="CF54"/>
  <c r="CK68" l="1"/>
  <c r="CK58"/>
  <c r="DC101"/>
  <c r="CK72"/>
  <c r="DC88"/>
  <c r="DC77"/>
  <c r="DC65"/>
  <c r="DC61"/>
  <c r="DC87"/>
  <c r="DC92"/>
  <c r="DC66"/>
  <c r="DC59"/>
  <c r="DC94"/>
  <c r="DC104"/>
  <c r="DC83"/>
  <c r="DC70"/>
  <c r="DC64"/>
  <c r="DC105"/>
  <c r="DC69"/>
  <c r="DC96"/>
  <c r="DC84"/>
  <c r="DC86"/>
  <c r="DC67"/>
  <c r="DC57"/>
  <c r="DC85"/>
  <c r="DC91"/>
  <c r="DC93"/>
  <c r="DC90"/>
  <c r="DC102"/>
  <c r="DC89"/>
  <c r="DC81"/>
  <c r="DC73"/>
  <c r="DC82"/>
  <c r="DC80"/>
  <c r="DC74"/>
  <c r="DC62"/>
  <c r="DC68"/>
  <c r="DC95"/>
  <c r="CJ162"/>
  <c r="CJ159"/>
  <c r="CK159" s="1"/>
  <c r="CG162"/>
  <c r="CK162" s="1"/>
  <c r="CG167"/>
  <c r="CK167" s="1"/>
  <c r="CE155"/>
  <c r="CD150"/>
  <c r="CF150" s="1"/>
  <c r="CQ141"/>
  <c r="CC146"/>
  <c r="DB187"/>
  <c r="DB188"/>
  <c r="DB190"/>
  <c r="DB191"/>
  <c r="CK141"/>
  <c r="CK142"/>
  <c r="CK143"/>
  <c r="CK144"/>
  <c r="CK145"/>
  <c r="CK146"/>
  <c r="CK147"/>
  <c r="CK148"/>
  <c r="CK149"/>
  <c r="CK150"/>
  <c r="CK151"/>
  <c r="CK152"/>
  <c r="CK153"/>
  <c r="CK154"/>
  <c r="CK155"/>
  <c r="CK156"/>
  <c r="CK157"/>
  <c r="CK158"/>
  <c r="CK160"/>
  <c r="CK161"/>
  <c r="CK163"/>
  <c r="CK164"/>
  <c r="CK165"/>
  <c r="CK166"/>
  <c r="CK168"/>
  <c r="CK169"/>
  <c r="CK170"/>
  <c r="CK171"/>
  <c r="CK172"/>
  <c r="CK173"/>
  <c r="CK174"/>
  <c r="CK175"/>
  <c r="CK176"/>
  <c r="CK177"/>
  <c r="CK178"/>
  <c r="CK179"/>
  <c r="CK180"/>
  <c r="CK181"/>
  <c r="CK182"/>
  <c r="CK183"/>
  <c r="CK187"/>
  <c r="CK188"/>
  <c r="CK190"/>
  <c r="CK191"/>
  <c r="CF187"/>
  <c r="CF188"/>
  <c r="CF190"/>
  <c r="CF191"/>
  <c r="CF186"/>
  <c r="CF142"/>
  <c r="CF143"/>
  <c r="CF144"/>
  <c r="CF145"/>
  <c r="CF146"/>
  <c r="CF147"/>
  <c r="CF148"/>
  <c r="CF149"/>
  <c r="CF151"/>
  <c r="CF152"/>
  <c r="CF153"/>
  <c r="CF154"/>
  <c r="CF155"/>
  <c r="CF156"/>
  <c r="CF157"/>
  <c r="CF158"/>
  <c r="CF159"/>
  <c r="CF160"/>
  <c r="CF161"/>
  <c r="CF162"/>
  <c r="CF163"/>
  <c r="CF164"/>
  <c r="CF165"/>
  <c r="CF166"/>
  <c r="CF167"/>
  <c r="CF168"/>
  <c r="CF169"/>
  <c r="CF170"/>
  <c r="CF171"/>
  <c r="CF172"/>
  <c r="CF173"/>
  <c r="CF174"/>
  <c r="CF175"/>
  <c r="CF176"/>
  <c r="CF177"/>
  <c r="CF178"/>
  <c r="CF179"/>
  <c r="CF180"/>
  <c r="CF181"/>
  <c r="CF182"/>
  <c r="CF183"/>
  <c r="CF141"/>
  <c r="BZ162"/>
  <c r="BZ159"/>
  <c r="BZ155"/>
  <c r="CA155" s="1"/>
  <c r="BY162"/>
  <c r="BZ179"/>
  <c r="CA179" s="1"/>
  <c r="CA157"/>
  <c r="CA158"/>
  <c r="CA159"/>
  <c r="CA160"/>
  <c r="CA161"/>
  <c r="CA163"/>
  <c r="CA164"/>
  <c r="CA165"/>
  <c r="CA166"/>
  <c r="CA167"/>
  <c r="CA168"/>
  <c r="CA169"/>
  <c r="CA170"/>
  <c r="CA171"/>
  <c r="CA172"/>
  <c r="CA173"/>
  <c r="CA174"/>
  <c r="CA175"/>
  <c r="CA176"/>
  <c r="CA177"/>
  <c r="CA178"/>
  <c r="CA180"/>
  <c r="CA181"/>
  <c r="CA182"/>
  <c r="CA183"/>
  <c r="BZ189"/>
  <c r="BY189"/>
  <c r="CA187"/>
  <c r="CA188"/>
  <c r="CA190"/>
  <c r="CA191"/>
  <c r="CA142"/>
  <c r="CA143"/>
  <c r="CA144"/>
  <c r="CA145"/>
  <c r="CA146"/>
  <c r="CA147"/>
  <c r="CA148"/>
  <c r="CA149"/>
  <c r="CA150"/>
  <c r="CA151"/>
  <c r="CA152"/>
  <c r="CA153"/>
  <c r="CA154"/>
  <c r="CA156"/>
  <c r="CK133"/>
  <c r="CF133"/>
  <c r="CF128"/>
  <c r="CF129"/>
  <c r="CF130"/>
  <c r="CK128"/>
  <c r="CK129"/>
  <c r="CK130"/>
  <c r="CF127"/>
  <c r="CI127"/>
  <c r="CK127" s="1"/>
  <c r="CK205"/>
  <c r="CK199"/>
  <c r="CF205"/>
  <c r="CF200"/>
  <c r="CF201"/>
  <c r="CF202"/>
  <c r="CF199"/>
  <c r="G17" i="27"/>
  <c r="CE116" i="17"/>
  <c r="CF116" s="1"/>
  <c r="CE119"/>
  <c r="CF119" s="1"/>
  <c r="CK119"/>
  <c r="CK114"/>
  <c r="CK115"/>
  <c r="CK116"/>
  <c r="CK113"/>
  <c r="CF114"/>
  <c r="CF115"/>
  <c r="CF113"/>
  <c r="CA127"/>
  <c r="CA128"/>
  <c r="CA129"/>
  <c r="CW253"/>
  <c r="CQ253"/>
  <c r="CG246"/>
  <c r="CC249"/>
  <c r="CC245"/>
  <c r="CH253"/>
  <c r="CI253"/>
  <c r="CJ253"/>
  <c r="CG253"/>
  <c r="CD253"/>
  <c r="CE253"/>
  <c r="CC253"/>
  <c r="BT253"/>
  <c r="BU253"/>
  <c r="BV253"/>
  <c r="BW253"/>
  <c r="BT254"/>
  <c r="BU254"/>
  <c r="BV254"/>
  <c r="BW254"/>
  <c r="BS254"/>
  <c r="BS253"/>
  <c r="BZ254"/>
  <c r="BY254"/>
  <c r="BZ253"/>
  <c r="BY253"/>
  <c r="CA229"/>
  <c r="CA230"/>
  <c r="CA231"/>
  <c r="CA232"/>
  <c r="CA233"/>
  <c r="CA234"/>
  <c r="CA235"/>
  <c r="CA236"/>
  <c r="CA237"/>
  <c r="CA238"/>
  <c r="CA239"/>
  <c r="CA240"/>
  <c r="CA241"/>
  <c r="CA242"/>
  <c r="CA243"/>
  <c r="CA244"/>
  <c r="CA245"/>
  <c r="CA246"/>
  <c r="CA247"/>
  <c r="CA248"/>
  <c r="CA55"/>
  <c r="CA56"/>
  <c r="CA57"/>
  <c r="CA58"/>
  <c r="CA59"/>
  <c r="CA60"/>
  <c r="CA61"/>
  <c r="CA62"/>
  <c r="CA63"/>
  <c r="CA64"/>
  <c r="CA65"/>
  <c r="CA66"/>
  <c r="CA67"/>
  <c r="CA68"/>
  <c r="CA69"/>
  <c r="CA70"/>
  <c r="CA71"/>
  <c r="CA72"/>
  <c r="CA73"/>
  <c r="CA74"/>
  <c r="CA75"/>
  <c r="CA76"/>
  <c r="CA77"/>
  <c r="CA78"/>
  <c r="CA79"/>
  <c r="CA80"/>
  <c r="CA81"/>
  <c r="CA82"/>
  <c r="CA83"/>
  <c r="CA84"/>
  <c r="CA85"/>
  <c r="CA86"/>
  <c r="CA87"/>
  <c r="CA88"/>
  <c r="CA89"/>
  <c r="CA90"/>
  <c r="CA91"/>
  <c r="CA92"/>
  <c r="CA93"/>
  <c r="CA94"/>
  <c r="CA95"/>
  <c r="CA96"/>
  <c r="DC205" l="1"/>
  <c r="DC165"/>
  <c r="CA254"/>
  <c r="CF253"/>
  <c r="DC151"/>
  <c r="DC199"/>
  <c r="DC152"/>
  <c r="DC148"/>
  <c r="DC156"/>
  <c r="DC180"/>
  <c r="DC176"/>
  <c r="DC172"/>
  <c r="DC188"/>
  <c r="DC191"/>
  <c r="DC153"/>
  <c r="DC147"/>
  <c r="DC182"/>
  <c r="DC178"/>
  <c r="DC174"/>
  <c r="DC170"/>
  <c r="DC187"/>
  <c r="DC161"/>
  <c r="DC154"/>
  <c r="DC149"/>
  <c r="DC183"/>
  <c r="DC179"/>
  <c r="DC175"/>
  <c r="DC171"/>
  <c r="CK253"/>
  <c r="DC253" s="1"/>
  <c r="DC163"/>
  <c r="DC150"/>
  <c r="BX254"/>
  <c r="CA253"/>
  <c r="BX253"/>
  <c r="DC155"/>
  <c r="DC190"/>
  <c r="DC164"/>
  <c r="DC157"/>
  <c r="DC144"/>
  <c r="DC181"/>
  <c r="DC177"/>
  <c r="DC173"/>
  <c r="DC169"/>
  <c r="CA162"/>
  <c r="CA189"/>
  <c r="CJ13"/>
  <c r="CJ20"/>
  <c r="CJ8"/>
  <c r="CG26"/>
  <c r="CC9"/>
  <c r="CJ46" l="1"/>
  <c r="CJ37"/>
  <c r="CJ30"/>
  <c r="CI45"/>
  <c r="CH46"/>
  <c r="CH37"/>
  <c r="CH30"/>
  <c r="CG45"/>
  <c r="CG37"/>
  <c r="CG28"/>
  <c r="CE45"/>
  <c r="CE46"/>
  <c r="CE37"/>
  <c r="CE30"/>
  <c r="CD45"/>
  <c r="CD46"/>
  <c r="CD37"/>
  <c r="CD30"/>
  <c r="CC46"/>
  <c r="CC45"/>
  <c r="CC37"/>
  <c r="CF37" s="1"/>
  <c r="CC30"/>
  <c r="CF30" s="1"/>
  <c r="CH9"/>
  <c r="CK9" s="1"/>
  <c r="DB46"/>
  <c r="DB37"/>
  <c r="CW46"/>
  <c r="CW37"/>
  <c r="CQ42"/>
  <c r="CK42"/>
  <c r="CK43"/>
  <c r="CK44"/>
  <c r="CK45"/>
  <c r="CK6"/>
  <c r="CK7"/>
  <c r="CK8"/>
  <c r="CK10"/>
  <c r="CK11"/>
  <c r="CK12"/>
  <c r="CK13"/>
  <c r="CK14"/>
  <c r="CK15"/>
  <c r="CK16"/>
  <c r="CK17"/>
  <c r="CK18"/>
  <c r="CK19"/>
  <c r="CK20"/>
  <c r="CK21"/>
  <c r="CK22"/>
  <c r="CK23"/>
  <c r="CK24"/>
  <c r="CK25"/>
  <c r="CK26"/>
  <c r="CK27"/>
  <c r="CK28"/>
  <c r="CK29"/>
  <c r="CK30"/>
  <c r="CK31"/>
  <c r="CK32"/>
  <c r="CK33"/>
  <c r="CK34"/>
  <c r="CK35"/>
  <c r="CK36"/>
  <c r="CY4"/>
  <c r="CY48" s="1"/>
  <c r="CY260" s="1"/>
  <c r="CF41"/>
  <c r="CF42"/>
  <c r="CF43"/>
  <c r="CF44"/>
  <c r="CF40"/>
  <c r="CF6"/>
  <c r="CF7"/>
  <c r="CF8"/>
  <c r="CF9"/>
  <c r="CF10"/>
  <c r="CF11"/>
  <c r="CF12"/>
  <c r="CF13"/>
  <c r="CF14"/>
  <c r="CF15"/>
  <c r="CF16"/>
  <c r="CF17"/>
  <c r="CF18"/>
  <c r="CF19"/>
  <c r="CF20"/>
  <c r="CF21"/>
  <c r="CF22"/>
  <c r="CF23"/>
  <c r="CF24"/>
  <c r="CF25"/>
  <c r="CF26"/>
  <c r="CF27"/>
  <c r="CF28"/>
  <c r="CF29"/>
  <c r="CF31"/>
  <c r="CF32"/>
  <c r="CF33"/>
  <c r="CF34"/>
  <c r="CF35"/>
  <c r="CF36"/>
  <c r="CF5"/>
  <c r="BZ46"/>
  <c r="BZ45"/>
  <c r="CA5"/>
  <c r="CA6"/>
  <c r="CA7"/>
  <c r="CA8"/>
  <c r="CA9"/>
  <c r="CA10"/>
  <c r="CA11"/>
  <c r="CA12"/>
  <c r="CA13"/>
  <c r="CA14"/>
  <c r="CA15"/>
  <c r="CA16"/>
  <c r="CA17"/>
  <c r="CA18"/>
  <c r="CA19"/>
  <c r="CA20"/>
  <c r="CA21"/>
  <c r="CA22"/>
  <c r="CA23"/>
  <c r="CA24"/>
  <c r="CA25"/>
  <c r="CA26"/>
  <c r="CA27"/>
  <c r="CA28"/>
  <c r="CA29"/>
  <c r="CA31"/>
  <c r="CA32"/>
  <c r="CA33"/>
  <c r="CA34"/>
  <c r="CA35"/>
  <c r="CA36"/>
  <c r="CA40"/>
  <c r="CA41"/>
  <c r="CA42"/>
  <c r="CA43"/>
  <c r="CA44"/>
  <c r="BY46"/>
  <c r="BY45"/>
  <c r="BY37"/>
  <c r="BY30"/>
  <c r="CA30" s="1"/>
  <c r="CK46" l="1"/>
  <c r="CF45"/>
  <c r="CA45"/>
  <c r="CA46"/>
  <c r="CF46"/>
  <c r="CK37"/>
  <c r="DC78"/>
  <c r="DC72"/>
  <c r="DC60"/>
  <c r="DC71"/>
  <c r="DC56"/>
  <c r="DC160"/>
  <c r="DC162"/>
  <c r="DC158"/>
  <c r="DC143"/>
  <c r="DC63" l="1"/>
  <c r="DC75"/>
  <c r="DC145"/>
  <c r="DC146"/>
  <c r="DC159"/>
  <c r="K11" i="11"/>
  <c r="DC58" i="17" l="1"/>
  <c r="G7" i="11"/>
  <c r="F27"/>
  <c r="F25"/>
  <c r="F24"/>
  <c r="F26"/>
  <c r="G27"/>
  <c r="G25"/>
  <c r="M24"/>
  <c r="M25"/>
  <c r="G24"/>
  <c r="F71" l="1"/>
  <c r="BW180" i="17"/>
  <c r="BX180" s="1"/>
  <c r="BW159"/>
  <c r="BW152"/>
  <c r="BX152" s="1"/>
  <c r="BV159"/>
  <c r="BU162"/>
  <c r="BU159"/>
  <c r="BT162"/>
  <c r="BT178"/>
  <c r="BX178" s="1"/>
  <c r="BS162"/>
  <c r="BX162" s="1"/>
  <c r="BS159"/>
  <c r="BX159" s="1"/>
  <c r="BX141"/>
  <c r="BX142"/>
  <c r="BX143"/>
  <c r="BX144"/>
  <c r="BX145"/>
  <c r="BX146"/>
  <c r="BX147"/>
  <c r="BX148"/>
  <c r="BX149"/>
  <c r="BX150"/>
  <c r="BX151"/>
  <c r="BX153"/>
  <c r="BX154"/>
  <c r="BX155"/>
  <c r="BX156"/>
  <c r="BX157"/>
  <c r="BX158"/>
  <c r="BX160"/>
  <c r="BX161"/>
  <c r="BX163"/>
  <c r="BX164"/>
  <c r="BX165"/>
  <c r="BX166"/>
  <c r="BX167"/>
  <c r="BX168"/>
  <c r="BX169"/>
  <c r="BX170"/>
  <c r="BX171"/>
  <c r="BX172"/>
  <c r="BX173"/>
  <c r="BX174"/>
  <c r="BX175"/>
  <c r="BX176"/>
  <c r="BX177"/>
  <c r="BX179"/>
  <c r="BX181"/>
  <c r="BX182"/>
  <c r="BX187"/>
  <c r="BX188"/>
  <c r="BX190"/>
  <c r="BX191"/>
  <c r="BW75"/>
  <c r="BW65"/>
  <c r="BV90"/>
  <c r="BX90" s="1"/>
  <c r="BV75"/>
  <c r="BV73"/>
  <c r="BV60"/>
  <c r="BX60" s="1"/>
  <c r="BU95"/>
  <c r="BX95" s="1"/>
  <c r="BU75"/>
  <c r="BU73"/>
  <c r="BX73" s="1"/>
  <c r="BS75"/>
  <c r="BS72"/>
  <c r="BX72" s="1"/>
  <c r="BS56"/>
  <c r="BX56" s="1"/>
  <c r="BX55"/>
  <c r="BX57"/>
  <c r="BX58"/>
  <c r="BX59"/>
  <c r="BX61"/>
  <c r="BX62"/>
  <c r="BX63"/>
  <c r="BX64"/>
  <c r="BX65"/>
  <c r="BX66"/>
  <c r="BX67"/>
  <c r="BX68"/>
  <c r="BX69"/>
  <c r="BX70"/>
  <c r="BX71"/>
  <c r="BX74"/>
  <c r="BX76"/>
  <c r="BX77"/>
  <c r="BX78"/>
  <c r="BX79"/>
  <c r="BX80"/>
  <c r="BX81"/>
  <c r="BX82"/>
  <c r="BX83"/>
  <c r="BX84"/>
  <c r="BX85"/>
  <c r="BX86"/>
  <c r="BX87"/>
  <c r="BX88"/>
  <c r="BX89"/>
  <c r="BX91"/>
  <c r="BX92"/>
  <c r="BX93"/>
  <c r="BX94"/>
  <c r="BX96"/>
  <c r="BT189"/>
  <c r="BU189"/>
  <c r="BV189"/>
  <c r="BW189"/>
  <c r="BS189"/>
  <c r="BX119"/>
  <c r="BX114"/>
  <c r="BX115"/>
  <c r="BX116"/>
  <c r="BX133"/>
  <c r="BX75" l="1"/>
  <c r="BX189"/>
  <c r="BV11"/>
  <c r="BX11" s="1"/>
  <c r="BU13"/>
  <c r="BX13" s="1"/>
  <c r="BW30"/>
  <c r="BW37"/>
  <c r="BW46"/>
  <c r="BV46"/>
  <c r="BU46"/>
  <c r="BT37"/>
  <c r="BT45"/>
  <c r="BS46"/>
  <c r="BS45"/>
  <c r="BS37"/>
  <c r="BS30"/>
  <c r="BX5"/>
  <c r="BX6"/>
  <c r="BX7"/>
  <c r="BX8"/>
  <c r="BX9"/>
  <c r="BX10"/>
  <c r="BX12"/>
  <c r="BX14"/>
  <c r="BX15"/>
  <c r="BX16"/>
  <c r="BX17"/>
  <c r="BX18"/>
  <c r="BX19"/>
  <c r="BX20"/>
  <c r="BX21"/>
  <c r="BX22"/>
  <c r="BX23"/>
  <c r="BX24"/>
  <c r="BX25"/>
  <c r="BX26"/>
  <c r="BX27"/>
  <c r="BX28"/>
  <c r="BX29"/>
  <c r="BX31"/>
  <c r="BX32"/>
  <c r="BX33"/>
  <c r="BX34"/>
  <c r="BX35"/>
  <c r="BX36"/>
  <c r="BX41"/>
  <c r="BX42"/>
  <c r="BX43"/>
  <c r="BX44"/>
  <c r="BX45"/>
  <c r="BX40"/>
  <c r="BG15"/>
  <c r="BG16"/>
  <c r="BG17"/>
  <c r="BG18"/>
  <c r="BG19"/>
  <c r="BG20"/>
  <c r="BG21"/>
  <c r="BG22"/>
  <c r="BG23"/>
  <c r="BX30" l="1"/>
  <c r="BX46"/>
  <c r="G18" i="11"/>
  <c r="G17"/>
  <c r="BO253" i="17"/>
  <c r="BP253"/>
  <c r="BQ253"/>
  <c r="BN253"/>
  <c r="BX99"/>
  <c r="BX103"/>
  <c r="BI188"/>
  <c r="BM188" s="1"/>
  <c r="BQ72"/>
  <c r="BR72" s="1"/>
  <c r="BP68"/>
  <c r="BR68" s="1"/>
  <c r="BP75"/>
  <c r="BR75" s="1"/>
  <c r="BP63"/>
  <c r="BO69"/>
  <c r="BR69" s="1"/>
  <c r="BO63"/>
  <c r="BL75"/>
  <c r="BL68"/>
  <c r="BL60"/>
  <c r="BK75"/>
  <c r="BJ75"/>
  <c r="BI75"/>
  <c r="BI62"/>
  <c r="BM62" s="1"/>
  <c r="BH76"/>
  <c r="BM76" s="1"/>
  <c r="BH63"/>
  <c r="BI104"/>
  <c r="BM104" s="1"/>
  <c r="BR55"/>
  <c r="BR56"/>
  <c r="BR57"/>
  <c r="BR58"/>
  <c r="BR59"/>
  <c r="BR60"/>
  <c r="BR61"/>
  <c r="BR62"/>
  <c r="BR64"/>
  <c r="BR65"/>
  <c r="BR66"/>
  <c r="BR67"/>
  <c r="BR70"/>
  <c r="BR71"/>
  <c r="BR73"/>
  <c r="BR74"/>
  <c r="BR76"/>
  <c r="BR77"/>
  <c r="BR78"/>
  <c r="BR79"/>
  <c r="BR80"/>
  <c r="BR81"/>
  <c r="BR82"/>
  <c r="BR83"/>
  <c r="BR84"/>
  <c r="BR85"/>
  <c r="BR86"/>
  <c r="BR87"/>
  <c r="BR88"/>
  <c r="BR89"/>
  <c r="BR90"/>
  <c r="BR91"/>
  <c r="BR92"/>
  <c r="BR93"/>
  <c r="BR94"/>
  <c r="BR95"/>
  <c r="BR96"/>
  <c r="BM54"/>
  <c r="BM55"/>
  <c r="BM56"/>
  <c r="BM57"/>
  <c r="BM58"/>
  <c r="BM59"/>
  <c r="BM60"/>
  <c r="BM61"/>
  <c r="BM63"/>
  <c r="BM64"/>
  <c r="BM65"/>
  <c r="BM66"/>
  <c r="BM67"/>
  <c r="BM68"/>
  <c r="BM69"/>
  <c r="BM70"/>
  <c r="BM71"/>
  <c r="BM72"/>
  <c r="BM73"/>
  <c r="BM74"/>
  <c r="BM77"/>
  <c r="BM78"/>
  <c r="BM79"/>
  <c r="BM80"/>
  <c r="BM81"/>
  <c r="BM82"/>
  <c r="BM83"/>
  <c r="BM84"/>
  <c r="BM85"/>
  <c r="BM86"/>
  <c r="BM87"/>
  <c r="BM88"/>
  <c r="BM89"/>
  <c r="BM90"/>
  <c r="BM91"/>
  <c r="BM92"/>
  <c r="BM93"/>
  <c r="BM94"/>
  <c r="BM95"/>
  <c r="BR99"/>
  <c r="BR100"/>
  <c r="BR101"/>
  <c r="BR102"/>
  <c r="BR104"/>
  <c r="BR105"/>
  <c r="BM99"/>
  <c r="BM100"/>
  <c r="BM101"/>
  <c r="BM102"/>
  <c r="BQ147"/>
  <c r="BR147" s="1"/>
  <c r="BQ162"/>
  <c r="BR162" s="1"/>
  <c r="BO150"/>
  <c r="BR150" s="1"/>
  <c r="BN160"/>
  <c r="BR160" s="1"/>
  <c r="BN159"/>
  <c r="BR159" s="1"/>
  <c r="BN145"/>
  <c r="BR145" s="1"/>
  <c r="BK159"/>
  <c r="BM159" s="1"/>
  <c r="BK162"/>
  <c r="BI156"/>
  <c r="BI162"/>
  <c r="BH162"/>
  <c r="BO189"/>
  <c r="BP189"/>
  <c r="BQ189"/>
  <c r="BN189"/>
  <c r="BI189"/>
  <c r="BJ189"/>
  <c r="BK189"/>
  <c r="BL189"/>
  <c r="BH189"/>
  <c r="BR187"/>
  <c r="BR188"/>
  <c r="BR190"/>
  <c r="BR191"/>
  <c r="BM187"/>
  <c r="BM190"/>
  <c r="BM191"/>
  <c r="BR142"/>
  <c r="BR143"/>
  <c r="BR144"/>
  <c r="BR146"/>
  <c r="BR148"/>
  <c r="BR149"/>
  <c r="BR151"/>
  <c r="BR152"/>
  <c r="BR153"/>
  <c r="BR154"/>
  <c r="BR155"/>
  <c r="BR156"/>
  <c r="BR157"/>
  <c r="BR158"/>
  <c r="BR161"/>
  <c r="BR163"/>
  <c r="BR164"/>
  <c r="BR165"/>
  <c r="BR166"/>
  <c r="BR167"/>
  <c r="BR168"/>
  <c r="BR169"/>
  <c r="BR170"/>
  <c r="BR171"/>
  <c r="BR172"/>
  <c r="BR173"/>
  <c r="BR174"/>
  <c r="BR175"/>
  <c r="BR176"/>
  <c r="BR177"/>
  <c r="BR178"/>
  <c r="BR179"/>
  <c r="BR180"/>
  <c r="BR181"/>
  <c r="BR182"/>
  <c r="BR183"/>
  <c r="BM142"/>
  <c r="BM143"/>
  <c r="BM144"/>
  <c r="BM145"/>
  <c r="BM146"/>
  <c r="BM147"/>
  <c r="BM148"/>
  <c r="BM149"/>
  <c r="BM150"/>
  <c r="BM151"/>
  <c r="BM152"/>
  <c r="BM153"/>
  <c r="BM154"/>
  <c r="BM155"/>
  <c r="BM156"/>
  <c r="BM157"/>
  <c r="BM158"/>
  <c r="BM160"/>
  <c r="BM161"/>
  <c r="BM163"/>
  <c r="BM164"/>
  <c r="BM165"/>
  <c r="BM166"/>
  <c r="BM167"/>
  <c r="BM168"/>
  <c r="BM169"/>
  <c r="BM170"/>
  <c r="BM171"/>
  <c r="BM172"/>
  <c r="BM173"/>
  <c r="BM174"/>
  <c r="BM175"/>
  <c r="BM176"/>
  <c r="BM177"/>
  <c r="BM178"/>
  <c r="BM179"/>
  <c r="BM180"/>
  <c r="BM181"/>
  <c r="BM182"/>
  <c r="BM183"/>
  <c r="BJ253"/>
  <c r="BK253"/>
  <c r="BL253"/>
  <c r="BI253"/>
  <c r="BH253"/>
  <c r="BC253"/>
  <c r="BD253"/>
  <c r="BE253"/>
  <c r="BF253"/>
  <c r="BB253"/>
  <c r="BH232"/>
  <c r="BM232" s="1"/>
  <c r="BM230"/>
  <c r="BM231"/>
  <c r="BM233"/>
  <c r="BM234"/>
  <c r="BM235"/>
  <c r="BM236"/>
  <c r="BM237"/>
  <c r="BM238"/>
  <c r="BM239"/>
  <c r="BM240"/>
  <c r="BM241"/>
  <c r="BM242"/>
  <c r="BK129"/>
  <c r="BM129" s="1"/>
  <c r="BK115"/>
  <c r="BM115" s="1"/>
  <c r="BJ113"/>
  <c r="BM113" s="1"/>
  <c r="BM133"/>
  <c r="BM127"/>
  <c r="BM128"/>
  <c r="BR119"/>
  <c r="BM119"/>
  <c r="BM114"/>
  <c r="BM116"/>
  <c r="BR113"/>
  <c r="BO26"/>
  <c r="BH13"/>
  <c r="BM13" s="1"/>
  <c r="BQ46"/>
  <c r="BQ37"/>
  <c r="BQ30"/>
  <c r="BP45"/>
  <c r="BP46"/>
  <c r="BO46"/>
  <c r="BO45"/>
  <c r="BO37"/>
  <c r="BO30"/>
  <c r="BN46"/>
  <c r="BL46"/>
  <c r="BL37"/>
  <c r="BL30"/>
  <c r="BK46"/>
  <c r="BK45"/>
  <c r="BK37"/>
  <c r="BK30"/>
  <c r="BJ46"/>
  <c r="BJ45"/>
  <c r="BJ37"/>
  <c r="BJ30"/>
  <c r="BI46"/>
  <c r="BI45"/>
  <c r="BM45" s="1"/>
  <c r="BI37"/>
  <c r="BI30"/>
  <c r="BM30" s="1"/>
  <c r="BR5"/>
  <c r="BR6"/>
  <c r="BR7"/>
  <c r="BR8"/>
  <c r="BR9"/>
  <c r="BR10"/>
  <c r="BR11"/>
  <c r="BR12"/>
  <c r="BR13"/>
  <c r="BR14"/>
  <c r="BR15"/>
  <c r="BR16"/>
  <c r="BR17"/>
  <c r="BR18"/>
  <c r="BR19"/>
  <c r="BR20"/>
  <c r="BR21"/>
  <c r="BR22"/>
  <c r="BR23"/>
  <c r="BR24"/>
  <c r="BR25"/>
  <c r="BR26"/>
  <c r="BR27"/>
  <c r="BR28"/>
  <c r="BR29"/>
  <c r="BR31"/>
  <c r="BR32"/>
  <c r="BR33"/>
  <c r="BR34"/>
  <c r="BR35"/>
  <c r="BR36"/>
  <c r="BR40"/>
  <c r="BR41"/>
  <c r="BR42"/>
  <c r="BR43"/>
  <c r="BR44"/>
  <c r="BM5"/>
  <c r="BM6"/>
  <c r="BM7"/>
  <c r="BM8"/>
  <c r="BM9"/>
  <c r="BM10"/>
  <c r="BM11"/>
  <c r="BM12"/>
  <c r="BM14"/>
  <c r="BM15"/>
  <c r="BM16"/>
  <c r="BM17"/>
  <c r="BM18"/>
  <c r="BM19"/>
  <c r="BM20"/>
  <c r="BM21"/>
  <c r="BM22"/>
  <c r="BM23"/>
  <c r="BM24"/>
  <c r="BM25"/>
  <c r="BM26"/>
  <c r="BM27"/>
  <c r="BM28"/>
  <c r="BM29"/>
  <c r="BM31"/>
  <c r="BM32"/>
  <c r="BM33"/>
  <c r="BM34"/>
  <c r="BM35"/>
  <c r="BM36"/>
  <c r="BM40"/>
  <c r="BM41"/>
  <c r="BM42"/>
  <c r="BM43"/>
  <c r="BM44"/>
  <c r="CA99"/>
  <c r="BM75" l="1"/>
  <c r="BM189"/>
  <c r="BR189"/>
  <c r="BR63"/>
  <c r="BM162"/>
  <c r="BR30"/>
  <c r="BR45"/>
  <c r="CA103"/>
  <c r="BF159"/>
  <c r="BF158"/>
  <c r="BD165"/>
  <c r="BC154"/>
  <c r="BC167"/>
  <c r="BB159"/>
  <c r="BB160"/>
  <c r="BB143"/>
  <c r="BB155"/>
  <c r="BF72" l="1"/>
  <c r="BG72" s="1"/>
  <c r="BE75"/>
  <c r="BE73"/>
  <c r="BE102"/>
  <c r="BD99"/>
  <c r="BD93"/>
  <c r="BD79"/>
  <c r="BG79" s="1"/>
  <c r="CB79" s="1"/>
  <c r="BC75"/>
  <c r="BC67"/>
  <c r="BC69"/>
  <c r="BG69" s="1"/>
  <c r="BG70"/>
  <c r="BG71"/>
  <c r="BG74"/>
  <c r="CB74" s="1"/>
  <c r="BG76"/>
  <c r="BG77"/>
  <c r="BG78"/>
  <c r="CB78" s="1"/>
  <c r="BG80"/>
  <c r="BB188"/>
  <c r="BA78"/>
  <c r="AB78"/>
  <c r="BB75"/>
  <c r="BB73"/>
  <c r="BB58"/>
  <c r="BB63"/>
  <c r="BB68"/>
  <c r="BG68" s="1"/>
  <c r="BB60"/>
  <c r="AY75"/>
  <c r="AY72"/>
  <c r="AY65"/>
  <c r="BD245"/>
  <c r="BC243"/>
  <c r="BF46"/>
  <c r="BF44"/>
  <c r="BG40"/>
  <c r="BE129"/>
  <c r="BG200"/>
  <c r="BG201"/>
  <c r="BG202"/>
  <c r="BG199"/>
  <c r="BG219"/>
  <c r="BG214"/>
  <c r="BG215"/>
  <c r="BG216"/>
  <c r="BG213"/>
  <c r="BG73" l="1"/>
  <c r="CB80"/>
  <c r="CB77"/>
  <c r="BG75"/>
  <c r="CB75" s="1"/>
  <c r="BD27"/>
  <c r="BC26"/>
  <c r="BC9"/>
  <c r="BG5"/>
  <c r="BE45"/>
  <c r="BE46"/>
  <c r="BE37"/>
  <c r="BE30"/>
  <c r="BD45"/>
  <c r="BC45"/>
  <c r="BC46"/>
  <c r="BC37"/>
  <c r="BC30"/>
  <c r="BB46"/>
  <c r="BB45"/>
  <c r="BB37"/>
  <c r="BB30"/>
  <c r="AY46"/>
  <c r="AY37"/>
  <c r="AY30"/>
  <c r="M23" i="11" l="1"/>
  <c r="G23"/>
  <c r="F23"/>
  <c r="F21" i="27"/>
  <c r="M21"/>
  <c r="F20"/>
  <c r="M20"/>
  <c r="F19"/>
  <c r="M19"/>
  <c r="G18"/>
  <c r="F18"/>
  <c r="F36" s="1"/>
  <c r="M18"/>
  <c r="GD218" i="17" l="1"/>
  <c r="GD221" s="1"/>
  <c r="AY162"/>
  <c r="AY156"/>
  <c r="AY188"/>
  <c r="AY152"/>
  <c r="J13" i="35"/>
  <c r="K13" s="1"/>
  <c r="BM253" i="17"/>
  <c r="BR253"/>
  <c r="BG228"/>
  <c r="BM228"/>
  <c r="BR228"/>
  <c r="BX228"/>
  <c r="CA228"/>
  <c r="BG229"/>
  <c r="BM229"/>
  <c r="BR229"/>
  <c r="BX229"/>
  <c r="BG230"/>
  <c r="BR230"/>
  <c r="BX230"/>
  <c r="BG231"/>
  <c r="BR231"/>
  <c r="BX231"/>
  <c r="BG232"/>
  <c r="BR232"/>
  <c r="BX232"/>
  <c r="BG233"/>
  <c r="BR233"/>
  <c r="BX233"/>
  <c r="BG234"/>
  <c r="BR234"/>
  <c r="BX234"/>
  <c r="BG235"/>
  <c r="BR235"/>
  <c r="BX235"/>
  <c r="BG236"/>
  <c r="BR236"/>
  <c r="BX236"/>
  <c r="BG237"/>
  <c r="BR237"/>
  <c r="BX237"/>
  <c r="BG238"/>
  <c r="BR238"/>
  <c r="BX238"/>
  <c r="BG239"/>
  <c r="BR239"/>
  <c r="BX239"/>
  <c r="BG240"/>
  <c r="BR240"/>
  <c r="BX240"/>
  <c r="BG241"/>
  <c r="BR241"/>
  <c r="BX241"/>
  <c r="BG242"/>
  <c r="BR242"/>
  <c r="BX242"/>
  <c r="BG243"/>
  <c r="BM243"/>
  <c r="BR243"/>
  <c r="BX243"/>
  <c r="BG244"/>
  <c r="BM244"/>
  <c r="BR244"/>
  <c r="BX244"/>
  <c r="BG245"/>
  <c r="BM245"/>
  <c r="BR245"/>
  <c r="BX245"/>
  <c r="BG246"/>
  <c r="BM246"/>
  <c r="BR246"/>
  <c r="BX246"/>
  <c r="BG247"/>
  <c r="BM247"/>
  <c r="BR247"/>
  <c r="BX247"/>
  <c r="BG248"/>
  <c r="BM248"/>
  <c r="BR248"/>
  <c r="BX248"/>
  <c r="BG249"/>
  <c r="BM249"/>
  <c r="BR249"/>
  <c r="BX249"/>
  <c r="CA249"/>
  <c r="BG250"/>
  <c r="BM250"/>
  <c r="BR250"/>
  <c r="BX250"/>
  <c r="CA250"/>
  <c r="BX227"/>
  <c r="CA227"/>
  <c r="CA214"/>
  <c r="CA215"/>
  <c r="CA216"/>
  <c r="CA219"/>
  <c r="CA213"/>
  <c r="CA205"/>
  <c r="BM200"/>
  <c r="BR200"/>
  <c r="BX200"/>
  <c r="CA200"/>
  <c r="BM201"/>
  <c r="BR201"/>
  <c r="BX201"/>
  <c r="CA201"/>
  <c r="BM202"/>
  <c r="BR202"/>
  <c r="BX202"/>
  <c r="CA202"/>
  <c r="CA199"/>
  <c r="BG187"/>
  <c r="BG188"/>
  <c r="BG190"/>
  <c r="CB190" s="1"/>
  <c r="BG191"/>
  <c r="CA186"/>
  <c r="BG142"/>
  <c r="BG143"/>
  <c r="CB143" s="1"/>
  <c r="BG144"/>
  <c r="BG145"/>
  <c r="CB145" s="1"/>
  <c r="BG146"/>
  <c r="CB146" s="1"/>
  <c r="BG147"/>
  <c r="BG148"/>
  <c r="CB148" s="1"/>
  <c r="BG149"/>
  <c r="CB149" s="1"/>
  <c r="BG150"/>
  <c r="BG151"/>
  <c r="CB151" s="1"/>
  <c r="BG152"/>
  <c r="CB152" s="1"/>
  <c r="BG153"/>
  <c r="CB153" s="1"/>
  <c r="BG154"/>
  <c r="BG155"/>
  <c r="BG156"/>
  <c r="BG157"/>
  <c r="CB157" s="1"/>
  <c r="BG158"/>
  <c r="BG159"/>
  <c r="CB159" s="1"/>
  <c r="BG160"/>
  <c r="BG161"/>
  <c r="BG162"/>
  <c r="CB162" s="1"/>
  <c r="BG163"/>
  <c r="CB163" s="1"/>
  <c r="BG164"/>
  <c r="CB164" s="1"/>
  <c r="BG165"/>
  <c r="BG166"/>
  <c r="BG167"/>
  <c r="BG168"/>
  <c r="CB168" s="1"/>
  <c r="BG169"/>
  <c r="CB169" s="1"/>
  <c r="BG170"/>
  <c r="BG171"/>
  <c r="BG172"/>
  <c r="BG173"/>
  <c r="BG174"/>
  <c r="CB174" s="1"/>
  <c r="BG175"/>
  <c r="CB175" s="1"/>
  <c r="BG176"/>
  <c r="CB176" s="1"/>
  <c r="BG177"/>
  <c r="BG178"/>
  <c r="BG179"/>
  <c r="BG180"/>
  <c r="CB180" s="1"/>
  <c r="BG181"/>
  <c r="CB181" s="1"/>
  <c r="BG182"/>
  <c r="BG183"/>
  <c r="BX183"/>
  <c r="CA141"/>
  <c r="CA133"/>
  <c r="CA130"/>
  <c r="CA114"/>
  <c r="CA116"/>
  <c r="CA100"/>
  <c r="CA101"/>
  <c r="CA102"/>
  <c r="CA104"/>
  <c r="CA105"/>
  <c r="BX100"/>
  <c r="BX101"/>
  <c r="BX102"/>
  <c r="BX104"/>
  <c r="BX105"/>
  <c r="BM105"/>
  <c r="BG100"/>
  <c r="BG101"/>
  <c r="BG102"/>
  <c r="BG104"/>
  <c r="BG105"/>
  <c r="CA54"/>
  <c r="BM96"/>
  <c r="BG55"/>
  <c r="BG56"/>
  <c r="BG57"/>
  <c r="BG58"/>
  <c r="BG59"/>
  <c r="BG60"/>
  <c r="BG61"/>
  <c r="BG62"/>
  <c r="BG63"/>
  <c r="BG64"/>
  <c r="BG65"/>
  <c r="BG66"/>
  <c r="BG67"/>
  <c r="BG81"/>
  <c r="CB81" s="1"/>
  <c r="BG82"/>
  <c r="CB82" s="1"/>
  <c r="BG83"/>
  <c r="BG84"/>
  <c r="BG85"/>
  <c r="BG86"/>
  <c r="BG87"/>
  <c r="BG88"/>
  <c r="BG89"/>
  <c r="BG90"/>
  <c r="BG91"/>
  <c r="BG92"/>
  <c r="BG93"/>
  <c r="BG94"/>
  <c r="BG95"/>
  <c r="BG96"/>
  <c r="CB248" l="1"/>
  <c r="CB202"/>
  <c r="CB200"/>
  <c r="CB246"/>
  <c r="CB241"/>
  <c r="CB229"/>
  <c r="CB228"/>
  <c r="CB234"/>
  <c r="CB232"/>
  <c r="CB250"/>
  <c r="CB247"/>
  <c r="CB244"/>
  <c r="CB242"/>
  <c r="CB238"/>
  <c r="CB237"/>
  <c r="CB231"/>
  <c r="CB183"/>
  <c r="CB104"/>
  <c r="CB179"/>
  <c r="CB170"/>
  <c r="CB166"/>
  <c r="CB165"/>
  <c r="CB160"/>
  <c r="CB249"/>
  <c r="CB105"/>
  <c r="CB182"/>
  <c r="CB171"/>
  <c r="CB158"/>
  <c r="CB142"/>
  <c r="CB235"/>
  <c r="CB230"/>
  <c r="CB65"/>
  <c r="CB100"/>
  <c r="CB177"/>
  <c r="CB172"/>
  <c r="CB150"/>
  <c r="CB188"/>
  <c r="CB187"/>
  <c r="CB245"/>
  <c r="CB240"/>
  <c r="CB239"/>
  <c r="CB236"/>
  <c r="CB178"/>
  <c r="CB173"/>
  <c r="CB167"/>
  <c r="CB161"/>
  <c r="CB156"/>
  <c r="CB155"/>
  <c r="CB154"/>
  <c r="CB147"/>
  <c r="CB144"/>
  <c r="CB191"/>
  <c r="CB201"/>
  <c r="CB243"/>
  <c r="CB233"/>
  <c r="CB102"/>
  <c r="BG253"/>
  <c r="CB253" s="1"/>
  <c r="CB93"/>
  <c r="CB87"/>
  <c r="CB83"/>
  <c r="CB72"/>
  <c r="CB70"/>
  <c r="CB67"/>
  <c r="CB59"/>
  <c r="CB57"/>
  <c r="CB55"/>
  <c r="CB96"/>
  <c r="CB94"/>
  <c r="CB84"/>
  <c r="CB71"/>
  <c r="CB69"/>
  <c r="CB66"/>
  <c r="CB62"/>
  <c r="CB56"/>
  <c r="CB73"/>
  <c r="CB101"/>
  <c r="CB58"/>
  <c r="CB63"/>
  <c r="CB68"/>
  <c r="CB64"/>
  <c r="CB60"/>
  <c r="CB90"/>
  <c r="CB92"/>
  <c r="CB95"/>
  <c r="CB89"/>
  <c r="CB91"/>
  <c r="CB88"/>
  <c r="CB86"/>
  <c r="CB85"/>
  <c r="CB61"/>
  <c r="BG42"/>
  <c r="BG43"/>
  <c r="BG44"/>
  <c r="BG45"/>
  <c r="BG46"/>
  <c r="BG7"/>
  <c r="BG8"/>
  <c r="BG9"/>
  <c r="BG10"/>
  <c r="BG11"/>
  <c r="BG12"/>
  <c r="BG13"/>
  <c r="BG14"/>
  <c r="BG24"/>
  <c r="BG25"/>
  <c r="BG26"/>
  <c r="BG27"/>
  <c r="BG28"/>
  <c r="BG29"/>
  <c r="BG30"/>
  <c r="BG31"/>
  <c r="BG32"/>
  <c r="BG33"/>
  <c r="BG34"/>
  <c r="BG35"/>
  <c r="BG36"/>
  <c r="BG37"/>
  <c r="BM46"/>
  <c r="BM37"/>
  <c r="BR46"/>
  <c r="BR37"/>
  <c r="BX37"/>
  <c r="CA37"/>
  <c r="BZ252"/>
  <c r="BY252"/>
  <c r="BZ226"/>
  <c r="BY226"/>
  <c r="BZ218"/>
  <c r="BY218"/>
  <c r="BZ212"/>
  <c r="BY212"/>
  <c r="BZ204"/>
  <c r="BY204"/>
  <c r="BZ198"/>
  <c r="BY198"/>
  <c r="BZ185"/>
  <c r="BY185"/>
  <c r="BZ140"/>
  <c r="BY140"/>
  <c r="BZ132"/>
  <c r="BY132"/>
  <c r="BZ126"/>
  <c r="BY126"/>
  <c r="BZ118"/>
  <c r="BY118"/>
  <c r="BZ112"/>
  <c r="BY112"/>
  <c r="BZ103"/>
  <c r="BZ98" s="1"/>
  <c r="BY103"/>
  <c r="BY98" s="1"/>
  <c r="BZ53"/>
  <c r="BY53"/>
  <c r="BZ39"/>
  <c r="BY39"/>
  <c r="BZ4"/>
  <c r="BY4"/>
  <c r="BZ48" l="1"/>
  <c r="BZ107"/>
  <c r="BZ121"/>
  <c r="BZ135"/>
  <c r="BZ221"/>
  <c r="BY48"/>
  <c r="BY107"/>
  <c r="BY121"/>
  <c r="BY135"/>
  <c r="BY221"/>
  <c r="BY256"/>
  <c r="BZ256"/>
  <c r="BY207"/>
  <c r="BZ207"/>
  <c r="BY193"/>
  <c r="BZ193"/>
  <c r="BZ260" l="1"/>
  <c r="BY260"/>
  <c r="AZ228"/>
  <c r="AZ229"/>
  <c r="AZ230"/>
  <c r="AZ231"/>
  <c r="AZ232"/>
  <c r="AZ233"/>
  <c r="AZ234"/>
  <c r="AZ235"/>
  <c r="AZ236"/>
  <c r="AZ237"/>
  <c r="AZ238"/>
  <c r="AZ239"/>
  <c r="AZ240"/>
  <c r="AZ241"/>
  <c r="AZ242"/>
  <c r="AZ243"/>
  <c r="AZ244"/>
  <c r="AZ245"/>
  <c r="AZ246"/>
  <c r="AZ247"/>
  <c r="AZ248"/>
  <c r="AZ249"/>
  <c r="AZ250"/>
  <c r="AZ227"/>
  <c r="AX182"/>
  <c r="AZ182" s="1"/>
  <c r="AX178"/>
  <c r="AZ178" s="1"/>
  <c r="AX162"/>
  <c r="AW160"/>
  <c r="AV156"/>
  <c r="AZ156" s="1"/>
  <c r="AU162"/>
  <c r="AU160"/>
  <c r="AZ143"/>
  <c r="AZ152"/>
  <c r="AZ187"/>
  <c r="AZ188"/>
  <c r="AZ190"/>
  <c r="AZ191"/>
  <c r="AZ186"/>
  <c r="AZ142"/>
  <c r="AZ144"/>
  <c r="AZ146"/>
  <c r="AZ147"/>
  <c r="AZ148"/>
  <c r="AZ149"/>
  <c r="AZ150"/>
  <c r="AZ151"/>
  <c r="AZ153"/>
  <c r="AZ154"/>
  <c r="AZ155"/>
  <c r="AZ157"/>
  <c r="AZ158"/>
  <c r="AZ161"/>
  <c r="AZ163"/>
  <c r="AZ164"/>
  <c r="AZ165"/>
  <c r="AZ166"/>
  <c r="AZ167"/>
  <c r="AZ168"/>
  <c r="AZ169"/>
  <c r="AZ170"/>
  <c r="AZ171"/>
  <c r="AZ172"/>
  <c r="AZ173"/>
  <c r="AZ174"/>
  <c r="AZ175"/>
  <c r="AZ176"/>
  <c r="AZ177"/>
  <c r="AZ179"/>
  <c r="AZ180"/>
  <c r="AZ181"/>
  <c r="AZ183"/>
  <c r="AZ141"/>
  <c r="AX95"/>
  <c r="AX91"/>
  <c r="AX75"/>
  <c r="AX63"/>
  <c r="AW90"/>
  <c r="AW60"/>
  <c r="AU75"/>
  <c r="AU59"/>
  <c r="AU58"/>
  <c r="AU63"/>
  <c r="AZ160" l="1"/>
  <c r="AZ162"/>
  <c r="AZ159"/>
  <c r="AZ145"/>
  <c r="AZ72"/>
  <c r="AZ55"/>
  <c r="AZ56"/>
  <c r="AZ57"/>
  <c r="AZ58"/>
  <c r="AZ59"/>
  <c r="AZ60"/>
  <c r="AZ61"/>
  <c r="AZ62"/>
  <c r="AZ63"/>
  <c r="AZ64"/>
  <c r="AZ65"/>
  <c r="AZ66"/>
  <c r="AZ67"/>
  <c r="AZ68"/>
  <c r="AZ69"/>
  <c r="AZ70"/>
  <c r="AZ71"/>
  <c r="AZ73"/>
  <c r="AZ74"/>
  <c r="AZ75"/>
  <c r="AZ76"/>
  <c r="AZ77"/>
  <c r="AZ79"/>
  <c r="AZ80"/>
  <c r="AZ81"/>
  <c r="AZ82"/>
  <c r="AZ83"/>
  <c r="AZ84"/>
  <c r="AZ85"/>
  <c r="AZ86"/>
  <c r="AZ87"/>
  <c r="AZ88"/>
  <c r="AZ89"/>
  <c r="AZ90"/>
  <c r="AZ91"/>
  <c r="AZ92"/>
  <c r="AZ93"/>
  <c r="AZ94"/>
  <c r="AZ95"/>
  <c r="AZ96"/>
  <c r="AZ54"/>
  <c r="AZ100"/>
  <c r="AZ101"/>
  <c r="AZ102"/>
  <c r="AZ104"/>
  <c r="AZ105"/>
  <c r="AX53"/>
  <c r="AU53"/>
  <c r="AZ99"/>
  <c r="AZ40"/>
  <c r="AX45"/>
  <c r="AX44"/>
  <c r="AZ44" s="1"/>
  <c r="AZ213"/>
  <c r="AZ205"/>
  <c r="AZ200"/>
  <c r="AZ201"/>
  <c r="AZ202"/>
  <c r="AZ199"/>
  <c r="AZ26"/>
  <c r="AZ41"/>
  <c r="AZ42"/>
  <c r="AZ43"/>
  <c r="AX4"/>
  <c r="AZ6"/>
  <c r="AZ7"/>
  <c r="AZ9"/>
  <c r="AZ10"/>
  <c r="AZ11"/>
  <c r="AZ14"/>
  <c r="AZ16"/>
  <c r="AZ17"/>
  <c r="AZ18"/>
  <c r="AZ21"/>
  <c r="AZ22"/>
  <c r="AZ23"/>
  <c r="AZ24"/>
  <c r="AZ25"/>
  <c r="AZ27"/>
  <c r="AZ28"/>
  <c r="AZ29"/>
  <c r="AZ31"/>
  <c r="AZ32"/>
  <c r="AZ33"/>
  <c r="AZ34"/>
  <c r="AZ35"/>
  <c r="AZ36"/>
  <c r="AW13"/>
  <c r="AZ13" s="1"/>
  <c r="AW37"/>
  <c r="AW30"/>
  <c r="AW46"/>
  <c r="AW45"/>
  <c r="AV30"/>
  <c r="AV37"/>
  <c r="AV46"/>
  <c r="AU46"/>
  <c r="AU37"/>
  <c r="AU4" s="1"/>
  <c r="AZ15"/>
  <c r="AZ8"/>
  <c r="AZ20"/>
  <c r="AZ12"/>
  <c r="AZ46" l="1"/>
  <c r="AZ45"/>
  <c r="AV4"/>
  <c r="AZ53"/>
  <c r="AZ30"/>
  <c r="AW4"/>
  <c r="AZ37"/>
  <c r="AY4"/>
  <c r="AZ19"/>
  <c r="Q4" i="35" l="1"/>
  <c r="Q3"/>
  <c r="AS159" i="17"/>
  <c r="AS160"/>
  <c r="AR162"/>
  <c r="AR160"/>
  <c r="AR155"/>
  <c r="AR144"/>
  <c r="AQ159"/>
  <c r="AP159"/>
  <c r="Q14" i="35" l="1"/>
  <c r="AO162" i="17"/>
  <c r="AO159"/>
  <c r="AO156"/>
  <c r="K6" i="11"/>
  <c r="AL162" i="17" l="1"/>
  <c r="AL159"/>
  <c r="AL147"/>
  <c r="AK162"/>
  <c r="AJ162"/>
  <c r="AJ159"/>
  <c r="AT142" l="1"/>
  <c r="AT143"/>
  <c r="AT144"/>
  <c r="AT145"/>
  <c r="AT146"/>
  <c r="AT147"/>
  <c r="AT148"/>
  <c r="AT149"/>
  <c r="AT150"/>
  <c r="AT151"/>
  <c r="AT152"/>
  <c r="AT153"/>
  <c r="AT154"/>
  <c r="AT155"/>
  <c r="AT156"/>
  <c r="AT157"/>
  <c r="AT158"/>
  <c r="AT159"/>
  <c r="AT160"/>
  <c r="AT161"/>
  <c r="AT162"/>
  <c r="AT163"/>
  <c r="AT164"/>
  <c r="AT165"/>
  <c r="AT166"/>
  <c r="AT167"/>
  <c r="AT168"/>
  <c r="AT169"/>
  <c r="AT170"/>
  <c r="AT171"/>
  <c r="AT172"/>
  <c r="AT173"/>
  <c r="AT174"/>
  <c r="AT175"/>
  <c r="AT176"/>
  <c r="AT177"/>
  <c r="AT178"/>
  <c r="AT179"/>
  <c r="AT180"/>
  <c r="AT181"/>
  <c r="AT182"/>
  <c r="AT183"/>
  <c r="AN142"/>
  <c r="AN143"/>
  <c r="AN144"/>
  <c r="AN145"/>
  <c r="AN146"/>
  <c r="AN147"/>
  <c r="AN148"/>
  <c r="AN149"/>
  <c r="AN150"/>
  <c r="AN151"/>
  <c r="AN152"/>
  <c r="AN153"/>
  <c r="AN154"/>
  <c r="AN155"/>
  <c r="AN156"/>
  <c r="AN157"/>
  <c r="AN158"/>
  <c r="AN159"/>
  <c r="AN160"/>
  <c r="AN161"/>
  <c r="AN162"/>
  <c r="AN163"/>
  <c r="AN164"/>
  <c r="AN165"/>
  <c r="AN166"/>
  <c r="AN167"/>
  <c r="AN168"/>
  <c r="AN169"/>
  <c r="AN170"/>
  <c r="AN171"/>
  <c r="AN172"/>
  <c r="AN173"/>
  <c r="AN174"/>
  <c r="AN175"/>
  <c r="AN176"/>
  <c r="AN177"/>
  <c r="AN178"/>
  <c r="AN179"/>
  <c r="AN180"/>
  <c r="AN181"/>
  <c r="AN182"/>
  <c r="AN183"/>
  <c r="AT187"/>
  <c r="AT188"/>
  <c r="AT190"/>
  <c r="AT191"/>
  <c r="AN187"/>
  <c r="AN188"/>
  <c r="AN190"/>
  <c r="AN191"/>
  <c r="AN186"/>
  <c r="AS56"/>
  <c r="AT56" s="1"/>
  <c r="AP69"/>
  <c r="AT69" s="1"/>
  <c r="AP75"/>
  <c r="AT75" s="1"/>
  <c r="AP72"/>
  <c r="AP63"/>
  <c r="AT63" s="1"/>
  <c r="AP60"/>
  <c r="AT60" s="1"/>
  <c r="AO72"/>
  <c r="AO58"/>
  <c r="AT58" s="1"/>
  <c r="AQ76"/>
  <c r="AT76" s="1"/>
  <c r="AT55"/>
  <c r="AT57"/>
  <c r="AT59"/>
  <c r="AT61"/>
  <c r="AT62"/>
  <c r="AT64"/>
  <c r="AT65"/>
  <c r="AT66"/>
  <c r="AT67"/>
  <c r="AT68"/>
  <c r="AT70"/>
  <c r="AT71"/>
  <c r="AT73"/>
  <c r="AT74"/>
  <c r="AT77"/>
  <c r="AT79"/>
  <c r="AT80"/>
  <c r="AT81"/>
  <c r="AT82"/>
  <c r="AT83"/>
  <c r="AT84"/>
  <c r="AT85"/>
  <c r="AT86"/>
  <c r="AT87"/>
  <c r="AT88"/>
  <c r="AT89"/>
  <c r="AT90"/>
  <c r="AT91"/>
  <c r="AT92"/>
  <c r="AT93"/>
  <c r="AT94"/>
  <c r="AT95"/>
  <c r="AT96"/>
  <c r="AT54"/>
  <c r="AQ105"/>
  <c r="AT105" s="1"/>
  <c r="AT100"/>
  <c r="AT101"/>
  <c r="AT102"/>
  <c r="AT104"/>
  <c r="AT99"/>
  <c r="AT72" l="1"/>
  <c r="AO26"/>
  <c r="AW39"/>
  <c r="AX39"/>
  <c r="AY39"/>
  <c r="AV39"/>
  <c r="AU39"/>
  <c r="AS26"/>
  <c r="AS39"/>
  <c r="AR45"/>
  <c r="AR39" s="1"/>
  <c r="AR37"/>
  <c r="AR30"/>
  <c r="AQ46"/>
  <c r="AQ45"/>
  <c r="AQ39" l="1"/>
  <c r="AQ37"/>
  <c r="AQ30"/>
  <c r="AP46"/>
  <c r="AP39" s="1"/>
  <c r="AP37"/>
  <c r="AP30"/>
  <c r="AT30" s="1"/>
  <c r="AR4"/>
  <c r="AS4"/>
  <c r="AO22"/>
  <c r="AT22" s="1"/>
  <c r="AO45"/>
  <c r="AO39" s="1"/>
  <c r="AO37"/>
  <c r="AT41"/>
  <c r="AT42"/>
  <c r="AT43"/>
  <c r="AT44"/>
  <c r="AT40"/>
  <c r="AT6"/>
  <c r="AT7"/>
  <c r="AT8"/>
  <c r="AT9"/>
  <c r="AT10"/>
  <c r="AT11"/>
  <c r="AT12"/>
  <c r="AT13"/>
  <c r="AT14"/>
  <c r="AT15"/>
  <c r="AT16"/>
  <c r="AT17"/>
  <c r="AT18"/>
  <c r="AT19"/>
  <c r="AT20"/>
  <c r="AT21"/>
  <c r="AT23"/>
  <c r="AT24"/>
  <c r="AT25"/>
  <c r="AT26"/>
  <c r="AT27"/>
  <c r="AT28"/>
  <c r="AT29"/>
  <c r="AT31"/>
  <c r="AT32"/>
  <c r="AT33"/>
  <c r="AT34"/>
  <c r="AT35"/>
  <c r="AT36"/>
  <c r="AT45" l="1"/>
  <c r="AT46"/>
  <c r="AP4"/>
  <c r="AQ4"/>
  <c r="AO4"/>
  <c r="AT37"/>
  <c r="AT5"/>
  <c r="AT39" l="1"/>
  <c r="AT4"/>
  <c r="AZ113"/>
  <c r="AZ114"/>
  <c r="AZ115"/>
  <c r="AZ119"/>
  <c r="AT119"/>
  <c r="AT113"/>
  <c r="AT114"/>
  <c r="AT115"/>
  <c r="G22" i="11" l="1"/>
  <c r="F22"/>
  <c r="M22"/>
  <c r="AL72" i="17" l="1"/>
  <c r="AN72" s="1"/>
  <c r="AL58"/>
  <c r="AN58" s="1"/>
  <c r="AK75"/>
  <c r="AJ95"/>
  <c r="AJ75"/>
  <c r="AN75" s="1"/>
  <c r="AJ76"/>
  <c r="AN76" s="1"/>
  <c r="AJ62"/>
  <c r="AJ68"/>
  <c r="AN68" s="1"/>
  <c r="AJ63"/>
  <c r="AN63" s="1"/>
  <c r="AI56"/>
  <c r="AN56" s="1"/>
  <c r="AI90"/>
  <c r="AI60"/>
  <c r="AN60" s="1"/>
  <c r="AN101"/>
  <c r="AN102"/>
  <c r="AN104"/>
  <c r="AN105"/>
  <c r="AN99"/>
  <c r="AJ103"/>
  <c r="AK103"/>
  <c r="AL103"/>
  <c r="AM103"/>
  <c r="AI103"/>
  <c r="AN55"/>
  <c r="AN57"/>
  <c r="AN59"/>
  <c r="AN61"/>
  <c r="AN62"/>
  <c r="AN64"/>
  <c r="AN65"/>
  <c r="AN66"/>
  <c r="AN67"/>
  <c r="AN69"/>
  <c r="AN70"/>
  <c r="AN71"/>
  <c r="AN73"/>
  <c r="AN74"/>
  <c r="AN77"/>
  <c r="AN79"/>
  <c r="AN80"/>
  <c r="AN81"/>
  <c r="AN82"/>
  <c r="AN83"/>
  <c r="AN84"/>
  <c r="AN85"/>
  <c r="AN86"/>
  <c r="AN87"/>
  <c r="AN88"/>
  <c r="AN119"/>
  <c r="Z113"/>
  <c r="AD113"/>
  <c r="AN254"/>
  <c r="AN253"/>
  <c r="AN250"/>
  <c r="AN228"/>
  <c r="AN229"/>
  <c r="AN230"/>
  <c r="AN231"/>
  <c r="AN232"/>
  <c r="AN233"/>
  <c r="AN234"/>
  <c r="AN235"/>
  <c r="AN236"/>
  <c r="AN237"/>
  <c r="AN238"/>
  <c r="AN239"/>
  <c r="AN240"/>
  <c r="AN241"/>
  <c r="AN242"/>
  <c r="AN243"/>
  <c r="AN244"/>
  <c r="AN245"/>
  <c r="AN246"/>
  <c r="AN247"/>
  <c r="AN248"/>
  <c r="AN249"/>
  <c r="AN227"/>
  <c r="AJ18"/>
  <c r="AN18" s="1"/>
  <c r="AJ13"/>
  <c r="AN13" s="1"/>
  <c r="AJ9"/>
  <c r="AM45"/>
  <c r="AM39" s="1"/>
  <c r="AL46"/>
  <c r="AL39" s="1"/>
  <c r="AK46"/>
  <c r="AK39" s="1"/>
  <c r="AJ45"/>
  <c r="AJ46"/>
  <c r="AI46"/>
  <c r="AI39" s="1"/>
  <c r="AN41"/>
  <c r="AN42"/>
  <c r="AN43"/>
  <c r="AN44"/>
  <c r="AN40"/>
  <c r="AN5"/>
  <c r="AN6"/>
  <c r="AN7"/>
  <c r="AN8"/>
  <c r="AN9"/>
  <c r="AN10"/>
  <c r="AN11"/>
  <c r="AN12"/>
  <c r="AN14"/>
  <c r="AN15"/>
  <c r="AN16"/>
  <c r="AN17"/>
  <c r="AN19"/>
  <c r="AN20"/>
  <c r="AN21"/>
  <c r="AN22"/>
  <c r="AN23"/>
  <c r="AN24"/>
  <c r="AN25"/>
  <c r="AN26"/>
  <c r="AN27"/>
  <c r="AN28"/>
  <c r="AN29"/>
  <c r="AN31"/>
  <c r="AN32"/>
  <c r="AN33"/>
  <c r="AN34"/>
  <c r="AN35"/>
  <c r="AN36"/>
  <c r="AM37"/>
  <c r="AM30"/>
  <c r="AL37"/>
  <c r="AL30"/>
  <c r="AK37"/>
  <c r="AK30"/>
  <c r="AJ37"/>
  <c r="AJ30"/>
  <c r="AI37"/>
  <c r="AI30"/>
  <c r="AG162"/>
  <c r="AG159"/>
  <c r="AG145"/>
  <c r="AG150"/>
  <c r="AG155"/>
  <c r="AG156"/>
  <c r="AE160"/>
  <c r="AE179"/>
  <c r="AD162"/>
  <c r="AD159"/>
  <c r="AD147"/>
  <c r="AC162"/>
  <c r="AC159"/>
  <c r="AC151"/>
  <c r="Z162"/>
  <c r="Z159"/>
  <c r="Z145"/>
  <c r="Z155"/>
  <c r="Z165"/>
  <c r="AZ254"/>
  <c r="AN219"/>
  <c r="AN214"/>
  <c r="AN215"/>
  <c r="AN216"/>
  <c r="AN213"/>
  <c r="AH190"/>
  <c r="BA190" s="1"/>
  <c r="AH188"/>
  <c r="BA188" s="1"/>
  <c r="AZ133"/>
  <c r="AZ128"/>
  <c r="AZ129"/>
  <c r="AZ130"/>
  <c r="AZ127"/>
  <c r="AN100"/>
  <c r="AG63"/>
  <c r="AG68"/>
  <c r="AH102"/>
  <c r="AH100"/>
  <c r="AH101"/>
  <c r="AH105"/>
  <c r="BA105" s="1"/>
  <c r="AG104"/>
  <c r="AH104" s="1"/>
  <c r="BA104" s="1"/>
  <c r="AF68"/>
  <c r="AE75"/>
  <c r="AN37" l="1"/>
  <c r="AC140"/>
  <c r="BA101"/>
  <c r="BA102"/>
  <c r="BA100"/>
  <c r="AN30"/>
  <c r="AN103"/>
  <c r="AN45"/>
  <c r="AJ39"/>
  <c r="AN4"/>
  <c r="AN46"/>
  <c r="AN39" l="1"/>
  <c r="AE74"/>
  <c r="AE60"/>
  <c r="AD73"/>
  <c r="AC58"/>
  <c r="AC72"/>
  <c r="AC73"/>
  <c r="AC74"/>
  <c r="AC63"/>
  <c r="Z68"/>
  <c r="AC53" l="1"/>
  <c r="AC239"/>
  <c r="AH239" s="1"/>
  <c r="AH214"/>
  <c r="AH215"/>
  <c r="AH216"/>
  <c r="AH219"/>
  <c r="AH213"/>
  <c r="AH128"/>
  <c r="AH129"/>
  <c r="AH130"/>
  <c r="AH133"/>
  <c r="AH127"/>
  <c r="AD115"/>
  <c r="J114"/>
  <c r="J115"/>
  <c r="J116"/>
  <c r="J113"/>
  <c r="AH236"/>
  <c r="AT236"/>
  <c r="AH237"/>
  <c r="AT237"/>
  <c r="AH238"/>
  <c r="AT238"/>
  <c r="AT239"/>
  <c r="AH240"/>
  <c r="AT240"/>
  <c r="AH241"/>
  <c r="AT241"/>
  <c r="AH242"/>
  <c r="AT242"/>
  <c r="AH243"/>
  <c r="AT243"/>
  <c r="AH244"/>
  <c r="AT244"/>
  <c r="AH245"/>
  <c r="AT245"/>
  <c r="AH246"/>
  <c r="AT246"/>
  <c r="AH247"/>
  <c r="AT247"/>
  <c r="AH248"/>
  <c r="AT248"/>
  <c r="AH249"/>
  <c r="AT249"/>
  <c r="AH250"/>
  <c r="AT250"/>
  <c r="AH143"/>
  <c r="BA143" s="1"/>
  <c r="AH144"/>
  <c r="BA144" s="1"/>
  <c r="AH145"/>
  <c r="AH146"/>
  <c r="BA146" s="1"/>
  <c r="AH147"/>
  <c r="AH148"/>
  <c r="BA148" s="1"/>
  <c r="AH149"/>
  <c r="BA149" s="1"/>
  <c r="AH150"/>
  <c r="AH151"/>
  <c r="AH152"/>
  <c r="BA152" s="1"/>
  <c r="AH153"/>
  <c r="BA153" s="1"/>
  <c r="AH154"/>
  <c r="AH155"/>
  <c r="AH156"/>
  <c r="AH157"/>
  <c r="BA157" s="1"/>
  <c r="AH158"/>
  <c r="BA158" s="1"/>
  <c r="AH159"/>
  <c r="AH160"/>
  <c r="AH161"/>
  <c r="BA161" s="1"/>
  <c r="AH162"/>
  <c r="AH163"/>
  <c r="BA163" s="1"/>
  <c r="AH164"/>
  <c r="BA164" s="1"/>
  <c r="AH165"/>
  <c r="BA165" s="1"/>
  <c r="AH166"/>
  <c r="AH167"/>
  <c r="BA167" s="1"/>
  <c r="AH168"/>
  <c r="AH169"/>
  <c r="BA169" s="1"/>
  <c r="AH170"/>
  <c r="AH171"/>
  <c r="BA171" s="1"/>
  <c r="AH172"/>
  <c r="AH173"/>
  <c r="AH174"/>
  <c r="BA174" s="1"/>
  <c r="AH175"/>
  <c r="BA175" s="1"/>
  <c r="AH176"/>
  <c r="BA176" s="1"/>
  <c r="AH177"/>
  <c r="AH178"/>
  <c r="AH179"/>
  <c r="AH180"/>
  <c r="AH181"/>
  <c r="BA181" s="1"/>
  <c r="AH182"/>
  <c r="AH183"/>
  <c r="BA183" s="1"/>
  <c r="AH56"/>
  <c r="AH57"/>
  <c r="BA57" s="1"/>
  <c r="AH58"/>
  <c r="AH59"/>
  <c r="AH60"/>
  <c r="AH61"/>
  <c r="BA61" s="1"/>
  <c r="AH62"/>
  <c r="BA62" s="1"/>
  <c r="AH63"/>
  <c r="AH64"/>
  <c r="AH65"/>
  <c r="BA65" s="1"/>
  <c r="AH66"/>
  <c r="AH67"/>
  <c r="BA67" s="1"/>
  <c r="AH68"/>
  <c r="AH69"/>
  <c r="BA69" s="1"/>
  <c r="AH70"/>
  <c r="BA70" s="1"/>
  <c r="AH71"/>
  <c r="BA71" s="1"/>
  <c r="AH72"/>
  <c r="AH73"/>
  <c r="AH74"/>
  <c r="BA74" s="1"/>
  <c r="AH75"/>
  <c r="AH76"/>
  <c r="BA76" s="1"/>
  <c r="AH77"/>
  <c r="BA77" s="1"/>
  <c r="AH79"/>
  <c r="BA79" s="1"/>
  <c r="AH80"/>
  <c r="BA80" s="1"/>
  <c r="AH81"/>
  <c r="BA81" s="1"/>
  <c r="AH82"/>
  <c r="BA82" s="1"/>
  <c r="AH83"/>
  <c r="BA83" s="1"/>
  <c r="AH84"/>
  <c r="BA84" s="1"/>
  <c r="AH85"/>
  <c r="BA85" s="1"/>
  <c r="AH86"/>
  <c r="BA86" s="1"/>
  <c r="AH87"/>
  <c r="BA87" s="1"/>
  <c r="AH88"/>
  <c r="BA88" s="1"/>
  <c r="AH89"/>
  <c r="AN89"/>
  <c r="AH90"/>
  <c r="AN90"/>
  <c r="AH91"/>
  <c r="AN91"/>
  <c r="AH92"/>
  <c r="AN92"/>
  <c r="AH93"/>
  <c r="AN93"/>
  <c r="AH94"/>
  <c r="AN94"/>
  <c r="AH95"/>
  <c r="AN95"/>
  <c r="AH96"/>
  <c r="AN96"/>
  <c r="BA89" l="1"/>
  <c r="BA240"/>
  <c r="BA238"/>
  <c r="BA236"/>
  <c r="BA92"/>
  <c r="BA250"/>
  <c r="BA249"/>
  <c r="BA248"/>
  <c r="BA247"/>
  <c r="BA244"/>
  <c r="BA243"/>
  <c r="BA242"/>
  <c r="BA96"/>
  <c r="BA237"/>
  <c r="BA94"/>
  <c r="BA246"/>
  <c r="BA241"/>
  <c r="BA93"/>
  <c r="BA90"/>
  <c r="BA95"/>
  <c r="BA91"/>
  <c r="BA180"/>
  <c r="BA179"/>
  <c r="BA156"/>
  <c r="BA147"/>
  <c r="BA150"/>
  <c r="BA151"/>
  <c r="BA177"/>
  <c r="BA178"/>
  <c r="BA170"/>
  <c r="BA182"/>
  <c r="BA168"/>
  <c r="BA173"/>
  <c r="BA172"/>
  <c r="BA245"/>
  <c r="BA239"/>
  <c r="AV253"/>
  <c r="AW253"/>
  <c r="AX253"/>
  <c r="AY253"/>
  <c r="AP253"/>
  <c r="AQ253"/>
  <c r="AR253"/>
  <c r="AS253"/>
  <c r="AU253"/>
  <c r="AO253"/>
  <c r="AD253"/>
  <c r="AE253"/>
  <c r="AF253"/>
  <c r="AG253"/>
  <c r="AC253"/>
  <c r="C30"/>
  <c r="AD24"/>
  <c r="AC9"/>
  <c r="AG46"/>
  <c r="AG45"/>
  <c r="AF45"/>
  <c r="AF39" s="1"/>
  <c r="AE46"/>
  <c r="AE39" s="1"/>
  <c r="AE42"/>
  <c r="AD46"/>
  <c r="AD42"/>
  <c r="AC30"/>
  <c r="AC46"/>
  <c r="AC45"/>
  <c r="AF37"/>
  <c r="AF30"/>
  <c r="AE37"/>
  <c r="AE30"/>
  <c r="AD37"/>
  <c r="AH37" s="1"/>
  <c r="AD30"/>
  <c r="AD31"/>
  <c r="AG4"/>
  <c r="AH41"/>
  <c r="AH43"/>
  <c r="AH44"/>
  <c r="AH7"/>
  <c r="AH8"/>
  <c r="AH10"/>
  <c r="AH11"/>
  <c r="AH12"/>
  <c r="AH13"/>
  <c r="AH14"/>
  <c r="AH15"/>
  <c r="AH16"/>
  <c r="AH17"/>
  <c r="AH18"/>
  <c r="AH19"/>
  <c r="AH20"/>
  <c r="AH21"/>
  <c r="AH22"/>
  <c r="AH23"/>
  <c r="AH25"/>
  <c r="AH26"/>
  <c r="AH27"/>
  <c r="AH28"/>
  <c r="AH29"/>
  <c r="AH31"/>
  <c r="AH32"/>
  <c r="AH33"/>
  <c r="AH34"/>
  <c r="AH35"/>
  <c r="AH36"/>
  <c r="Z30"/>
  <c r="Z37"/>
  <c r="Z46"/>
  <c r="Z45"/>
  <c r="BA64"/>
  <c r="BA66"/>
  <c r="BA73"/>
  <c r="BA68"/>
  <c r="BA63"/>
  <c r="BA154"/>
  <c r="BA166"/>
  <c r="BA155"/>
  <c r="BA162"/>
  <c r="AG39" l="1"/>
  <c r="AD39"/>
  <c r="AD4"/>
  <c r="AC4"/>
  <c r="AH24"/>
  <c r="AH42"/>
  <c r="AF4"/>
  <c r="AH9"/>
  <c r="AH45"/>
  <c r="AH46"/>
  <c r="AC39"/>
  <c r="AH30"/>
  <c r="AE4"/>
  <c r="AZ39"/>
  <c r="BA159"/>
  <c r="BA60"/>
  <c r="BA160"/>
  <c r="BA145"/>
  <c r="BA75"/>
  <c r="BA72"/>
  <c r="BA59"/>
  <c r="BA58"/>
  <c r="M17" i="27" l="1"/>
  <c r="F17"/>
  <c r="F35" s="1"/>
  <c r="M21" i="11"/>
  <c r="G21"/>
  <c r="F21"/>
  <c r="Z99" i="17"/>
  <c r="W253" l="1"/>
  <c r="X253"/>
  <c r="Y253"/>
  <c r="Z253"/>
  <c r="V253"/>
  <c r="Y159"/>
  <c r="Y147"/>
  <c r="X152"/>
  <c r="W142"/>
  <c r="V162"/>
  <c r="V145"/>
  <c r="T162"/>
  <c r="T146"/>
  <c r="T158"/>
  <c r="S159"/>
  <c r="S146"/>
  <c r="R146"/>
  <c r="R158"/>
  <c r="Q162"/>
  <c r="Q159"/>
  <c r="P159"/>
  <c r="M162"/>
  <c r="M145"/>
  <c r="O187" l="1"/>
  <c r="O188"/>
  <c r="O190"/>
  <c r="O191"/>
  <c r="U187"/>
  <c r="U188"/>
  <c r="U190"/>
  <c r="U191"/>
  <c r="AA187"/>
  <c r="AA188"/>
  <c r="AA190"/>
  <c r="AA191"/>
  <c r="J190"/>
  <c r="D190"/>
  <c r="J188"/>
  <c r="D188"/>
  <c r="AH187"/>
  <c r="BA187" s="1"/>
  <c r="J187"/>
  <c r="D187"/>
  <c r="LF186"/>
  <c r="LB186"/>
  <c r="KV186"/>
  <c r="KP186"/>
  <c r="KJ186"/>
  <c r="KC186"/>
  <c r="JV186"/>
  <c r="JP186"/>
  <c r="JJ186"/>
  <c r="JC186"/>
  <c r="IW186"/>
  <c r="IQ186"/>
  <c r="IM186"/>
  <c r="IG186"/>
  <c r="HY186"/>
  <c r="HU186"/>
  <c r="HO186"/>
  <c r="HI186"/>
  <c r="GV186"/>
  <c r="GP186"/>
  <c r="GK186"/>
  <c r="FX186"/>
  <c r="FR186"/>
  <c r="FM186"/>
  <c r="FG186"/>
  <c r="ET186"/>
  <c r="EH186"/>
  <c r="EA186"/>
  <c r="DU186"/>
  <c r="DO186"/>
  <c r="DI186"/>
  <c r="DB186"/>
  <c r="CQ186"/>
  <c r="CK186"/>
  <c r="BX186"/>
  <c r="BR186"/>
  <c r="BM186"/>
  <c r="BG186"/>
  <c r="AT186"/>
  <c r="AH186"/>
  <c r="AA186"/>
  <c r="U186"/>
  <c r="O186"/>
  <c r="J186"/>
  <c r="D186"/>
  <c r="L162"/>
  <c r="K145"/>
  <c r="K150"/>
  <c r="I162"/>
  <c r="G162"/>
  <c r="F162"/>
  <c r="AA165"/>
  <c r="U165"/>
  <c r="O165"/>
  <c r="J165"/>
  <c r="D165"/>
  <c r="AA164"/>
  <c r="U164"/>
  <c r="O164"/>
  <c r="J164"/>
  <c r="D164"/>
  <c r="AA163"/>
  <c r="U163"/>
  <c r="O163"/>
  <c r="J163"/>
  <c r="D163"/>
  <c r="AA162"/>
  <c r="U162"/>
  <c r="O162"/>
  <c r="D162"/>
  <c r="AA161"/>
  <c r="U161"/>
  <c r="O161"/>
  <c r="J161"/>
  <c r="D161"/>
  <c r="U160"/>
  <c r="O160"/>
  <c r="J160"/>
  <c r="D160"/>
  <c r="U159"/>
  <c r="O159"/>
  <c r="J159"/>
  <c r="D159"/>
  <c r="AA158"/>
  <c r="U158"/>
  <c r="O158"/>
  <c r="J158"/>
  <c r="D158"/>
  <c r="AA157"/>
  <c r="U157"/>
  <c r="O157"/>
  <c r="J157"/>
  <c r="D157"/>
  <c r="AA156"/>
  <c r="U156"/>
  <c r="O156"/>
  <c r="J156"/>
  <c r="D156"/>
  <c r="U155"/>
  <c r="O155"/>
  <c r="J155"/>
  <c r="D155"/>
  <c r="U154"/>
  <c r="O154"/>
  <c r="J154"/>
  <c r="D154"/>
  <c r="AA153"/>
  <c r="U153"/>
  <c r="O153"/>
  <c r="J153"/>
  <c r="D153"/>
  <c r="AA152"/>
  <c r="U152"/>
  <c r="O152"/>
  <c r="J152"/>
  <c r="D152"/>
  <c r="U151"/>
  <c r="O151"/>
  <c r="J151"/>
  <c r="D151"/>
  <c r="U150"/>
  <c r="O150"/>
  <c r="J150"/>
  <c r="D150"/>
  <c r="AA149"/>
  <c r="U149"/>
  <c r="O149"/>
  <c r="J149"/>
  <c r="D149"/>
  <c r="AA148"/>
  <c r="U148"/>
  <c r="U253" s="1"/>
  <c r="O148"/>
  <c r="J148"/>
  <c r="D148"/>
  <c r="AA147"/>
  <c r="U147"/>
  <c r="O147"/>
  <c r="J147"/>
  <c r="D147"/>
  <c r="AA146"/>
  <c r="U146"/>
  <c r="J146"/>
  <c r="D146"/>
  <c r="U145"/>
  <c r="O145"/>
  <c r="J145"/>
  <c r="D145"/>
  <c r="AA144"/>
  <c r="U144"/>
  <c r="O144"/>
  <c r="J144"/>
  <c r="D144"/>
  <c r="AA143"/>
  <c r="U143"/>
  <c r="O143"/>
  <c r="J143"/>
  <c r="D143"/>
  <c r="LF142"/>
  <c r="LB142"/>
  <c r="KV142"/>
  <c r="KP142"/>
  <c r="KJ142"/>
  <c r="KC142"/>
  <c r="JV142"/>
  <c r="JP142"/>
  <c r="JJ142"/>
  <c r="JC142"/>
  <c r="IW142"/>
  <c r="IQ142"/>
  <c r="IM142"/>
  <c r="IG142"/>
  <c r="IC142"/>
  <c r="HY142"/>
  <c r="HU142"/>
  <c r="HO142"/>
  <c r="HI142"/>
  <c r="DC142"/>
  <c r="AH142"/>
  <c r="AA142"/>
  <c r="U142"/>
  <c r="O142"/>
  <c r="J142"/>
  <c r="D142"/>
  <c r="LF141"/>
  <c r="LB141"/>
  <c r="KV141"/>
  <c r="KP141"/>
  <c r="KJ141"/>
  <c r="KC141"/>
  <c r="JV141"/>
  <c r="JP141"/>
  <c r="JJ141"/>
  <c r="JC141"/>
  <c r="IW141"/>
  <c r="IQ141"/>
  <c r="IM141"/>
  <c r="JD141" s="1"/>
  <c r="IG141"/>
  <c r="IC141"/>
  <c r="HY141"/>
  <c r="HU141"/>
  <c r="HO141"/>
  <c r="HI141"/>
  <c r="HC141"/>
  <c r="GV141"/>
  <c r="GP141"/>
  <c r="GK141"/>
  <c r="FX141"/>
  <c r="FR141"/>
  <c r="FM141"/>
  <c r="FG141"/>
  <c r="FB141"/>
  <c r="ET141"/>
  <c r="EN141"/>
  <c r="EH141"/>
  <c r="EA141"/>
  <c r="DU141"/>
  <c r="DO141"/>
  <c r="DI141"/>
  <c r="DB141"/>
  <c r="BR141"/>
  <c r="BM141"/>
  <c r="BG141"/>
  <c r="AT141"/>
  <c r="AT140" s="1"/>
  <c r="AN141"/>
  <c r="AH141"/>
  <c r="AA141"/>
  <c r="U141"/>
  <c r="O141"/>
  <c r="J141"/>
  <c r="D141"/>
  <c r="I167"/>
  <c r="C189"/>
  <c r="GE186" l="1"/>
  <c r="GE141"/>
  <c r="FC186"/>
  <c r="BA186"/>
  <c r="HD141"/>
  <c r="KD142"/>
  <c r="DC141"/>
  <c r="DC186"/>
  <c r="KD186"/>
  <c r="AH140"/>
  <c r="KD141"/>
  <c r="AB188"/>
  <c r="HD186"/>
  <c r="AB190"/>
  <c r="AB187"/>
  <c r="EB186"/>
  <c r="AB186"/>
  <c r="CB186"/>
  <c r="ID186"/>
  <c r="LG186"/>
  <c r="J162"/>
  <c r="FC141"/>
  <c r="LG141"/>
  <c r="AA150"/>
  <c r="AB150" s="1"/>
  <c r="AB153"/>
  <c r="BA142"/>
  <c r="AB161"/>
  <c r="BA141"/>
  <c r="LG142"/>
  <c r="AB144"/>
  <c r="AB152"/>
  <c r="AB156"/>
  <c r="AB158"/>
  <c r="AB163"/>
  <c r="AB164"/>
  <c r="AB165"/>
  <c r="AB141"/>
  <c r="CB141"/>
  <c r="EB141"/>
  <c r="ID141"/>
  <c r="AB142"/>
  <c r="ID142"/>
  <c r="AB143"/>
  <c r="O146"/>
  <c r="AB146" s="1"/>
  <c r="AB148"/>
  <c r="AB157"/>
  <c r="AB149"/>
  <c r="AB162"/>
  <c r="AB147"/>
  <c r="AA181"/>
  <c r="AA182"/>
  <c r="AA183"/>
  <c r="U180"/>
  <c r="U181"/>
  <c r="U182"/>
  <c r="U183"/>
  <c r="Y46"/>
  <c r="Y37"/>
  <c r="Y30"/>
  <c r="O182"/>
  <c r="J182"/>
  <c r="D182"/>
  <c r="O181"/>
  <c r="J181"/>
  <c r="D181"/>
  <c r="O180"/>
  <c r="J180"/>
  <c r="D180"/>
  <c r="AA179"/>
  <c r="U179"/>
  <c r="O179"/>
  <c r="J179"/>
  <c r="D179"/>
  <c r="AA178"/>
  <c r="U178"/>
  <c r="O178"/>
  <c r="J178"/>
  <c r="D178"/>
  <c r="AA177"/>
  <c r="U177"/>
  <c r="O177"/>
  <c r="J177"/>
  <c r="D177"/>
  <c r="AA176"/>
  <c r="U176"/>
  <c r="O176"/>
  <c r="J176"/>
  <c r="D176"/>
  <c r="AA175"/>
  <c r="U175"/>
  <c r="O175"/>
  <c r="J175"/>
  <c r="D175"/>
  <c r="AA174"/>
  <c r="U174"/>
  <c r="O174"/>
  <c r="J174"/>
  <c r="D174"/>
  <c r="AA173"/>
  <c r="U173"/>
  <c r="O173"/>
  <c r="J173"/>
  <c r="D173"/>
  <c r="AA172"/>
  <c r="U172"/>
  <c r="O172"/>
  <c r="J172"/>
  <c r="D172"/>
  <c r="AA171"/>
  <c r="U171"/>
  <c r="O171"/>
  <c r="J171"/>
  <c r="D171"/>
  <c r="AA170"/>
  <c r="U170"/>
  <c r="O170"/>
  <c r="J170"/>
  <c r="D170"/>
  <c r="AA169"/>
  <c r="U169"/>
  <c r="O169"/>
  <c r="J169"/>
  <c r="D169"/>
  <c r="DC168"/>
  <c r="AA168"/>
  <c r="U168"/>
  <c r="O168"/>
  <c r="J168"/>
  <c r="D168"/>
  <c r="Y44"/>
  <c r="Y74"/>
  <c r="Y63"/>
  <c r="AA63" s="1"/>
  <c r="Y72"/>
  <c r="X75"/>
  <c r="X65"/>
  <c r="W93"/>
  <c r="V75"/>
  <c r="V93"/>
  <c r="AA88"/>
  <c r="AA89"/>
  <c r="AA90"/>
  <c r="AA91"/>
  <c r="AA92"/>
  <c r="AA94"/>
  <c r="U90"/>
  <c r="U91"/>
  <c r="U92"/>
  <c r="U93"/>
  <c r="U94"/>
  <c r="U95"/>
  <c r="O92"/>
  <c r="O93"/>
  <c r="O94"/>
  <c r="J91"/>
  <c r="J92"/>
  <c r="J93"/>
  <c r="J94"/>
  <c r="D91"/>
  <c r="D92"/>
  <c r="D93"/>
  <c r="D94"/>
  <c r="V60"/>
  <c r="T71"/>
  <c r="S58"/>
  <c r="U58" s="1"/>
  <c r="R63"/>
  <c r="R71"/>
  <c r="Q75"/>
  <c r="Q59"/>
  <c r="U59" s="1"/>
  <c r="P74"/>
  <c r="U74" s="1"/>
  <c r="P63"/>
  <c r="AA55"/>
  <c r="AA56"/>
  <c r="AA57"/>
  <c r="AA60"/>
  <c r="AA61"/>
  <c r="AA62"/>
  <c r="AA64"/>
  <c r="AA65"/>
  <c r="AA66"/>
  <c r="AA67"/>
  <c r="AA68"/>
  <c r="AA70"/>
  <c r="AA71"/>
  <c r="AA73"/>
  <c r="AA74"/>
  <c r="AA76"/>
  <c r="AA77"/>
  <c r="AA79"/>
  <c r="AA80"/>
  <c r="AA81"/>
  <c r="AA82"/>
  <c r="AA83"/>
  <c r="AA84"/>
  <c r="AA85"/>
  <c r="AA86"/>
  <c r="AA87"/>
  <c r="AA95"/>
  <c r="AA96"/>
  <c r="AA54"/>
  <c r="U55"/>
  <c r="U56"/>
  <c r="U57"/>
  <c r="U60"/>
  <c r="U61"/>
  <c r="U62"/>
  <c r="U64"/>
  <c r="U65"/>
  <c r="U66"/>
  <c r="U67"/>
  <c r="U68"/>
  <c r="U69"/>
  <c r="U70"/>
  <c r="U72"/>
  <c r="U73"/>
  <c r="U75"/>
  <c r="U76"/>
  <c r="U77"/>
  <c r="U79"/>
  <c r="U80"/>
  <c r="U81"/>
  <c r="U82"/>
  <c r="U83"/>
  <c r="U84"/>
  <c r="U85"/>
  <c r="U86"/>
  <c r="U87"/>
  <c r="U88"/>
  <c r="U89"/>
  <c r="U96"/>
  <c r="U54"/>
  <c r="AA100"/>
  <c r="AA101"/>
  <c r="AA102"/>
  <c r="AA104"/>
  <c r="AA105"/>
  <c r="U100"/>
  <c r="U101"/>
  <c r="U102"/>
  <c r="U104"/>
  <c r="U105"/>
  <c r="U99"/>
  <c r="AA99"/>
  <c r="U219"/>
  <c r="U214"/>
  <c r="U215"/>
  <c r="U216"/>
  <c r="U213"/>
  <c r="AA219"/>
  <c r="AA214"/>
  <c r="AA215"/>
  <c r="AA216"/>
  <c r="AA213"/>
  <c r="AA133"/>
  <c r="AA128"/>
  <c r="AA130"/>
  <c r="AA127"/>
  <c r="V129"/>
  <c r="AA129" s="1"/>
  <c r="U133"/>
  <c r="U128"/>
  <c r="U129"/>
  <c r="U130"/>
  <c r="U127"/>
  <c r="AA205"/>
  <c r="AA200"/>
  <c r="AA201"/>
  <c r="AA202"/>
  <c r="AA199"/>
  <c r="U205"/>
  <c r="U200"/>
  <c r="U201"/>
  <c r="U202"/>
  <c r="AA113"/>
  <c r="AA114"/>
  <c r="AA115"/>
  <c r="AA116"/>
  <c r="V119"/>
  <c r="AA119" s="1"/>
  <c r="U119"/>
  <c r="U114"/>
  <c r="U115"/>
  <c r="U116"/>
  <c r="U113"/>
  <c r="W254"/>
  <c r="X254"/>
  <c r="Y254"/>
  <c r="Z254"/>
  <c r="V254"/>
  <c r="AA228"/>
  <c r="AA229"/>
  <c r="AA230"/>
  <c r="AA231"/>
  <c r="AA232"/>
  <c r="AA233"/>
  <c r="AA234"/>
  <c r="AA235"/>
  <c r="AA236"/>
  <c r="AA237"/>
  <c r="AA238"/>
  <c r="AA239"/>
  <c r="AA240"/>
  <c r="AA241"/>
  <c r="AA242"/>
  <c r="AA243"/>
  <c r="AA244"/>
  <c r="AA245"/>
  <c r="AA246"/>
  <c r="AA247"/>
  <c r="AA248"/>
  <c r="AA249"/>
  <c r="AA250"/>
  <c r="AA227"/>
  <c r="U228"/>
  <c r="U229"/>
  <c r="U230"/>
  <c r="U231"/>
  <c r="U232"/>
  <c r="U233"/>
  <c r="U234"/>
  <c r="U235"/>
  <c r="U236"/>
  <c r="U237"/>
  <c r="U238"/>
  <c r="U239"/>
  <c r="U240"/>
  <c r="U241"/>
  <c r="U242"/>
  <c r="U243"/>
  <c r="U244"/>
  <c r="U245"/>
  <c r="U246"/>
  <c r="U247"/>
  <c r="U248"/>
  <c r="U249"/>
  <c r="U250"/>
  <c r="U227"/>
  <c r="AA20"/>
  <c r="AA40"/>
  <c r="AA41"/>
  <c r="AA42"/>
  <c r="AA43"/>
  <c r="AA44"/>
  <c r="AA6"/>
  <c r="AA7"/>
  <c r="AA10"/>
  <c r="AA11"/>
  <c r="AA12"/>
  <c r="AA14"/>
  <c r="AA15"/>
  <c r="AA16"/>
  <c r="AA17"/>
  <c r="AA18"/>
  <c r="AA21"/>
  <c r="AA22"/>
  <c r="AA23"/>
  <c r="AA26"/>
  <c r="AA27"/>
  <c r="AA28"/>
  <c r="AA29"/>
  <c r="AA31"/>
  <c r="AA32"/>
  <c r="AA33"/>
  <c r="AA34"/>
  <c r="AA35"/>
  <c r="AA36"/>
  <c r="AA5"/>
  <c r="W9"/>
  <c r="W8"/>
  <c r="AA8" s="1"/>
  <c r="V13"/>
  <c r="V9"/>
  <c r="S24"/>
  <c r="U24" s="1"/>
  <c r="X46"/>
  <c r="X37"/>
  <c r="X30"/>
  <c r="W45"/>
  <c r="W46"/>
  <c r="W37"/>
  <c r="W30"/>
  <c r="AA30" s="1"/>
  <c r="V46"/>
  <c r="V45"/>
  <c r="V37"/>
  <c r="U41"/>
  <c r="U42"/>
  <c r="U43"/>
  <c r="U44"/>
  <c r="U40"/>
  <c r="U6"/>
  <c r="U7"/>
  <c r="U8"/>
  <c r="U9"/>
  <c r="U10"/>
  <c r="U11"/>
  <c r="U12"/>
  <c r="U13"/>
  <c r="U14"/>
  <c r="U15"/>
  <c r="U16"/>
  <c r="U17"/>
  <c r="U18"/>
  <c r="U19"/>
  <c r="U20"/>
  <c r="U21"/>
  <c r="U22"/>
  <c r="U23"/>
  <c r="U25"/>
  <c r="U26"/>
  <c r="U27"/>
  <c r="U28"/>
  <c r="U29"/>
  <c r="U31"/>
  <c r="U32"/>
  <c r="U33"/>
  <c r="U34"/>
  <c r="U35"/>
  <c r="U36"/>
  <c r="U5"/>
  <c r="T45"/>
  <c r="S37"/>
  <c r="S46"/>
  <c r="S30"/>
  <c r="R37"/>
  <c r="R30"/>
  <c r="Q45"/>
  <c r="P30"/>
  <c r="P37"/>
  <c r="P45"/>
  <c r="P46"/>
  <c r="R46"/>
  <c r="AA154"/>
  <c r="AB154" s="1"/>
  <c r="AA160"/>
  <c r="AB160" s="1"/>
  <c r="AA155"/>
  <c r="AB155" s="1"/>
  <c r="AA159"/>
  <c r="AB159" s="1"/>
  <c r="AA59"/>
  <c r="AA69"/>
  <c r="AA13"/>
  <c r="AA19"/>
  <c r="AA24"/>
  <c r="AA25"/>
  <c r="U37" l="1"/>
  <c r="U71"/>
  <c r="AA9"/>
  <c r="AA75"/>
  <c r="AA45"/>
  <c r="AA93"/>
  <c r="AB93" s="1"/>
  <c r="AA37"/>
  <c r="U63"/>
  <c r="U45"/>
  <c r="AA46"/>
  <c r="U30"/>
  <c r="AA151"/>
  <c r="AB151" s="1"/>
  <c r="AA145"/>
  <c r="AB145" s="1"/>
  <c r="AB92"/>
  <c r="U46"/>
  <c r="AA254"/>
  <c r="AB94"/>
  <c r="AB168"/>
  <c r="AB171"/>
  <c r="AB173"/>
  <c r="AB175"/>
  <c r="AB177"/>
  <c r="AB179"/>
  <c r="AB182"/>
  <c r="AB169"/>
  <c r="AB170"/>
  <c r="AB172"/>
  <c r="AB174"/>
  <c r="AB176"/>
  <c r="AB178"/>
  <c r="AA180"/>
  <c r="AB180" s="1"/>
  <c r="AB181"/>
  <c r="AA72"/>
  <c r="AA58"/>
  <c r="D166" l="1"/>
  <c r="J166"/>
  <c r="O166"/>
  <c r="U166"/>
  <c r="AA166"/>
  <c r="D167"/>
  <c r="J167"/>
  <c r="O167"/>
  <c r="U167"/>
  <c r="AA167"/>
  <c r="CF235"/>
  <c r="CK235"/>
  <c r="CW235"/>
  <c r="DO235"/>
  <c r="EB235" s="1"/>
  <c r="EH235"/>
  <c r="EN235"/>
  <c r="ET235"/>
  <c r="GK235"/>
  <c r="HI235"/>
  <c r="HO235"/>
  <c r="HU235"/>
  <c r="HY235"/>
  <c r="IC235"/>
  <c r="IG235"/>
  <c r="IM235"/>
  <c r="IQ235"/>
  <c r="IW235"/>
  <c r="JC235"/>
  <c r="JJ235"/>
  <c r="JP235"/>
  <c r="JV235"/>
  <c r="KC235"/>
  <c r="KJ235"/>
  <c r="KP235"/>
  <c r="KV235"/>
  <c r="LB235"/>
  <c r="LF235"/>
  <c r="CF236"/>
  <c r="CK236"/>
  <c r="CW236"/>
  <c r="DO236"/>
  <c r="EB236" s="1"/>
  <c r="EH236"/>
  <c r="EN236"/>
  <c r="ET236"/>
  <c r="GK236"/>
  <c r="HI236"/>
  <c r="HO236"/>
  <c r="HU236"/>
  <c r="HY236"/>
  <c r="IC236"/>
  <c r="IG236"/>
  <c r="IM236"/>
  <c r="IQ236"/>
  <c r="IW236"/>
  <c r="JC236"/>
  <c r="JJ236"/>
  <c r="JP236"/>
  <c r="JV236"/>
  <c r="KC236"/>
  <c r="KJ236"/>
  <c r="KP236"/>
  <c r="KV236"/>
  <c r="LB236"/>
  <c r="LF236"/>
  <c r="CF237"/>
  <c r="CK237"/>
  <c r="CW237"/>
  <c r="DO237"/>
  <c r="EB237" s="1"/>
  <c r="EH237"/>
  <c r="EN237"/>
  <c r="ET237"/>
  <c r="GK237"/>
  <c r="HI237"/>
  <c r="HO237"/>
  <c r="HU237"/>
  <c r="HY237"/>
  <c r="IC237"/>
  <c r="IG237"/>
  <c r="IM237"/>
  <c r="IQ237"/>
  <c r="IW237"/>
  <c r="JC237"/>
  <c r="JJ237"/>
  <c r="JP237"/>
  <c r="JV237"/>
  <c r="KC237"/>
  <c r="KJ237"/>
  <c r="KP237"/>
  <c r="KV237"/>
  <c r="LB237"/>
  <c r="LF237"/>
  <c r="CF238"/>
  <c r="CK238"/>
  <c r="CW238"/>
  <c r="DO238"/>
  <c r="EB238" s="1"/>
  <c r="EH238"/>
  <c r="EN238"/>
  <c r="ET238"/>
  <c r="GK238"/>
  <c r="HI238"/>
  <c r="HO238"/>
  <c r="HU238"/>
  <c r="HY238"/>
  <c r="IC238"/>
  <c r="IG238"/>
  <c r="IM238"/>
  <c r="IQ238"/>
  <c r="IW238"/>
  <c r="JC238"/>
  <c r="JJ238"/>
  <c r="JP238"/>
  <c r="JV238"/>
  <c r="KC238"/>
  <c r="KJ238"/>
  <c r="KP238"/>
  <c r="KV238"/>
  <c r="LB238"/>
  <c r="LF238"/>
  <c r="CF239"/>
  <c r="CK239"/>
  <c r="CW239"/>
  <c r="DO239"/>
  <c r="EB239" s="1"/>
  <c r="EH239"/>
  <c r="EN239"/>
  <c r="ET239"/>
  <c r="GK239"/>
  <c r="HI239"/>
  <c r="HO239"/>
  <c r="HU239"/>
  <c r="HY239"/>
  <c r="IC239"/>
  <c r="IG239"/>
  <c r="IM239"/>
  <c r="IQ239"/>
  <c r="IW239"/>
  <c r="JC239"/>
  <c r="JJ239"/>
  <c r="JP239"/>
  <c r="JV239"/>
  <c r="KC239"/>
  <c r="KJ239"/>
  <c r="KP239"/>
  <c r="KV239"/>
  <c r="LB239"/>
  <c r="LF239"/>
  <c r="CF240"/>
  <c r="CK240"/>
  <c r="CW240"/>
  <c r="DO240"/>
  <c r="EB240" s="1"/>
  <c r="EH240"/>
  <c r="EN240"/>
  <c r="ET240"/>
  <c r="GK240"/>
  <c r="HI240"/>
  <c r="HO240"/>
  <c r="HU240"/>
  <c r="HY240"/>
  <c r="IC240"/>
  <c r="IG240"/>
  <c r="IM240"/>
  <c r="IQ240"/>
  <c r="IW240"/>
  <c r="JC240"/>
  <c r="JJ240"/>
  <c r="JP240"/>
  <c r="JV240"/>
  <c r="KC240"/>
  <c r="KJ240"/>
  <c r="KP240"/>
  <c r="KV240"/>
  <c r="LB240"/>
  <c r="LF240"/>
  <c r="CF241"/>
  <c r="CK241"/>
  <c r="CW241"/>
  <c r="DO241"/>
  <c r="EB241" s="1"/>
  <c r="EH241"/>
  <c r="EN241"/>
  <c r="ET241"/>
  <c r="GK241"/>
  <c r="HI241"/>
  <c r="HO241"/>
  <c r="HU241"/>
  <c r="HY241"/>
  <c r="IC241"/>
  <c r="IG241"/>
  <c r="IM241"/>
  <c r="IQ241"/>
  <c r="IW241"/>
  <c r="JC241"/>
  <c r="JJ241"/>
  <c r="JP241"/>
  <c r="JV241"/>
  <c r="KC241"/>
  <c r="KJ241"/>
  <c r="KP241"/>
  <c r="KV241"/>
  <c r="LB241"/>
  <c r="LF241"/>
  <c r="CF242"/>
  <c r="CK242"/>
  <c r="CW242"/>
  <c r="DO242"/>
  <c r="EB242" s="1"/>
  <c r="EH242"/>
  <c r="EN242"/>
  <c r="ET242"/>
  <c r="GK242"/>
  <c r="HI242"/>
  <c r="HO242"/>
  <c r="HU242"/>
  <c r="HY242"/>
  <c r="IC242"/>
  <c r="IG242"/>
  <c r="IM242"/>
  <c r="IQ242"/>
  <c r="IW242"/>
  <c r="JC242"/>
  <c r="JJ242"/>
  <c r="JP242"/>
  <c r="JV242"/>
  <c r="KC242"/>
  <c r="KJ242"/>
  <c r="KP242"/>
  <c r="KV242"/>
  <c r="LB242"/>
  <c r="LF242"/>
  <c r="CF243"/>
  <c r="CK243"/>
  <c r="CW243"/>
  <c r="DO243"/>
  <c r="EB243" s="1"/>
  <c r="EH243"/>
  <c r="EN243"/>
  <c r="ET243"/>
  <c r="GK243"/>
  <c r="HI243"/>
  <c r="HO243"/>
  <c r="HU243"/>
  <c r="HY243"/>
  <c r="IC243"/>
  <c r="IG243"/>
  <c r="IM243"/>
  <c r="IQ243"/>
  <c r="IW243"/>
  <c r="JC243"/>
  <c r="JJ243"/>
  <c r="JP243"/>
  <c r="JV243"/>
  <c r="KC243"/>
  <c r="KJ243"/>
  <c r="KP243"/>
  <c r="KV243"/>
  <c r="LB243"/>
  <c r="LF243"/>
  <c r="CF244"/>
  <c r="CK244"/>
  <c r="CW244"/>
  <c r="DO244"/>
  <c r="EB244" s="1"/>
  <c r="EH244"/>
  <c r="EN244"/>
  <c r="ET244"/>
  <c r="GK244"/>
  <c r="HI244"/>
  <c r="HO244"/>
  <c r="HU244"/>
  <c r="HY244"/>
  <c r="IC244"/>
  <c r="IG244"/>
  <c r="IM244"/>
  <c r="IQ244"/>
  <c r="IW244"/>
  <c r="JC244"/>
  <c r="JJ244"/>
  <c r="JP244"/>
  <c r="JV244"/>
  <c r="KC244"/>
  <c r="KJ244"/>
  <c r="KP244"/>
  <c r="KV244"/>
  <c r="LB244"/>
  <c r="LF244"/>
  <c r="CF245"/>
  <c r="CK245"/>
  <c r="CW245"/>
  <c r="DO245"/>
  <c r="EB245" s="1"/>
  <c r="EH245"/>
  <c r="EN245"/>
  <c r="ET245"/>
  <c r="GK245"/>
  <c r="HI245"/>
  <c r="HO245"/>
  <c r="HU245"/>
  <c r="HY245"/>
  <c r="IC245"/>
  <c r="IG245"/>
  <c r="IM245"/>
  <c r="IQ245"/>
  <c r="IW245"/>
  <c r="JC245"/>
  <c r="JJ245"/>
  <c r="JP245"/>
  <c r="JV245"/>
  <c r="KC245"/>
  <c r="KJ245"/>
  <c r="KP245"/>
  <c r="KV245"/>
  <c r="LB245"/>
  <c r="LF245"/>
  <c r="CF246"/>
  <c r="CK246"/>
  <c r="CW246"/>
  <c r="DO246"/>
  <c r="EB246" s="1"/>
  <c r="EH246"/>
  <c r="EN246"/>
  <c r="ET246"/>
  <c r="GK246"/>
  <c r="HI246"/>
  <c r="HO246"/>
  <c r="HU246"/>
  <c r="HY246"/>
  <c r="IC246"/>
  <c r="IG246"/>
  <c r="IM246"/>
  <c r="IQ246"/>
  <c r="IW246"/>
  <c r="JC246"/>
  <c r="JJ246"/>
  <c r="JP246"/>
  <c r="JV246"/>
  <c r="KC246"/>
  <c r="KJ246"/>
  <c r="KP246"/>
  <c r="KV246"/>
  <c r="LB246"/>
  <c r="LF246"/>
  <c r="CF247"/>
  <c r="CK247"/>
  <c r="CW247"/>
  <c r="DO247"/>
  <c r="EB247" s="1"/>
  <c r="EH247"/>
  <c r="EN247"/>
  <c r="ET247"/>
  <c r="GK247"/>
  <c r="HI247"/>
  <c r="HO247"/>
  <c r="HU247"/>
  <c r="HY247"/>
  <c r="IC247"/>
  <c r="IG247"/>
  <c r="IM247"/>
  <c r="IQ247"/>
  <c r="IW247"/>
  <c r="JC247"/>
  <c r="JJ247"/>
  <c r="JP247"/>
  <c r="JV247"/>
  <c r="KC247"/>
  <c r="KJ247"/>
  <c r="KP247"/>
  <c r="KV247"/>
  <c r="LB247"/>
  <c r="LF247"/>
  <c r="CF248"/>
  <c r="CK248"/>
  <c r="CW248"/>
  <c r="DO248"/>
  <c r="EB248" s="1"/>
  <c r="EH248"/>
  <c r="EN248"/>
  <c r="ET248"/>
  <c r="GK248"/>
  <c r="HI248"/>
  <c r="HO248"/>
  <c r="HU248"/>
  <c r="HY248"/>
  <c r="IC248"/>
  <c r="IG248"/>
  <c r="IM248"/>
  <c r="IQ248"/>
  <c r="IW248"/>
  <c r="JC248"/>
  <c r="JJ248"/>
  <c r="JP248"/>
  <c r="JV248"/>
  <c r="KC248"/>
  <c r="KJ248"/>
  <c r="KP248"/>
  <c r="KV248"/>
  <c r="LB248"/>
  <c r="LF248"/>
  <c r="CF249"/>
  <c r="CK249"/>
  <c r="CW249"/>
  <c r="DO249"/>
  <c r="EB249" s="1"/>
  <c r="EH249"/>
  <c r="EN249"/>
  <c r="ET249"/>
  <c r="GK249"/>
  <c r="HI249"/>
  <c r="HO249"/>
  <c r="HU249"/>
  <c r="HY249"/>
  <c r="IC249"/>
  <c r="IG249"/>
  <c r="IM249"/>
  <c r="IQ249"/>
  <c r="IW249"/>
  <c r="JC249"/>
  <c r="JJ249"/>
  <c r="JP249"/>
  <c r="JV249"/>
  <c r="KC249"/>
  <c r="KJ249"/>
  <c r="KP249"/>
  <c r="KV249"/>
  <c r="LB249"/>
  <c r="LF249"/>
  <c r="CF250"/>
  <c r="CK250"/>
  <c r="CW250"/>
  <c r="DO250"/>
  <c r="EB250" s="1"/>
  <c r="EH250"/>
  <c r="EN250"/>
  <c r="ET250"/>
  <c r="GK250"/>
  <c r="HC250"/>
  <c r="HI250"/>
  <c r="HO250"/>
  <c r="HU250"/>
  <c r="HY250"/>
  <c r="IC250"/>
  <c r="IG250"/>
  <c r="IM250"/>
  <c r="IQ250"/>
  <c r="IW250"/>
  <c r="JC250"/>
  <c r="JJ250"/>
  <c r="JP250"/>
  <c r="JV250"/>
  <c r="KC250"/>
  <c r="KJ250"/>
  <c r="KP250"/>
  <c r="KV250"/>
  <c r="LB250"/>
  <c r="LF250"/>
  <c r="F20" i="11"/>
  <c r="F72" s="1"/>
  <c r="M20"/>
  <c r="G20"/>
  <c r="F20" i="9"/>
  <c r="F22"/>
  <c r="F23"/>
  <c r="F24"/>
  <c r="F26"/>
  <c r="F27"/>
  <c r="F29"/>
  <c r="F30"/>
  <c r="F31"/>
  <c r="F33"/>
  <c r="F34"/>
  <c r="F36"/>
  <c r="F37"/>
  <c r="F39"/>
  <c r="F40"/>
  <c r="F41"/>
  <c r="F43"/>
  <c r="F44"/>
  <c r="F46"/>
  <c r="F47"/>
  <c r="F48"/>
  <c r="F50"/>
  <c r="F51"/>
  <c r="E8"/>
  <c r="D8"/>
  <c r="F7"/>
  <c r="E6"/>
  <c r="D6"/>
  <c r="F5"/>
  <c r="F19"/>
  <c r="E18"/>
  <c r="D18"/>
  <c r="F17"/>
  <c r="F16"/>
  <c r="CB76" i="17" l="1"/>
  <c r="DC240"/>
  <c r="FC235"/>
  <c r="DC248"/>
  <c r="DC235"/>
  <c r="F18" i="9"/>
  <c r="LG248" i="17"/>
  <c r="DC250"/>
  <c r="F73" i="11"/>
  <c r="ID241" i="17"/>
  <c r="JD241"/>
  <c r="HD241"/>
  <c r="ID245"/>
  <c r="LG244"/>
  <c r="JD239"/>
  <c r="HD239"/>
  <c r="KD238"/>
  <c r="JD245"/>
  <c r="HD245"/>
  <c r="KD244"/>
  <c r="ID239"/>
  <c r="LG238"/>
  <c r="JD247"/>
  <c r="HD247"/>
  <c r="KD246"/>
  <c r="DC244"/>
  <c r="ID243"/>
  <c r="LG242"/>
  <c r="JD237"/>
  <c r="HD237"/>
  <c r="KD236"/>
  <c r="LG250"/>
  <c r="ID247"/>
  <c r="LG246"/>
  <c r="JD243"/>
  <c r="HD243"/>
  <c r="KD242"/>
  <c r="FC240"/>
  <c r="DC238"/>
  <c r="ID237"/>
  <c r="LG236"/>
  <c r="ID249"/>
  <c r="KD240"/>
  <c r="AB166"/>
  <c r="KD250"/>
  <c r="FC250"/>
  <c r="JD249"/>
  <c r="HD249"/>
  <c r="FC249"/>
  <c r="KD248"/>
  <c r="FC248"/>
  <c r="DC246"/>
  <c r="DC242"/>
  <c r="LG240"/>
  <c r="DC236"/>
  <c r="AB167"/>
  <c r="JD235"/>
  <c r="FC247"/>
  <c r="FC246"/>
  <c r="FC245"/>
  <c r="FC244"/>
  <c r="FC243"/>
  <c r="FC242"/>
  <c r="FC241"/>
  <c r="FC239"/>
  <c r="FC238"/>
  <c r="FC237"/>
  <c r="FC236"/>
  <c r="LG235"/>
  <c r="ID235"/>
  <c r="ID248"/>
  <c r="JD250"/>
  <c r="HD250"/>
  <c r="LG249"/>
  <c r="DC249"/>
  <c r="JD248"/>
  <c r="HD248"/>
  <c r="LG247"/>
  <c r="DC247"/>
  <c r="JD246"/>
  <c r="HD246"/>
  <c r="LG245"/>
  <c r="DC245"/>
  <c r="JD244"/>
  <c r="HD244"/>
  <c r="LG243"/>
  <c r="DC243"/>
  <c r="JD242"/>
  <c r="HD242"/>
  <c r="LG241"/>
  <c r="DC241"/>
  <c r="JD240"/>
  <c r="HD240"/>
  <c r="LG239"/>
  <c r="DC239"/>
  <c r="JD238"/>
  <c r="HD238"/>
  <c r="LG237"/>
  <c r="DC237"/>
  <c r="JD236"/>
  <c r="HD236"/>
  <c r="KD235"/>
  <c r="HD235"/>
  <c r="ID250"/>
  <c r="KD249"/>
  <c r="KD247"/>
  <c r="ID246"/>
  <c r="KD245"/>
  <c r="ID244"/>
  <c r="KD243"/>
  <c r="ID242"/>
  <c r="KD241"/>
  <c r="ID240"/>
  <c r="KD239"/>
  <c r="ID238"/>
  <c r="KD237"/>
  <c r="ID236"/>
  <c r="N75"/>
  <c r="N68"/>
  <c r="M59" l="1"/>
  <c r="M73"/>
  <c r="O73" s="1"/>
  <c r="L59"/>
  <c r="L76"/>
  <c r="O76" s="1"/>
  <c r="O56"/>
  <c r="O57"/>
  <c r="O61"/>
  <c r="O63"/>
  <c r="J57"/>
  <c r="J58"/>
  <c r="J59"/>
  <c r="J61"/>
  <c r="J62"/>
  <c r="J64"/>
  <c r="D56"/>
  <c r="D57"/>
  <c r="D58"/>
  <c r="D59"/>
  <c r="D60"/>
  <c r="D61"/>
  <c r="L60"/>
  <c r="K62"/>
  <c r="O62" s="1"/>
  <c r="K58"/>
  <c r="O58" s="1"/>
  <c r="I70"/>
  <c r="H73"/>
  <c r="J73" s="1"/>
  <c r="H60"/>
  <c r="O64"/>
  <c r="O65"/>
  <c r="O66"/>
  <c r="O67"/>
  <c r="O68"/>
  <c r="O69"/>
  <c r="O70"/>
  <c r="O71"/>
  <c r="O72"/>
  <c r="O74"/>
  <c r="O75"/>
  <c r="O77"/>
  <c r="O79"/>
  <c r="O80"/>
  <c r="O81"/>
  <c r="O82"/>
  <c r="O83"/>
  <c r="J67"/>
  <c r="J68"/>
  <c r="J69"/>
  <c r="J70"/>
  <c r="J71"/>
  <c r="J72"/>
  <c r="J74"/>
  <c r="J75"/>
  <c r="J76"/>
  <c r="J77"/>
  <c r="J79"/>
  <c r="J81"/>
  <c r="J82"/>
  <c r="J83"/>
  <c r="J84"/>
  <c r="J85"/>
  <c r="D68"/>
  <c r="D69"/>
  <c r="D70"/>
  <c r="D71"/>
  <c r="D72"/>
  <c r="D75"/>
  <c r="D76"/>
  <c r="D77"/>
  <c r="D79"/>
  <c r="D80"/>
  <c r="D81"/>
  <c r="D82"/>
  <c r="D83"/>
  <c r="G63"/>
  <c r="J63" s="1"/>
  <c r="F60"/>
  <c r="C73"/>
  <c r="D73" s="1"/>
  <c r="C74"/>
  <c r="D74" s="1"/>
  <c r="I80"/>
  <c r="J80" s="1"/>
  <c r="G55"/>
  <c r="J56"/>
  <c r="J65"/>
  <c r="J66"/>
  <c r="J86"/>
  <c r="J87"/>
  <c r="D62"/>
  <c r="D63"/>
  <c r="D64"/>
  <c r="D65"/>
  <c r="D66"/>
  <c r="D67"/>
  <c r="D84"/>
  <c r="D85"/>
  <c r="D86"/>
  <c r="D87"/>
  <c r="O102"/>
  <c r="O104"/>
  <c r="O105"/>
  <c r="J104"/>
  <c r="J105"/>
  <c r="J106"/>
  <c r="J99"/>
  <c r="J100"/>
  <c r="J101"/>
  <c r="J102"/>
  <c r="D102"/>
  <c r="D104"/>
  <c r="D105"/>
  <c r="O84"/>
  <c r="O85"/>
  <c r="O86"/>
  <c r="O87"/>
  <c r="O88"/>
  <c r="O89"/>
  <c r="O90"/>
  <c r="O91"/>
  <c r="AB91" s="1"/>
  <c r="O95"/>
  <c r="O96"/>
  <c r="O54"/>
  <c r="J88"/>
  <c r="J89"/>
  <c r="J90"/>
  <c r="J95"/>
  <c r="J96"/>
  <c r="J54"/>
  <c r="D88"/>
  <c r="D89"/>
  <c r="D90"/>
  <c r="D95"/>
  <c r="D96"/>
  <c r="AB57" l="1"/>
  <c r="J60"/>
  <c r="AB86"/>
  <c r="AB84"/>
  <c r="AB56"/>
  <c r="O59"/>
  <c r="AB59" s="1"/>
  <c r="AB80"/>
  <c r="AB85"/>
  <c r="L53"/>
  <c r="AB87"/>
  <c r="AB79"/>
  <c r="AB89"/>
  <c r="AB83"/>
  <c r="AB81"/>
  <c r="AB76"/>
  <c r="AB70"/>
  <c r="AB66"/>
  <c r="AB64"/>
  <c r="AB95"/>
  <c r="AB88"/>
  <c r="AB82"/>
  <c r="AB77"/>
  <c r="AB67"/>
  <c r="AB65"/>
  <c r="AB61"/>
  <c r="AB90"/>
  <c r="AB102"/>
  <c r="AB104"/>
  <c r="AB74"/>
  <c r="AB62"/>
  <c r="AB69"/>
  <c r="O60"/>
  <c r="AB96"/>
  <c r="AB60" l="1"/>
  <c r="L226" l="1"/>
  <c r="M226"/>
  <c r="L126"/>
  <c r="L132"/>
  <c r="J205"/>
  <c r="J200"/>
  <c r="J201"/>
  <c r="J202"/>
  <c r="J199"/>
  <c r="O214"/>
  <c r="O215"/>
  <c r="O216"/>
  <c r="O200"/>
  <c r="O201"/>
  <c r="O202"/>
  <c r="O199"/>
  <c r="O213"/>
  <c r="L204"/>
  <c r="L198"/>
  <c r="L218"/>
  <c r="L212"/>
  <c r="O128"/>
  <c r="O129"/>
  <c r="O130"/>
  <c r="O133"/>
  <c r="O127"/>
  <c r="J133"/>
  <c r="J128"/>
  <c r="J129"/>
  <c r="J130"/>
  <c r="J127"/>
  <c r="D133"/>
  <c r="D128"/>
  <c r="D129"/>
  <c r="D130"/>
  <c r="D127"/>
  <c r="L252"/>
  <c r="O231"/>
  <c r="O232"/>
  <c r="O233"/>
  <c r="O234"/>
  <c r="O235"/>
  <c r="O236"/>
  <c r="O237"/>
  <c r="O238"/>
  <c r="O239"/>
  <c r="O240"/>
  <c r="O241"/>
  <c r="O242"/>
  <c r="O243"/>
  <c r="O244"/>
  <c r="O245"/>
  <c r="N246"/>
  <c r="J235"/>
  <c r="J236"/>
  <c r="J237"/>
  <c r="J238"/>
  <c r="J239"/>
  <c r="J240"/>
  <c r="J241"/>
  <c r="J242"/>
  <c r="J243"/>
  <c r="J244"/>
  <c r="J245"/>
  <c r="J246"/>
  <c r="J247"/>
  <c r="J248"/>
  <c r="D233"/>
  <c r="D234"/>
  <c r="D235"/>
  <c r="D236"/>
  <c r="D237"/>
  <c r="D238"/>
  <c r="D239"/>
  <c r="D240"/>
  <c r="D241"/>
  <c r="D242"/>
  <c r="D243"/>
  <c r="D244"/>
  <c r="D245"/>
  <c r="D246"/>
  <c r="D247"/>
  <c r="D248"/>
  <c r="D249"/>
  <c r="D250"/>
  <c r="W189"/>
  <c r="L189"/>
  <c r="E189"/>
  <c r="AS189"/>
  <c r="AW189"/>
  <c r="BB189"/>
  <c r="CM189"/>
  <c r="CN189"/>
  <c r="CZ189"/>
  <c r="GH189"/>
  <c r="GI189"/>
  <c r="GJ189"/>
  <c r="HH189"/>
  <c r="HE189"/>
  <c r="LF214"/>
  <c r="LF215"/>
  <c r="LF216"/>
  <c r="LF213"/>
  <c r="LF205"/>
  <c r="LF200"/>
  <c r="LF201"/>
  <c r="LF202"/>
  <c r="LF199"/>
  <c r="LF133"/>
  <c r="LF128"/>
  <c r="LF129"/>
  <c r="LF130"/>
  <c r="LF127"/>
  <c r="LF119"/>
  <c r="LF114"/>
  <c r="LF115"/>
  <c r="LF116"/>
  <c r="LF113"/>
  <c r="Q103"/>
  <c r="R103"/>
  <c r="S103"/>
  <c r="T103"/>
  <c r="P103"/>
  <c r="BI103"/>
  <c r="BT103"/>
  <c r="CI103"/>
  <c r="CS103"/>
  <c r="DZ103"/>
  <c r="DY103"/>
  <c r="GI103"/>
  <c r="HH103"/>
  <c r="IK103"/>
  <c r="LF99"/>
  <c r="LF54"/>
  <c r="LF228"/>
  <c r="LF229"/>
  <c r="LF230"/>
  <c r="LF231"/>
  <c r="LF232"/>
  <c r="LF233"/>
  <c r="LF234"/>
  <c r="LF227"/>
  <c r="LG22"/>
  <c r="LG23"/>
  <c r="LG29"/>
  <c r="LG31"/>
  <c r="LG32"/>
  <c r="LG33"/>
  <c r="LG34"/>
  <c r="LG35"/>
  <c r="LG36"/>
  <c r="LG37"/>
  <c r="JD37"/>
  <c r="ID8"/>
  <c r="ID22"/>
  <c r="ID23"/>
  <c r="ID29"/>
  <c r="ID31"/>
  <c r="ID32"/>
  <c r="ID33"/>
  <c r="ID34"/>
  <c r="ID35"/>
  <c r="ID36"/>
  <c r="ID37"/>
  <c r="HD8"/>
  <c r="HD22"/>
  <c r="HD23"/>
  <c r="HD29"/>
  <c r="HD31"/>
  <c r="HD32"/>
  <c r="HD33"/>
  <c r="HD34"/>
  <c r="HD35"/>
  <c r="HD36"/>
  <c r="HD37"/>
  <c r="FC8"/>
  <c r="FC22"/>
  <c r="FC23"/>
  <c r="FC29"/>
  <c r="FC31"/>
  <c r="FC32"/>
  <c r="FC33"/>
  <c r="FC34"/>
  <c r="FC35"/>
  <c r="FC36"/>
  <c r="FC37"/>
  <c r="EB8"/>
  <c r="EB22"/>
  <c r="EB23"/>
  <c r="EB29"/>
  <c r="EB31"/>
  <c r="EB32"/>
  <c r="EB33"/>
  <c r="EB34"/>
  <c r="EB35"/>
  <c r="EB36"/>
  <c r="EB37"/>
  <c r="DC8"/>
  <c r="DC22"/>
  <c r="DC23"/>
  <c r="DC29"/>
  <c r="DC31"/>
  <c r="DC32"/>
  <c r="DC33"/>
  <c r="DC34"/>
  <c r="DC35"/>
  <c r="DC36"/>
  <c r="DC37"/>
  <c r="LG42"/>
  <c r="LG43"/>
  <c r="KD42"/>
  <c r="ID42"/>
  <c r="ID43"/>
  <c r="ID46"/>
  <c r="HD42"/>
  <c r="HD43"/>
  <c r="HD46"/>
  <c r="FC42"/>
  <c r="FC43"/>
  <c r="FC46"/>
  <c r="EB42"/>
  <c r="EB43"/>
  <c r="EB46"/>
  <c r="DC42"/>
  <c r="DC43"/>
  <c r="DC46"/>
  <c r="CB42"/>
  <c r="CB43"/>
  <c r="CB46"/>
  <c r="BA42"/>
  <c r="BA43"/>
  <c r="BA46"/>
  <c r="CB8"/>
  <c r="CB22"/>
  <c r="CB23"/>
  <c r="CB29"/>
  <c r="CB31"/>
  <c r="CB32"/>
  <c r="CB33"/>
  <c r="CB34"/>
  <c r="CB35"/>
  <c r="CB36"/>
  <c r="CB37"/>
  <c r="BA7"/>
  <c r="BA8"/>
  <c r="BA22"/>
  <c r="BA23"/>
  <c r="BA29"/>
  <c r="BA31"/>
  <c r="BA32"/>
  <c r="BA33"/>
  <c r="BA34"/>
  <c r="BA35"/>
  <c r="BA36"/>
  <c r="BA37"/>
  <c r="L207" l="1"/>
  <c r="L135"/>
  <c r="U103"/>
  <c r="AB244"/>
  <c r="AB240"/>
  <c r="L221"/>
  <c r="AB239"/>
  <c r="AB237"/>
  <c r="AB235"/>
  <c r="AB245"/>
  <c r="AB248"/>
  <c r="AB243"/>
  <c r="AB241"/>
  <c r="AB238"/>
  <c r="AB236"/>
  <c r="AB127"/>
  <c r="AB130"/>
  <c r="AB128"/>
  <c r="L256"/>
  <c r="AB242"/>
  <c r="AB133"/>
  <c r="AB129"/>
  <c r="L11" l="1"/>
  <c r="K13"/>
  <c r="I23"/>
  <c r="J23" s="1"/>
  <c r="C8"/>
  <c r="O14"/>
  <c r="O15"/>
  <c r="O16"/>
  <c r="O17"/>
  <c r="O18"/>
  <c r="O19"/>
  <c r="O20"/>
  <c r="O21"/>
  <c r="O22"/>
  <c r="O23"/>
  <c r="O24"/>
  <c r="O25"/>
  <c r="O26"/>
  <c r="O27"/>
  <c r="O28"/>
  <c r="O29"/>
  <c r="O31"/>
  <c r="J14"/>
  <c r="J15"/>
  <c r="J16"/>
  <c r="J17"/>
  <c r="J18"/>
  <c r="J19"/>
  <c r="J20"/>
  <c r="J21"/>
  <c r="J22"/>
  <c r="J24"/>
  <c r="J25"/>
  <c r="J26"/>
  <c r="J27"/>
  <c r="J28"/>
  <c r="D14"/>
  <c r="D15"/>
  <c r="D16"/>
  <c r="D17"/>
  <c r="D18"/>
  <c r="D19"/>
  <c r="D20"/>
  <c r="D21"/>
  <c r="D22"/>
  <c r="D23"/>
  <c r="D24"/>
  <c r="D25"/>
  <c r="D26"/>
  <c r="D27"/>
  <c r="D28"/>
  <c r="D29"/>
  <c r="D31"/>
  <c r="D32"/>
  <c r="O32"/>
  <c r="O33"/>
  <c r="O34"/>
  <c r="O35"/>
  <c r="J29"/>
  <c r="J31"/>
  <c r="J32"/>
  <c r="J33"/>
  <c r="J34"/>
  <c r="J35"/>
  <c r="D33"/>
  <c r="D34"/>
  <c r="N37"/>
  <c r="N30"/>
  <c r="M37"/>
  <c r="M30"/>
  <c r="M46"/>
  <c r="M45"/>
  <c r="L46"/>
  <c r="L39" s="1"/>
  <c r="L37"/>
  <c r="L30"/>
  <c r="O41"/>
  <c r="O42"/>
  <c r="O43"/>
  <c r="O44"/>
  <c r="O45"/>
  <c r="K46"/>
  <c r="K39" s="1"/>
  <c r="K37"/>
  <c r="K30"/>
  <c r="O36"/>
  <c r="J36"/>
  <c r="D35"/>
  <c r="D36"/>
  <c r="I45"/>
  <c r="I39" s="1"/>
  <c r="I30"/>
  <c r="I37"/>
  <c r="H46"/>
  <c r="J46" s="1"/>
  <c r="H45"/>
  <c r="G37"/>
  <c r="G30"/>
  <c r="F45"/>
  <c r="F39" s="1"/>
  <c r="E37"/>
  <c r="E4" s="1"/>
  <c r="F4"/>
  <c r="H4"/>
  <c r="P4"/>
  <c r="Q4"/>
  <c r="R4"/>
  <c r="S4"/>
  <c r="T4"/>
  <c r="V4"/>
  <c r="W4"/>
  <c r="X4"/>
  <c r="Y4"/>
  <c r="Z4"/>
  <c r="E39"/>
  <c r="G39"/>
  <c r="H39"/>
  <c r="N39"/>
  <c r="P39"/>
  <c r="Q39"/>
  <c r="R39"/>
  <c r="S39"/>
  <c r="T39"/>
  <c r="V39"/>
  <c r="W39"/>
  <c r="X39"/>
  <c r="Y39"/>
  <c r="Z39"/>
  <c r="J41"/>
  <c r="J42"/>
  <c r="J43"/>
  <c r="J44"/>
  <c r="D41"/>
  <c r="AB41" s="1"/>
  <c r="D42"/>
  <c r="D43"/>
  <c r="D44"/>
  <c r="C46"/>
  <c r="D46" s="1"/>
  <c r="C45"/>
  <c r="C37"/>
  <c r="D37" s="1"/>
  <c r="D30"/>
  <c r="D9"/>
  <c r="D10"/>
  <c r="D11"/>
  <c r="D12"/>
  <c r="D13"/>
  <c r="LF41"/>
  <c r="LF44"/>
  <c r="LF45"/>
  <c r="LF40"/>
  <c r="LF6"/>
  <c r="LF7"/>
  <c r="LF8"/>
  <c r="LF9"/>
  <c r="LF10"/>
  <c r="LF11"/>
  <c r="LF12"/>
  <c r="LF13"/>
  <c r="LF14"/>
  <c r="LF15"/>
  <c r="LF16"/>
  <c r="LF17"/>
  <c r="LF18"/>
  <c r="LF19"/>
  <c r="LF20"/>
  <c r="LF21"/>
  <c r="LF24"/>
  <c r="LF25"/>
  <c r="LF26"/>
  <c r="LF27"/>
  <c r="LF28"/>
  <c r="LF30"/>
  <c r="LF5"/>
  <c r="O8"/>
  <c r="O9"/>
  <c r="O10"/>
  <c r="O12"/>
  <c r="J8"/>
  <c r="J9"/>
  <c r="J10"/>
  <c r="J11"/>
  <c r="J12"/>
  <c r="J13"/>
  <c r="D7"/>
  <c r="D8"/>
  <c r="V103"/>
  <c r="N103"/>
  <c r="K103"/>
  <c r="C53"/>
  <c r="C103"/>
  <c r="C112"/>
  <c r="C118"/>
  <c r="C126"/>
  <c r="C132"/>
  <c r="C140"/>
  <c r="C185"/>
  <c r="C198"/>
  <c r="C204"/>
  <c r="C212"/>
  <c r="C218"/>
  <c r="C226"/>
  <c r="C252"/>
  <c r="D5"/>
  <c r="D6"/>
  <c r="D40"/>
  <c r="O5"/>
  <c r="O6"/>
  <c r="O7"/>
  <c r="J5"/>
  <c r="J6"/>
  <c r="J7"/>
  <c r="G4" l="1"/>
  <c r="J30"/>
  <c r="I4"/>
  <c r="O37"/>
  <c r="AB19"/>
  <c r="N4"/>
  <c r="L4"/>
  <c r="L48" s="1"/>
  <c r="L103"/>
  <c r="L98" s="1"/>
  <c r="L107" s="1"/>
  <c r="O11"/>
  <c r="AB11" s="1"/>
  <c r="O30"/>
  <c r="AB30" s="1"/>
  <c r="C256"/>
  <c r="C258" s="1"/>
  <c r="O46"/>
  <c r="AB46" s="1"/>
  <c r="M39"/>
  <c r="C39"/>
  <c r="AB42"/>
  <c r="M4"/>
  <c r="J45"/>
  <c r="AB43"/>
  <c r="K4"/>
  <c r="J37"/>
  <c r="AB37" s="1"/>
  <c r="AB28"/>
  <c r="C98"/>
  <c r="C107" s="1"/>
  <c r="C264" s="1"/>
  <c r="D103"/>
  <c r="C221"/>
  <c r="C223" s="1"/>
  <c r="C207"/>
  <c r="C275" s="1"/>
  <c r="C135"/>
  <c r="C280" s="1"/>
  <c r="C121"/>
  <c r="C123" s="1"/>
  <c r="AB21"/>
  <c r="AB29"/>
  <c r="AB18"/>
  <c r="C193"/>
  <c r="C266" s="1"/>
  <c r="AB27"/>
  <c r="AB23"/>
  <c r="AB22"/>
  <c r="D45"/>
  <c r="D39" s="1"/>
  <c r="C4"/>
  <c r="C48" s="1"/>
  <c r="C50" s="1"/>
  <c r="AB34"/>
  <c r="AB32"/>
  <c r="D4"/>
  <c r="AB33"/>
  <c r="AB36"/>
  <c r="AB31"/>
  <c r="AB35"/>
  <c r="AB12"/>
  <c r="AB7"/>
  <c r="C282"/>
  <c r="AB5"/>
  <c r="C209" l="1"/>
  <c r="C195"/>
  <c r="L260"/>
  <c r="C262"/>
  <c r="C268"/>
  <c r="C137"/>
  <c r="C273"/>
  <c r="C109"/>
  <c r="C260"/>
  <c r="E103"/>
  <c r="F103"/>
  <c r="G103"/>
  <c r="H103"/>
  <c r="I103"/>
  <c r="M103"/>
  <c r="O103" s="1"/>
  <c r="K189"/>
  <c r="M189"/>
  <c r="N189"/>
  <c r="F189"/>
  <c r="G189"/>
  <c r="H189"/>
  <c r="I189"/>
  <c r="AB71"/>
  <c r="AB75"/>
  <c r="AB68"/>
  <c r="AB63"/>
  <c r="AB72"/>
  <c r="AB24"/>
  <c r="AB25"/>
  <c r="AB26"/>
  <c r="AB10"/>
  <c r="AB20"/>
  <c r="O189" l="1"/>
  <c r="AB58"/>
  <c r="AB73"/>
  <c r="AB8"/>
  <c r="AA4"/>
  <c r="U4"/>
  <c r="AB9"/>
  <c r="G19" i="11"/>
  <c r="F19"/>
  <c r="M19"/>
  <c r="D28" i="28"/>
  <c r="F28"/>
  <c r="F29"/>
  <c r="F30"/>
  <c r="D29"/>
  <c r="M15" i="11"/>
  <c r="M16"/>
  <c r="M17"/>
  <c r="M18"/>
  <c r="F15"/>
  <c r="G16"/>
  <c r="F16"/>
  <c r="F17"/>
  <c r="F18"/>
  <c r="BA56" i="17"/>
  <c r="LB99"/>
  <c r="LB54"/>
  <c r="LB228"/>
  <c r="LB229"/>
  <c r="LB230"/>
  <c r="LB231"/>
  <c r="LB232"/>
  <c r="LB233"/>
  <c r="LB234"/>
  <c r="LB227"/>
  <c r="LB219"/>
  <c r="LB214"/>
  <c r="LB215"/>
  <c r="LB216"/>
  <c r="LB213"/>
  <c r="LB205"/>
  <c r="LB200"/>
  <c r="LB201"/>
  <c r="LB202"/>
  <c r="LB199"/>
  <c r="LB133"/>
  <c r="LB128"/>
  <c r="LB129"/>
  <c r="LB130"/>
  <c r="LB127"/>
  <c r="LB119"/>
  <c r="LB114"/>
  <c r="LB115"/>
  <c r="LB116"/>
  <c r="LB113"/>
  <c r="LB41"/>
  <c r="LB44"/>
  <c r="LB45"/>
  <c r="LB40"/>
  <c r="LB6"/>
  <c r="LB7"/>
  <c r="LB9"/>
  <c r="LB10"/>
  <c r="LB11"/>
  <c r="LB12"/>
  <c r="LB13"/>
  <c r="LB14"/>
  <c r="LB15"/>
  <c r="LB16"/>
  <c r="LB17"/>
  <c r="LB18"/>
  <c r="LB19"/>
  <c r="LB20"/>
  <c r="LB21"/>
  <c r="LB24"/>
  <c r="LB25"/>
  <c r="LB26"/>
  <c r="LB27"/>
  <c r="LB28"/>
  <c r="LB30"/>
  <c r="LB5"/>
  <c r="G15" i="11"/>
  <c r="G78" l="1"/>
  <c r="H78"/>
  <c r="K11" i="27"/>
  <c r="KV54" i="17"/>
  <c r="KV99"/>
  <c r="KV119"/>
  <c r="KV114"/>
  <c r="KV115"/>
  <c r="KV116"/>
  <c r="KV113"/>
  <c r="KV133"/>
  <c r="KV128"/>
  <c r="KV129"/>
  <c r="KV130"/>
  <c r="KV127"/>
  <c r="KV205"/>
  <c r="KV200"/>
  <c r="KV201"/>
  <c r="KV202"/>
  <c r="KV199"/>
  <c r="KP219"/>
  <c r="KP214"/>
  <c r="KP215"/>
  <c r="KP216"/>
  <c r="KP213"/>
  <c r="KV219"/>
  <c r="KV214"/>
  <c r="KV215"/>
  <c r="KV216"/>
  <c r="KV213"/>
  <c r="KV228"/>
  <c r="KV229"/>
  <c r="KV230"/>
  <c r="KV231"/>
  <c r="KV232"/>
  <c r="KV233"/>
  <c r="KV234"/>
  <c r="KV227"/>
  <c r="KV11"/>
  <c r="KV45"/>
  <c r="KV30"/>
  <c r="KV41"/>
  <c r="KV44"/>
  <c r="KV40"/>
  <c r="KV6"/>
  <c r="KV7"/>
  <c r="KV9"/>
  <c r="KV10"/>
  <c r="KV12"/>
  <c r="KV13"/>
  <c r="KV14"/>
  <c r="KV15"/>
  <c r="KV16"/>
  <c r="KV17"/>
  <c r="KV18"/>
  <c r="KV19"/>
  <c r="KV20"/>
  <c r="KV21"/>
  <c r="KV24"/>
  <c r="KV25"/>
  <c r="KV26"/>
  <c r="KV27"/>
  <c r="KV28"/>
  <c r="KV5"/>
  <c r="F12" i="11"/>
  <c r="KP99" i="17"/>
  <c r="KP54"/>
  <c r="KP205"/>
  <c r="KP200"/>
  <c r="KP201"/>
  <c r="KP202"/>
  <c r="KP199"/>
  <c r="KP133"/>
  <c r="KP128"/>
  <c r="KP129"/>
  <c r="KP130"/>
  <c r="KP127"/>
  <c r="KP119"/>
  <c r="KP114"/>
  <c r="KP115"/>
  <c r="KP116"/>
  <c r="KP228"/>
  <c r="KP229"/>
  <c r="KP230"/>
  <c r="KP231"/>
  <c r="KP232"/>
  <c r="KP233"/>
  <c r="KP234"/>
  <c r="KP227"/>
  <c r="KP13"/>
  <c r="KP11"/>
  <c r="KP6"/>
  <c r="KP7"/>
  <c r="KP9"/>
  <c r="KP10"/>
  <c r="KP12"/>
  <c r="KP14"/>
  <c r="KP15"/>
  <c r="KP16"/>
  <c r="KP17"/>
  <c r="KP18"/>
  <c r="KP19"/>
  <c r="KP20"/>
  <c r="KP21"/>
  <c r="KP24"/>
  <c r="KP25"/>
  <c r="KP26"/>
  <c r="KP27"/>
  <c r="KP28"/>
  <c r="KP5"/>
  <c r="KP41"/>
  <c r="KP44"/>
  <c r="KP40"/>
  <c r="KP30"/>
  <c r="F13" i="11"/>
  <c r="G14"/>
  <c r="F14"/>
  <c r="M14"/>
  <c r="KP45" i="17" l="1"/>
  <c r="KP113"/>
  <c r="F35" i="35" l="1"/>
  <c r="KJ54" i="17"/>
  <c r="KJ99"/>
  <c r="KJ219"/>
  <c r="KJ214"/>
  <c r="KJ215"/>
  <c r="KJ216"/>
  <c r="KJ213"/>
  <c r="KJ205"/>
  <c r="KJ200"/>
  <c r="LG200" s="1"/>
  <c r="KJ201"/>
  <c r="KJ202"/>
  <c r="KJ199"/>
  <c r="LG199" s="1"/>
  <c r="KJ133"/>
  <c r="KJ128"/>
  <c r="KJ129"/>
  <c r="KJ130"/>
  <c r="KJ127"/>
  <c r="KJ119"/>
  <c r="KJ114"/>
  <c r="KJ115"/>
  <c r="KJ116"/>
  <c r="LG116" s="1"/>
  <c r="KJ113"/>
  <c r="KJ228"/>
  <c r="KJ229"/>
  <c r="KJ230"/>
  <c r="KJ232"/>
  <c r="KJ233"/>
  <c r="KJ234"/>
  <c r="KJ227"/>
  <c r="KJ231"/>
  <c r="KJ40" l="1"/>
  <c r="KJ6"/>
  <c r="KJ7"/>
  <c r="KJ9"/>
  <c r="KJ10"/>
  <c r="LG10" s="1"/>
  <c r="KJ12"/>
  <c r="LG12" s="1"/>
  <c r="KJ13"/>
  <c r="KJ14"/>
  <c r="LG14" s="1"/>
  <c r="KJ15"/>
  <c r="KJ16"/>
  <c r="LG16" s="1"/>
  <c r="KJ17"/>
  <c r="LG17" s="1"/>
  <c r="KJ18"/>
  <c r="LG18" s="1"/>
  <c r="KJ19"/>
  <c r="LG19" s="1"/>
  <c r="KJ20"/>
  <c r="LG20" s="1"/>
  <c r="KJ21"/>
  <c r="KJ24"/>
  <c r="LG24" s="1"/>
  <c r="KJ25"/>
  <c r="LG25" s="1"/>
  <c r="KJ27"/>
  <c r="KJ28"/>
  <c r="LG28" s="1"/>
  <c r="KJ5"/>
  <c r="KJ11"/>
  <c r="KJ26"/>
  <c r="KJ44"/>
  <c r="LG44" s="1"/>
  <c r="KJ41"/>
  <c r="G16" i="27"/>
  <c r="KJ30" i="17" l="1"/>
  <c r="KJ45"/>
  <c r="G13" i="11"/>
  <c r="M10" l="1"/>
  <c r="M11"/>
  <c r="CA119" i="17" s="1"/>
  <c r="M12" i="11"/>
  <c r="M13"/>
  <c r="G12"/>
  <c r="G11"/>
  <c r="F11"/>
  <c r="G10"/>
  <c r="F10"/>
  <c r="G9"/>
  <c r="F9"/>
  <c r="F8"/>
  <c r="LG106" i="17"/>
  <c r="KC99" l="1"/>
  <c r="JV99"/>
  <c r="KC54"/>
  <c r="JV54"/>
  <c r="KC219"/>
  <c r="JV219"/>
  <c r="JV214"/>
  <c r="JV215"/>
  <c r="JV216"/>
  <c r="KC214"/>
  <c r="KC215"/>
  <c r="KC216"/>
  <c r="KC213"/>
  <c r="JV213"/>
  <c r="KC205"/>
  <c r="JV205"/>
  <c r="JV200"/>
  <c r="JV201"/>
  <c r="JV202"/>
  <c r="KC200"/>
  <c r="KC201"/>
  <c r="KC202"/>
  <c r="KC199"/>
  <c r="JV199"/>
  <c r="KC133"/>
  <c r="JV133"/>
  <c r="JV128"/>
  <c r="JV129"/>
  <c r="JV130"/>
  <c r="KC128"/>
  <c r="KC129"/>
  <c r="KC130"/>
  <c r="KC127"/>
  <c r="JV127"/>
  <c r="KC119"/>
  <c r="KC114"/>
  <c r="KC115"/>
  <c r="KC116"/>
  <c r="KC113"/>
  <c r="JV119"/>
  <c r="JV114"/>
  <c r="JV115"/>
  <c r="JV116"/>
  <c r="JV113"/>
  <c r="KC40"/>
  <c r="JV40"/>
  <c r="KC5"/>
  <c r="JV5"/>
  <c r="JV228"/>
  <c r="JV229"/>
  <c r="JV230"/>
  <c r="JV231"/>
  <c r="JV232"/>
  <c r="JV233"/>
  <c r="JV234"/>
  <c r="KC228"/>
  <c r="KC229"/>
  <c r="KC230"/>
  <c r="KC231"/>
  <c r="KC232"/>
  <c r="KC233"/>
  <c r="KC234"/>
  <c r="KC227"/>
  <c r="JV227"/>
  <c r="LG214" l="1"/>
  <c r="LG216"/>
  <c r="LG54" l="1"/>
  <c r="JP99" l="1"/>
  <c r="JP54"/>
  <c r="JJ54"/>
  <c r="JJ99"/>
  <c r="LG213"/>
  <c r="LG228"/>
  <c r="LG229"/>
  <c r="LG230"/>
  <c r="LG231"/>
  <c r="LG232"/>
  <c r="LG233"/>
  <c r="LG234"/>
  <c r="LG227"/>
  <c r="JP228"/>
  <c r="JP229"/>
  <c r="JP230"/>
  <c r="JP231"/>
  <c r="JP232"/>
  <c r="JP233"/>
  <c r="JP234"/>
  <c r="JP227"/>
  <c r="JJ228"/>
  <c r="KD228" s="1"/>
  <c r="JJ229"/>
  <c r="KD229" s="1"/>
  <c r="JJ230"/>
  <c r="KD230" s="1"/>
  <c r="JJ231"/>
  <c r="KD231" s="1"/>
  <c r="JJ232"/>
  <c r="KD232" s="1"/>
  <c r="JJ233"/>
  <c r="KD233" s="1"/>
  <c r="JJ234"/>
  <c r="KD234" s="1"/>
  <c r="JJ227"/>
  <c r="JP127"/>
  <c r="JP129"/>
  <c r="JP133"/>
  <c r="JP128"/>
  <c r="JP130"/>
  <c r="JJ133"/>
  <c r="JJ127"/>
  <c r="LG128"/>
  <c r="LG130"/>
  <c r="LG127"/>
  <c r="LG113"/>
  <c r="LG205"/>
  <c r="LG201"/>
  <c r="LG202"/>
  <c r="JP200"/>
  <c r="JP201"/>
  <c r="JP202"/>
  <c r="JP205"/>
  <c r="JP199"/>
  <c r="JJ200"/>
  <c r="JJ201"/>
  <c r="JJ202"/>
  <c r="JJ205"/>
  <c r="JJ199"/>
  <c r="JP114"/>
  <c r="JP115"/>
  <c r="JP116"/>
  <c r="JP113"/>
  <c r="JJ119"/>
  <c r="JJ114"/>
  <c r="JJ115"/>
  <c r="JJ116"/>
  <c r="JJ113"/>
  <c r="JP119"/>
  <c r="LG6"/>
  <c r="LG7"/>
  <c r="LG5"/>
  <c r="JJ53" l="1"/>
  <c r="JP40" l="1"/>
  <c r="JP5"/>
  <c r="JJ40"/>
  <c r="KD40" s="1"/>
  <c r="JJ5"/>
  <c r="JF185"/>
  <c r="JK185"/>
  <c r="JO185"/>
  <c r="JT185"/>
  <c r="JY185"/>
  <c r="KB185"/>
  <c r="KF185"/>
  <c r="KH185"/>
  <c r="KK185"/>
  <c r="KM185"/>
  <c r="KR185"/>
  <c r="KS185"/>
  <c r="KT185"/>
  <c r="KU185"/>
  <c r="KY185"/>
  <c r="LA185"/>
  <c r="LC185"/>
  <c r="LD185"/>
  <c r="LE185"/>
  <c r="LF185"/>
  <c r="JG98"/>
  <c r="JM98"/>
  <c r="JR98"/>
  <c r="JU98"/>
  <c r="JX98"/>
  <c r="JZ98"/>
  <c r="KH98"/>
  <c r="KL98"/>
  <c r="KQ98"/>
  <c r="KU98"/>
  <c r="LA98"/>
  <c r="LD98"/>
  <c r="JE53"/>
  <c r="JF53"/>
  <c r="JG53"/>
  <c r="JH53"/>
  <c r="JI53"/>
  <c r="JK53"/>
  <c r="JL53"/>
  <c r="JM53"/>
  <c r="JN53"/>
  <c r="JO53"/>
  <c r="JP53"/>
  <c r="JQ53"/>
  <c r="JR53"/>
  <c r="JS53"/>
  <c r="JT53"/>
  <c r="JU53"/>
  <c r="JW53"/>
  <c r="JX53"/>
  <c r="JY53"/>
  <c r="JZ53"/>
  <c r="KB53"/>
  <c r="KE53"/>
  <c r="KF53"/>
  <c r="KG53"/>
  <c r="KH53"/>
  <c r="KI53"/>
  <c r="KK53"/>
  <c r="KL53"/>
  <c r="KM53"/>
  <c r="KN53"/>
  <c r="KO53"/>
  <c r="KQ53"/>
  <c r="KR53"/>
  <c r="KS53"/>
  <c r="KT53"/>
  <c r="KU53"/>
  <c r="KW53"/>
  <c r="KX53"/>
  <c r="KY53"/>
  <c r="KZ53"/>
  <c r="LA53"/>
  <c r="LC53"/>
  <c r="LD53"/>
  <c r="LE53"/>
  <c r="JK98"/>
  <c r="JL98"/>
  <c r="JN98"/>
  <c r="JO98"/>
  <c r="JO107" s="1"/>
  <c r="JQ98"/>
  <c r="JS98"/>
  <c r="JS107" s="1"/>
  <c r="JT98"/>
  <c r="JW98"/>
  <c r="JY98"/>
  <c r="JY107" s="1"/>
  <c r="KB98"/>
  <c r="KF98"/>
  <c r="KG98"/>
  <c r="KI98"/>
  <c r="KK98"/>
  <c r="KM98"/>
  <c r="KN98"/>
  <c r="KN107" s="1"/>
  <c r="KO98"/>
  <c r="KR98"/>
  <c r="KS98"/>
  <c r="KT98"/>
  <c r="KW98"/>
  <c r="KX98"/>
  <c r="KX107" s="1"/>
  <c r="KY98"/>
  <c r="KZ98"/>
  <c r="KZ107" s="1"/>
  <c r="LC98"/>
  <c r="LC107" s="1"/>
  <c r="LE98"/>
  <c r="LE107" s="1"/>
  <c r="JE98"/>
  <c r="JF98"/>
  <c r="JH98"/>
  <c r="JI98"/>
  <c r="JL107"/>
  <c r="JE112"/>
  <c r="JF112"/>
  <c r="JG112"/>
  <c r="JH112"/>
  <c r="JI112"/>
  <c r="JJ112"/>
  <c r="JK112"/>
  <c r="JL112"/>
  <c r="JM112"/>
  <c r="JN112"/>
  <c r="JO112"/>
  <c r="JP112"/>
  <c r="JQ112"/>
  <c r="JR112"/>
  <c r="JS112"/>
  <c r="JT112"/>
  <c r="JU112"/>
  <c r="JV112"/>
  <c r="JW112"/>
  <c r="JX112"/>
  <c r="JY112"/>
  <c r="JZ112"/>
  <c r="KB112"/>
  <c r="KC112"/>
  <c r="KE112"/>
  <c r="KF112"/>
  <c r="KG112"/>
  <c r="KH112"/>
  <c r="KI112"/>
  <c r="KJ112"/>
  <c r="KK112"/>
  <c r="KL112"/>
  <c r="KM112"/>
  <c r="KN112"/>
  <c r="KO112"/>
  <c r="KP112"/>
  <c r="KQ112"/>
  <c r="KR112"/>
  <c r="KS112"/>
  <c r="KT112"/>
  <c r="KU112"/>
  <c r="KV112"/>
  <c r="KW112"/>
  <c r="KX112"/>
  <c r="KY112"/>
  <c r="KZ112"/>
  <c r="LA112"/>
  <c r="LB112"/>
  <c r="LC112"/>
  <c r="LD112"/>
  <c r="LE112"/>
  <c r="LF112"/>
  <c r="JK118"/>
  <c r="JK121" s="1"/>
  <c r="JL118"/>
  <c r="JM118"/>
  <c r="JN118"/>
  <c r="JO118"/>
  <c r="JO121" s="1"/>
  <c r="JP118"/>
  <c r="JQ118"/>
  <c r="JR118"/>
  <c r="JS118"/>
  <c r="JS121" s="1"/>
  <c r="JT118"/>
  <c r="JU118"/>
  <c r="JV118"/>
  <c r="JW118"/>
  <c r="JW121" s="1"/>
  <c r="JX118"/>
  <c r="JY118"/>
  <c r="JZ118"/>
  <c r="KB118"/>
  <c r="KB121" s="1"/>
  <c r="KC118"/>
  <c r="KE118"/>
  <c r="KF118"/>
  <c r="KG118"/>
  <c r="KG121" s="1"/>
  <c r="KH118"/>
  <c r="KH121" s="1"/>
  <c r="KI118"/>
  <c r="KJ118"/>
  <c r="KK118"/>
  <c r="KK121" s="1"/>
  <c r="KL118"/>
  <c r="KM118"/>
  <c r="KN118"/>
  <c r="KO118"/>
  <c r="KO121" s="1"/>
  <c r="KP118"/>
  <c r="KP121" s="1"/>
  <c r="KQ118"/>
  <c r="KR118"/>
  <c r="KS118"/>
  <c r="KS121" s="1"/>
  <c r="KT118"/>
  <c r="KU118"/>
  <c r="KV118"/>
  <c r="KW118"/>
  <c r="KW121" s="1"/>
  <c r="KX118"/>
  <c r="KX121" s="1"/>
  <c r="KY118"/>
  <c r="KZ118"/>
  <c r="LA118"/>
  <c r="LA121" s="1"/>
  <c r="LC118"/>
  <c r="LD118"/>
  <c r="LD121" s="1"/>
  <c r="LE118"/>
  <c r="JE118"/>
  <c r="JE121" s="1"/>
  <c r="JF118"/>
  <c r="JF121" s="1"/>
  <c r="JG118"/>
  <c r="JG121" s="1"/>
  <c r="JH118"/>
  <c r="JH121" s="1"/>
  <c r="JI118"/>
  <c r="JI121" s="1"/>
  <c r="JL121"/>
  <c r="JN121"/>
  <c r="JP121"/>
  <c r="JR121"/>
  <c r="JT121"/>
  <c r="JV121"/>
  <c r="JX121"/>
  <c r="JZ121"/>
  <c r="KC121"/>
  <c r="KF121"/>
  <c r="KJ121"/>
  <c r="KL121"/>
  <c r="KN121"/>
  <c r="KR121"/>
  <c r="KT121"/>
  <c r="KV121"/>
  <c r="KZ121"/>
  <c r="LE121"/>
  <c r="JE126"/>
  <c r="JF126"/>
  <c r="JG126"/>
  <c r="JH126"/>
  <c r="JI126"/>
  <c r="JK126"/>
  <c r="JL126"/>
  <c r="JM126"/>
  <c r="JN126"/>
  <c r="JO126"/>
  <c r="JP126"/>
  <c r="JQ126"/>
  <c r="JR126"/>
  <c r="JS126"/>
  <c r="JT126"/>
  <c r="JU126"/>
  <c r="JV126"/>
  <c r="JW126"/>
  <c r="JX126"/>
  <c r="JY126"/>
  <c r="JZ126"/>
  <c r="KB126"/>
  <c r="KC126"/>
  <c r="KE126"/>
  <c r="KF126"/>
  <c r="KG126"/>
  <c r="KH126"/>
  <c r="KI126"/>
  <c r="KJ126"/>
  <c r="KK126"/>
  <c r="KL126"/>
  <c r="KM126"/>
  <c r="KN126"/>
  <c r="KO126"/>
  <c r="KP126"/>
  <c r="KQ126"/>
  <c r="KR126"/>
  <c r="KS126"/>
  <c r="KT126"/>
  <c r="KU126"/>
  <c r="KV126"/>
  <c r="KW126"/>
  <c r="KX126"/>
  <c r="KY126"/>
  <c r="KZ126"/>
  <c r="LA126"/>
  <c r="LB126"/>
  <c r="LC126"/>
  <c r="LD126"/>
  <c r="LE126"/>
  <c r="LF126"/>
  <c r="JK132"/>
  <c r="JK135" s="1"/>
  <c r="JL132"/>
  <c r="JM132"/>
  <c r="JN132"/>
  <c r="JO132"/>
  <c r="JO135" s="1"/>
  <c r="JP132"/>
  <c r="JQ132"/>
  <c r="JR132"/>
  <c r="JR135" s="1"/>
  <c r="JS132"/>
  <c r="JS135" s="1"/>
  <c r="JT132"/>
  <c r="JU132"/>
  <c r="JV132"/>
  <c r="JV135" s="1"/>
  <c r="JW132"/>
  <c r="JW135" s="1"/>
  <c r="JX132"/>
  <c r="JY132"/>
  <c r="JZ132"/>
  <c r="JZ135" s="1"/>
  <c r="KB132"/>
  <c r="KB135" s="1"/>
  <c r="KC132"/>
  <c r="KE132"/>
  <c r="KF132"/>
  <c r="KF135" s="1"/>
  <c r="KG132"/>
  <c r="KG135" s="1"/>
  <c r="KH132"/>
  <c r="KI132"/>
  <c r="KJ132"/>
  <c r="KJ135" s="1"/>
  <c r="KK132"/>
  <c r="KK135" s="1"/>
  <c r="KL132"/>
  <c r="KM132"/>
  <c r="KN132"/>
  <c r="KN135" s="1"/>
  <c r="KO132"/>
  <c r="KO135" s="1"/>
  <c r="KP132"/>
  <c r="KQ132"/>
  <c r="KR132"/>
  <c r="KS132"/>
  <c r="KS135" s="1"/>
  <c r="KT132"/>
  <c r="KU132"/>
  <c r="KV132"/>
  <c r="KV135" s="1"/>
  <c r="KW132"/>
  <c r="KW135" s="1"/>
  <c r="KX132"/>
  <c r="KY132"/>
  <c r="KZ132"/>
  <c r="KZ135" s="1"/>
  <c r="LA132"/>
  <c r="LA135" s="1"/>
  <c r="LB132"/>
  <c r="LC132"/>
  <c r="LD132"/>
  <c r="LD135" s="1"/>
  <c r="LE132"/>
  <c r="LE135" s="1"/>
  <c r="LF132"/>
  <c r="LG132"/>
  <c r="JE132"/>
  <c r="JE135" s="1"/>
  <c r="JF132"/>
  <c r="JG132"/>
  <c r="JH132"/>
  <c r="JH135" s="1"/>
  <c r="JI132"/>
  <c r="JI135" s="1"/>
  <c r="JF135"/>
  <c r="JQ135"/>
  <c r="JU135"/>
  <c r="KR135"/>
  <c r="JK140"/>
  <c r="JL140"/>
  <c r="JM140"/>
  <c r="JN140"/>
  <c r="JO140"/>
  <c r="JP140"/>
  <c r="JQ140"/>
  <c r="JR140"/>
  <c r="JS140"/>
  <c r="JT140"/>
  <c r="JU140"/>
  <c r="JW140"/>
  <c r="JX140"/>
  <c r="JY140"/>
  <c r="JZ140"/>
  <c r="KB140"/>
  <c r="KE140"/>
  <c r="KF140"/>
  <c r="KG140"/>
  <c r="KH140"/>
  <c r="KI140"/>
  <c r="KK140"/>
  <c r="KL140"/>
  <c r="KM140"/>
  <c r="KN140"/>
  <c r="KO140"/>
  <c r="KQ140"/>
  <c r="KR140"/>
  <c r="KS140"/>
  <c r="KT140"/>
  <c r="KU140"/>
  <c r="KW140"/>
  <c r="KX140"/>
  <c r="KY140"/>
  <c r="KZ140"/>
  <c r="LA140"/>
  <c r="LB140"/>
  <c r="LC140"/>
  <c r="LD140"/>
  <c r="LE140"/>
  <c r="JE140"/>
  <c r="JE193" s="1"/>
  <c r="JF140"/>
  <c r="JG140"/>
  <c r="JH140"/>
  <c r="JI140"/>
  <c r="JE185"/>
  <c r="JG185"/>
  <c r="JH185"/>
  <c r="JI185"/>
  <c r="JL185"/>
  <c r="JM185"/>
  <c r="JM193" s="1"/>
  <c r="JN185"/>
  <c r="JN193" s="1"/>
  <c r="JQ185"/>
  <c r="JR185"/>
  <c r="JS185"/>
  <c r="JU185"/>
  <c r="JX185"/>
  <c r="JX193" s="1"/>
  <c r="JZ185"/>
  <c r="KE185"/>
  <c r="KG185"/>
  <c r="KI185"/>
  <c r="KI193" s="1"/>
  <c r="KL185"/>
  <c r="KN185"/>
  <c r="KX185"/>
  <c r="KZ185"/>
  <c r="KZ193" s="1"/>
  <c r="JF254"/>
  <c r="JG254"/>
  <c r="JH254"/>
  <c r="JI254"/>
  <c r="JK254"/>
  <c r="JL254"/>
  <c r="JM254"/>
  <c r="JN254"/>
  <c r="JN252" s="1"/>
  <c r="JO254"/>
  <c r="JQ254"/>
  <c r="JR254"/>
  <c r="JS254"/>
  <c r="JS252" s="1"/>
  <c r="JT254"/>
  <c r="JU254"/>
  <c r="JW254"/>
  <c r="JX254"/>
  <c r="JX252" s="1"/>
  <c r="JY254"/>
  <c r="JZ254"/>
  <c r="KB254"/>
  <c r="KE254"/>
  <c r="KE252" s="1"/>
  <c r="KF254"/>
  <c r="KG254"/>
  <c r="KH254"/>
  <c r="KI254"/>
  <c r="KI252" s="1"/>
  <c r="KK254"/>
  <c r="KL254"/>
  <c r="KM254"/>
  <c r="KN254"/>
  <c r="KN252" s="1"/>
  <c r="KO254"/>
  <c r="KQ254"/>
  <c r="KR254"/>
  <c r="KS254"/>
  <c r="KS252" s="1"/>
  <c r="KT254"/>
  <c r="KU254"/>
  <c r="KW254"/>
  <c r="KX254"/>
  <c r="KX252" s="1"/>
  <c r="KY254"/>
  <c r="KZ254"/>
  <c r="LA254"/>
  <c r="LC254"/>
  <c r="LC252" s="1"/>
  <c r="LD254"/>
  <c r="LE254"/>
  <c r="JE254"/>
  <c r="JE198"/>
  <c r="JF198"/>
  <c r="JG198"/>
  <c r="JH198"/>
  <c r="JI198"/>
  <c r="JJ198"/>
  <c r="JK198"/>
  <c r="JL198"/>
  <c r="JM198"/>
  <c r="JN198"/>
  <c r="JO198"/>
  <c r="JP198"/>
  <c r="JQ198"/>
  <c r="JR198"/>
  <c r="JS198"/>
  <c r="JT198"/>
  <c r="JU198"/>
  <c r="JV198"/>
  <c r="JW198"/>
  <c r="JX198"/>
  <c r="JY198"/>
  <c r="JZ198"/>
  <c r="KB198"/>
  <c r="KC198"/>
  <c r="KE198"/>
  <c r="KF198"/>
  <c r="KG198"/>
  <c r="KH198"/>
  <c r="KI198"/>
  <c r="KJ198"/>
  <c r="KK198"/>
  <c r="KL198"/>
  <c r="KM198"/>
  <c r="KN198"/>
  <c r="KO198"/>
  <c r="KP198"/>
  <c r="KQ198"/>
  <c r="KR198"/>
  <c r="KS198"/>
  <c r="KT198"/>
  <c r="KU198"/>
  <c r="KV198"/>
  <c r="KW198"/>
  <c r="KX198"/>
  <c r="KY198"/>
  <c r="KZ198"/>
  <c r="LA198"/>
  <c r="LB198"/>
  <c r="LC198"/>
  <c r="LD198"/>
  <c r="LE198"/>
  <c r="LF198"/>
  <c r="JK204"/>
  <c r="JL204"/>
  <c r="JL207" s="1"/>
  <c r="JM204"/>
  <c r="JN204"/>
  <c r="JO204"/>
  <c r="JP204"/>
  <c r="JQ204"/>
  <c r="JR204"/>
  <c r="JS204"/>
  <c r="JT204"/>
  <c r="JT207" s="1"/>
  <c r="JU204"/>
  <c r="JV204"/>
  <c r="JW204"/>
  <c r="JX204"/>
  <c r="JX207" s="1"/>
  <c r="JY204"/>
  <c r="JZ204"/>
  <c r="KB204"/>
  <c r="KC204"/>
  <c r="KC207" s="1"/>
  <c r="KE204"/>
  <c r="KF204"/>
  <c r="KG204"/>
  <c r="KH204"/>
  <c r="KH207" s="1"/>
  <c r="KI204"/>
  <c r="KJ204"/>
  <c r="KK204"/>
  <c r="KL204"/>
  <c r="KL207" s="1"/>
  <c r="KM204"/>
  <c r="KN204"/>
  <c r="KO204"/>
  <c r="KP204"/>
  <c r="KQ204"/>
  <c r="KR204"/>
  <c r="KS204"/>
  <c r="KT204"/>
  <c r="KT207" s="1"/>
  <c r="KU204"/>
  <c r="KV204"/>
  <c r="KW204"/>
  <c r="KX204"/>
  <c r="KX207" s="1"/>
  <c r="KY204"/>
  <c r="KZ204"/>
  <c r="LA204"/>
  <c r="LB204"/>
  <c r="LC204"/>
  <c r="LD204"/>
  <c r="LD207" s="1"/>
  <c r="LE204"/>
  <c r="LF204"/>
  <c r="LG204"/>
  <c r="JE204"/>
  <c r="JF204"/>
  <c r="JG204"/>
  <c r="JH204"/>
  <c r="JI204"/>
  <c r="JE212"/>
  <c r="JF212"/>
  <c r="JG212"/>
  <c r="JH212"/>
  <c r="JI212"/>
  <c r="JJ212"/>
  <c r="JK212"/>
  <c r="JL212"/>
  <c r="JM212"/>
  <c r="JN212"/>
  <c r="JO212"/>
  <c r="JP212"/>
  <c r="JQ212"/>
  <c r="JR212"/>
  <c r="JS212"/>
  <c r="JT212"/>
  <c r="JU212"/>
  <c r="JV212"/>
  <c r="JW212"/>
  <c r="JX212"/>
  <c r="JY212"/>
  <c r="JZ212"/>
  <c r="KB212"/>
  <c r="KC212"/>
  <c r="KE212"/>
  <c r="KF212"/>
  <c r="KG212"/>
  <c r="KH212"/>
  <c r="KI212"/>
  <c r="KJ212"/>
  <c r="KK212"/>
  <c r="KL212"/>
  <c r="KM212"/>
  <c r="KN212"/>
  <c r="KO212"/>
  <c r="KP212"/>
  <c r="KQ212"/>
  <c r="KR212"/>
  <c r="KS212"/>
  <c r="KT212"/>
  <c r="KU212"/>
  <c r="KV212"/>
  <c r="KW212"/>
  <c r="KX212"/>
  <c r="KY212"/>
  <c r="KZ212"/>
  <c r="LA212"/>
  <c r="LB212"/>
  <c r="LC212"/>
  <c r="LD212"/>
  <c r="LE212"/>
  <c r="LF212"/>
  <c r="JK218"/>
  <c r="JK221" s="1"/>
  <c r="JL218"/>
  <c r="JM218"/>
  <c r="JN218"/>
  <c r="JO218"/>
  <c r="JP218"/>
  <c r="JQ218"/>
  <c r="JR218"/>
  <c r="JS218"/>
  <c r="JS221" s="1"/>
  <c r="JT218"/>
  <c r="JU218"/>
  <c r="JV218"/>
  <c r="JW218"/>
  <c r="JX218"/>
  <c r="JY218"/>
  <c r="JZ218"/>
  <c r="KB218"/>
  <c r="KB221" s="1"/>
  <c r="KC218"/>
  <c r="KE218"/>
  <c r="KF218"/>
  <c r="KG218"/>
  <c r="KG221" s="1"/>
  <c r="KH218"/>
  <c r="KI218"/>
  <c r="KJ218"/>
  <c r="KK218"/>
  <c r="KK221" s="1"/>
  <c r="KL218"/>
  <c r="KM218"/>
  <c r="KN218"/>
  <c r="KO218"/>
  <c r="KO221" s="1"/>
  <c r="KP218"/>
  <c r="KQ218"/>
  <c r="KR218"/>
  <c r="KS218"/>
  <c r="KS221" s="1"/>
  <c r="KT218"/>
  <c r="KU218"/>
  <c r="KV218"/>
  <c r="KW218"/>
  <c r="KW221" s="1"/>
  <c r="KX218"/>
  <c r="KY218"/>
  <c r="KZ218"/>
  <c r="LA218"/>
  <c r="LA221" s="1"/>
  <c r="LC218"/>
  <c r="LD218"/>
  <c r="LE218"/>
  <c r="LF218"/>
  <c r="JE218"/>
  <c r="JF218"/>
  <c r="JG218"/>
  <c r="JH218"/>
  <c r="JI218"/>
  <c r="JO221"/>
  <c r="JW221"/>
  <c r="JE226"/>
  <c r="JF226"/>
  <c r="JG226"/>
  <c r="JH226"/>
  <c r="JI226"/>
  <c r="JJ226"/>
  <c r="JK226"/>
  <c r="JL226"/>
  <c r="JM226"/>
  <c r="JN226"/>
  <c r="JO226"/>
  <c r="JP226"/>
  <c r="JQ226"/>
  <c r="JR226"/>
  <c r="JS226"/>
  <c r="JT226"/>
  <c r="JU226"/>
  <c r="JV226"/>
  <c r="JW226"/>
  <c r="JX226"/>
  <c r="JY226"/>
  <c r="JZ226"/>
  <c r="KB226"/>
  <c r="KE226"/>
  <c r="KF226"/>
  <c r="KG226"/>
  <c r="KH226"/>
  <c r="KI226"/>
  <c r="KJ226"/>
  <c r="KK226"/>
  <c r="KL226"/>
  <c r="KM226"/>
  <c r="KN226"/>
  <c r="KO226"/>
  <c r="KP226"/>
  <c r="KQ226"/>
  <c r="KR226"/>
  <c r="KS226"/>
  <c r="KT226"/>
  <c r="KU226"/>
  <c r="KV226"/>
  <c r="KW226"/>
  <c r="KX226"/>
  <c r="KY226"/>
  <c r="KZ226"/>
  <c r="LA226"/>
  <c r="LB226"/>
  <c r="LC226"/>
  <c r="LD226"/>
  <c r="LE226"/>
  <c r="LF226"/>
  <c r="JL252"/>
  <c r="JL256" s="1"/>
  <c r="JQ252"/>
  <c r="JU252"/>
  <c r="JZ252"/>
  <c r="KG252"/>
  <c r="KL252"/>
  <c r="KQ252"/>
  <c r="KU252"/>
  <c r="KZ252"/>
  <c r="LE252"/>
  <c r="JG252"/>
  <c r="JG256" s="1"/>
  <c r="JI252"/>
  <c r="JI256" s="1"/>
  <c r="KE39"/>
  <c r="KF39"/>
  <c r="KG39"/>
  <c r="KH39"/>
  <c r="KI39"/>
  <c r="KJ39"/>
  <c r="KK39"/>
  <c r="KL39"/>
  <c r="KM39"/>
  <c r="KN39"/>
  <c r="KO39"/>
  <c r="KP39"/>
  <c r="KQ39"/>
  <c r="KR39"/>
  <c r="KS39"/>
  <c r="KT39"/>
  <c r="KU39"/>
  <c r="KV39"/>
  <c r="KW39"/>
  <c r="KX39"/>
  <c r="KY39"/>
  <c r="KZ39"/>
  <c r="LA39"/>
  <c r="LB39"/>
  <c r="LC39"/>
  <c r="LD39"/>
  <c r="LE39"/>
  <c r="LF39"/>
  <c r="KE4"/>
  <c r="KF4"/>
  <c r="KG4"/>
  <c r="KH4"/>
  <c r="KI4"/>
  <c r="KJ4"/>
  <c r="KK4"/>
  <c r="KL4"/>
  <c r="KM4"/>
  <c r="KN4"/>
  <c r="KO4"/>
  <c r="KQ4"/>
  <c r="KR4"/>
  <c r="KS4"/>
  <c r="KT4"/>
  <c r="KU4"/>
  <c r="KV4"/>
  <c r="KW4"/>
  <c r="KX4"/>
  <c r="KY4"/>
  <c r="KZ4"/>
  <c r="LA4"/>
  <c r="LC4"/>
  <c r="LD4"/>
  <c r="LE4"/>
  <c r="LF4"/>
  <c r="JW4"/>
  <c r="JX4"/>
  <c r="JY4"/>
  <c r="JZ4"/>
  <c r="KB4"/>
  <c r="JW39"/>
  <c r="JX39"/>
  <c r="JY39"/>
  <c r="JZ39"/>
  <c r="KB39"/>
  <c r="JQ4"/>
  <c r="JR4"/>
  <c r="JS4"/>
  <c r="JT4"/>
  <c r="JU4"/>
  <c r="JQ39"/>
  <c r="JR39"/>
  <c r="JS39"/>
  <c r="JT39"/>
  <c r="JU39"/>
  <c r="JK39"/>
  <c r="JL39"/>
  <c r="JM39"/>
  <c r="JN39"/>
  <c r="JO39"/>
  <c r="JK4"/>
  <c r="JL4"/>
  <c r="JM4"/>
  <c r="JN4"/>
  <c r="JO4"/>
  <c r="JE39"/>
  <c r="JF39"/>
  <c r="JG39"/>
  <c r="JH39"/>
  <c r="JI39"/>
  <c r="JE4"/>
  <c r="JF4"/>
  <c r="JG4"/>
  <c r="JH4"/>
  <c r="JI4"/>
  <c r="JH107" l="1"/>
  <c r="JF107"/>
  <c r="JG193"/>
  <c r="KY221"/>
  <c r="KU221"/>
  <c r="KQ221"/>
  <c r="KM221"/>
  <c r="KI221"/>
  <c r="KE221"/>
  <c r="JY221"/>
  <c r="JU221"/>
  <c r="JQ221"/>
  <c r="JM221"/>
  <c r="LC135"/>
  <c r="KY135"/>
  <c r="KU135"/>
  <c r="KQ135"/>
  <c r="KM135"/>
  <c r="KI135"/>
  <c r="KE135"/>
  <c r="JY135"/>
  <c r="JM135"/>
  <c r="LD48"/>
  <c r="KX221"/>
  <c r="KH135"/>
  <c r="JX135"/>
  <c r="JN107"/>
  <c r="KU107"/>
  <c r="KQ107"/>
  <c r="KL107"/>
  <c r="JR193"/>
  <c r="JZ256"/>
  <c r="LE48"/>
  <c r="KG256"/>
  <c r="KT221"/>
  <c r="KP221"/>
  <c r="KL221"/>
  <c r="KH221"/>
  <c r="KC221"/>
  <c r="JX221"/>
  <c r="JT221"/>
  <c r="JP221"/>
  <c r="JL221"/>
  <c r="LC207"/>
  <c r="KY207"/>
  <c r="KU207"/>
  <c r="KQ207"/>
  <c r="KM207"/>
  <c r="KI207"/>
  <c r="KE207"/>
  <c r="JY207"/>
  <c r="JU207"/>
  <c r="JQ207"/>
  <c r="JM207"/>
  <c r="LA48"/>
  <c r="KW48"/>
  <c r="KS48"/>
  <c r="LE256"/>
  <c r="KL135"/>
  <c r="KC135"/>
  <c r="JT135"/>
  <c r="JM107"/>
  <c r="KN207"/>
  <c r="JL135"/>
  <c r="KB107"/>
  <c r="JW107"/>
  <c r="JR107"/>
  <c r="KT193"/>
  <c r="JT193"/>
  <c r="JO193"/>
  <c r="JK193"/>
  <c r="LC256"/>
  <c r="KX256"/>
  <c r="KS256"/>
  <c r="KN256"/>
  <c r="KI256"/>
  <c r="KE256"/>
  <c r="JX256"/>
  <c r="JS256"/>
  <c r="JN256"/>
  <c r="KQ256"/>
  <c r="KZ207"/>
  <c r="KV207"/>
  <c r="KR207"/>
  <c r="KJ207"/>
  <c r="KF207"/>
  <c r="JZ207"/>
  <c r="JV207"/>
  <c r="JR207"/>
  <c r="JN207"/>
  <c r="LC48"/>
  <c r="KU256"/>
  <c r="KZ221"/>
  <c r="KV221"/>
  <c r="KR221"/>
  <c r="KN221"/>
  <c r="KJ221"/>
  <c r="KF221"/>
  <c r="JZ221"/>
  <c r="JV221"/>
  <c r="JR221"/>
  <c r="JN221"/>
  <c r="LE207"/>
  <c r="LA207"/>
  <c r="KW207"/>
  <c r="KS207"/>
  <c r="KO207"/>
  <c r="KG207"/>
  <c r="KB207"/>
  <c r="JW207"/>
  <c r="JS207"/>
  <c r="JO207"/>
  <c r="JK207"/>
  <c r="JL193"/>
  <c r="JG135"/>
  <c r="LF135"/>
  <c r="LB135"/>
  <c r="KX135"/>
  <c r="KT135"/>
  <c r="KP135"/>
  <c r="KY121"/>
  <c r="KU121"/>
  <c r="KQ121"/>
  <c r="KM121"/>
  <c r="KI121"/>
  <c r="KE121"/>
  <c r="JY121"/>
  <c r="JU121"/>
  <c r="JQ121"/>
  <c r="JM121"/>
  <c r="KY48"/>
  <c r="KU48"/>
  <c r="KQ48"/>
  <c r="LC121"/>
  <c r="JF207"/>
  <c r="LD221"/>
  <c r="JF221"/>
  <c r="JQ256"/>
  <c r="JU256"/>
  <c r="JH221"/>
  <c r="KZ256"/>
  <c r="KL256"/>
  <c r="LD252"/>
  <c r="LA252"/>
  <c r="LA256" s="1"/>
  <c r="KY252"/>
  <c r="KY256" s="1"/>
  <c r="KW252"/>
  <c r="KW256" s="1"/>
  <c r="KT252"/>
  <c r="KR252"/>
  <c r="KR256" s="1"/>
  <c r="KO252"/>
  <c r="KM252"/>
  <c r="KM256" s="1"/>
  <c r="KK252"/>
  <c r="KH252"/>
  <c r="KH256" s="1"/>
  <c r="KF252"/>
  <c r="KF256" s="1"/>
  <c r="KB252"/>
  <c r="KB256" s="1"/>
  <c r="JY252"/>
  <c r="JW252"/>
  <c r="JW256" s="1"/>
  <c r="JT252"/>
  <c r="JR252"/>
  <c r="JR256" s="1"/>
  <c r="JO252"/>
  <c r="JM252"/>
  <c r="JM256" s="1"/>
  <c r="JF193"/>
  <c r="JI193"/>
  <c r="LF221"/>
  <c r="JH207"/>
  <c r="KY107"/>
  <c r="KO107"/>
  <c r="KM107"/>
  <c r="KK107"/>
  <c r="KF107"/>
  <c r="JI107"/>
  <c r="JZ107"/>
  <c r="JX107"/>
  <c r="JU107"/>
  <c r="LD193"/>
  <c r="KR193"/>
  <c r="KH193"/>
  <c r="LD256"/>
  <c r="KT256"/>
  <c r="KO256"/>
  <c r="KK256"/>
  <c r="JY256"/>
  <c r="JT256"/>
  <c r="JO256"/>
  <c r="JK252"/>
  <c r="JK256" s="1"/>
  <c r="JH252"/>
  <c r="JH256" s="1"/>
  <c r="JF252"/>
  <c r="JF256" s="1"/>
  <c r="JU193"/>
  <c r="JS193"/>
  <c r="JQ193"/>
  <c r="LD107"/>
  <c r="LA107"/>
  <c r="JG107"/>
  <c r="JI221"/>
  <c r="JG221"/>
  <c r="JE221"/>
  <c r="LE221"/>
  <c r="LC221"/>
  <c r="JI207"/>
  <c r="JG207"/>
  <c r="JE207"/>
  <c r="JJ254"/>
  <c r="KL193"/>
  <c r="JE107"/>
  <c r="KP207"/>
  <c r="LF254"/>
  <c r="LF98"/>
  <c r="JH193"/>
  <c r="KW185"/>
  <c r="LB185"/>
  <c r="LB193" s="1"/>
  <c r="JW185"/>
  <c r="KK207"/>
  <c r="LB254"/>
  <c r="KP254"/>
  <c r="KC254"/>
  <c r="KC252" s="1"/>
  <c r="JP254"/>
  <c r="LB252"/>
  <c r="LB256" s="1"/>
  <c r="KP252"/>
  <c r="KP256" s="1"/>
  <c r="KG193"/>
  <c r="KE193"/>
  <c r="KW107"/>
  <c r="KT107"/>
  <c r="KH107"/>
  <c r="LB98"/>
  <c r="KP98"/>
  <c r="JP185"/>
  <c r="JP193" s="1"/>
  <c r="KE98"/>
  <c r="KE107" s="1"/>
  <c r="KJ98"/>
  <c r="KQ185"/>
  <c r="KQ193" s="1"/>
  <c r="KV185"/>
  <c r="LF207"/>
  <c r="KV254"/>
  <c r="KJ254"/>
  <c r="JV254"/>
  <c r="KF193"/>
  <c r="KS107"/>
  <c r="KG107"/>
  <c r="JQ107"/>
  <c r="JK107"/>
  <c r="KV98"/>
  <c r="LE193"/>
  <c r="LC193"/>
  <c r="KJ185"/>
  <c r="JV185"/>
  <c r="KY193"/>
  <c r="KX193"/>
  <c r="LA193"/>
  <c r="KW193"/>
  <c r="LB207"/>
  <c r="KZ48"/>
  <c r="KX48"/>
  <c r="KN193"/>
  <c r="KO185"/>
  <c r="KO193" s="1"/>
  <c r="KP185"/>
  <c r="KU193"/>
  <c r="KS193"/>
  <c r="KR107"/>
  <c r="KT48"/>
  <c r="KR48"/>
  <c r="KM193"/>
  <c r="KK193"/>
  <c r="KO48"/>
  <c r="KM48"/>
  <c r="KN48"/>
  <c r="KL48"/>
  <c r="KK48"/>
  <c r="KI107"/>
  <c r="KH48"/>
  <c r="KI48"/>
  <c r="KG48"/>
  <c r="KF48"/>
  <c r="KE48"/>
  <c r="JZ193"/>
  <c r="JY193"/>
  <c r="JW193"/>
  <c r="JT107"/>
  <c r="KB193"/>
  <c r="KB48"/>
  <c r="JZ48"/>
  <c r="JY48"/>
  <c r="JX48"/>
  <c r="JW48"/>
  <c r="JU48"/>
  <c r="JT48"/>
  <c r="JS48"/>
  <c r="JR48"/>
  <c r="JQ48"/>
  <c r="JE252"/>
  <c r="JE256" s="1"/>
  <c r="JN135"/>
  <c r="JP135"/>
  <c r="JP207"/>
  <c r="KJ48"/>
  <c r="KV48"/>
  <c r="LF48"/>
  <c r="JH48"/>
  <c r="JK48"/>
  <c r="JF48"/>
  <c r="JI48"/>
  <c r="JO48"/>
  <c r="JN48"/>
  <c r="JM48"/>
  <c r="JL48"/>
  <c r="JG48"/>
  <c r="JE48"/>
  <c r="KP4"/>
  <c r="KP48" s="1"/>
  <c r="KP140"/>
  <c r="JE260" l="1"/>
  <c r="KP193"/>
  <c r="JL260"/>
  <c r="JI260"/>
  <c r="JT260"/>
  <c r="JG260"/>
  <c r="JM260"/>
  <c r="JW260"/>
  <c r="KR260"/>
  <c r="LA260"/>
  <c r="KE260"/>
  <c r="JF260"/>
  <c r="JO260"/>
  <c r="KF260"/>
  <c r="LD260"/>
  <c r="KZ260"/>
  <c r="JX260"/>
  <c r="KS260"/>
  <c r="LE260"/>
  <c r="JZ260"/>
  <c r="JH260"/>
  <c r="KT260"/>
  <c r="KQ260"/>
  <c r="JY260"/>
  <c r="KO260"/>
  <c r="JR260"/>
  <c r="KB260"/>
  <c r="KM260"/>
  <c r="KW260"/>
  <c r="KL260"/>
  <c r="JQ260"/>
  <c r="JS260"/>
  <c r="KN260"/>
  <c r="KH260"/>
  <c r="KX260"/>
  <c r="JK260"/>
  <c r="KK260"/>
  <c r="KY260"/>
  <c r="JU260"/>
  <c r="KU260"/>
  <c r="JN260"/>
  <c r="KI260"/>
  <c r="LC260"/>
  <c r="KG260"/>
  <c r="LG98"/>
  <c r="LF252"/>
  <c r="LF256" s="1"/>
  <c r="JP252"/>
  <c r="JP256" s="1"/>
  <c r="KD254"/>
  <c r="KV252"/>
  <c r="KV256" s="1"/>
  <c r="LG254"/>
  <c r="KJ252"/>
  <c r="KJ256" s="1"/>
  <c r="JV252"/>
  <c r="JV256" s="1"/>
  <c r="KJ140"/>
  <c r="KJ193" s="1"/>
  <c r="KV140"/>
  <c r="KV193" s="1"/>
  <c r="LF140"/>
  <c r="LF193" s="1"/>
  <c r="KJ53"/>
  <c r="KJ107" s="1"/>
  <c r="KP53"/>
  <c r="KP107" s="1"/>
  <c r="LF53"/>
  <c r="LF107" s="1"/>
  <c r="LB4"/>
  <c r="LB48" s="1"/>
  <c r="KP260" l="1"/>
  <c r="LF260"/>
  <c r="KJ260"/>
  <c r="LG252"/>
  <c r="LG140"/>
  <c r="J6" i="35"/>
  <c r="K6" s="1"/>
  <c r="J7"/>
  <c r="K7" s="1"/>
  <c r="J8"/>
  <c r="K8" s="1"/>
  <c r="J9"/>
  <c r="K9" s="1"/>
  <c r="J10"/>
  <c r="K10" s="1"/>
  <c r="J3"/>
  <c r="K3" s="1"/>
  <c r="I4"/>
  <c r="J4" s="1"/>
  <c r="K4" s="1"/>
  <c r="LB53" i="17" l="1"/>
  <c r="LB107" s="1"/>
  <c r="LB260" s="1"/>
  <c r="KV53"/>
  <c r="KV107" s="1"/>
  <c r="KV260" s="1"/>
  <c r="F10" i="35"/>
  <c r="F9" l="1"/>
  <c r="M9" i="11" l="1"/>
  <c r="M8"/>
  <c r="JP98" i="17" l="1"/>
  <c r="JP107" s="1"/>
  <c r="JV98"/>
  <c r="KC98"/>
  <c r="JJ126"/>
  <c r="KD205"/>
  <c r="KD204" s="1"/>
  <c r="KD132"/>
  <c r="JJ132"/>
  <c r="KD54"/>
  <c r="JJ98"/>
  <c r="JJ107" s="1"/>
  <c r="KD118"/>
  <c r="KD116"/>
  <c r="JJ118"/>
  <c r="JJ121" s="1"/>
  <c r="KD128"/>
  <c r="KD130"/>
  <c r="KD200"/>
  <c r="KD201"/>
  <c r="KD202"/>
  <c r="JJ204"/>
  <c r="JJ207" s="1"/>
  <c r="KD219"/>
  <c r="KD218" s="1"/>
  <c r="KD214"/>
  <c r="KD215"/>
  <c r="KD216"/>
  <c r="KD213"/>
  <c r="KD227"/>
  <c r="JJ218"/>
  <c r="JJ221" s="1"/>
  <c r="C28" i="35"/>
  <c r="F26"/>
  <c r="F25"/>
  <c r="F24"/>
  <c r="F23"/>
  <c r="F22"/>
  <c r="F21"/>
  <c r="F20"/>
  <c r="F19"/>
  <c r="F18"/>
  <c r="F17"/>
  <c r="F16"/>
  <c r="F15"/>
  <c r="F14"/>
  <c r="F13"/>
  <c r="F12"/>
  <c r="F8"/>
  <c r="F7"/>
  <c r="F6"/>
  <c r="KD212" i="17" l="1"/>
  <c r="KD221" s="1"/>
  <c r="KD198"/>
  <c r="KD207" s="1"/>
  <c r="KD252"/>
  <c r="KD126"/>
  <c r="KD135" s="1"/>
  <c r="JJ135"/>
  <c r="JJ185"/>
  <c r="JJ252"/>
  <c r="JJ256" s="1"/>
  <c r="C5" i="35"/>
  <c r="F4"/>
  <c r="F3"/>
  <c r="F5" l="1"/>
  <c r="F27" s="1"/>
  <c r="F39" s="1"/>
  <c r="C27"/>
  <c r="D30" i="28" l="1"/>
  <c r="KC226" i="17"/>
  <c r="KC256" s="1"/>
  <c r="JV140" l="1"/>
  <c r="JV193" s="1"/>
  <c r="KC53"/>
  <c r="KC107" s="1"/>
  <c r="KD226"/>
  <c r="KD256" s="1"/>
  <c r="JJ140"/>
  <c r="JJ193" s="1"/>
  <c r="KC140"/>
  <c r="H46" i="27"/>
  <c r="E44"/>
  <c r="JV53" i="17" l="1"/>
  <c r="JV107" s="1"/>
  <c r="M16" i="27"/>
  <c r="F16"/>
  <c r="M15"/>
  <c r="KD140" i="17" l="1"/>
  <c r="G15" i="27"/>
  <c r="F15"/>
  <c r="M14"/>
  <c r="G14"/>
  <c r="F14"/>
  <c r="M13"/>
  <c r="F13"/>
  <c r="M12"/>
  <c r="G12"/>
  <c r="F12"/>
  <c r="M11"/>
  <c r="G11"/>
  <c r="F11"/>
  <c r="M10"/>
  <c r="G10"/>
  <c r="F10"/>
  <c r="M9"/>
  <c r="F9"/>
  <c r="M8"/>
  <c r="G8"/>
  <c r="F8"/>
  <c r="K7"/>
  <c r="M7" s="1"/>
  <c r="G7"/>
  <c r="F7"/>
  <c r="K6"/>
  <c r="M6" s="1"/>
  <c r="G6"/>
  <c r="F6"/>
  <c r="K5"/>
  <c r="M5" s="1"/>
  <c r="G5"/>
  <c r="F5"/>
  <c r="K4"/>
  <c r="M4" s="1"/>
  <c r="G4"/>
  <c r="F4"/>
  <c r="F37" s="1"/>
  <c r="H89" i="11"/>
  <c r="F89"/>
  <c r="F84"/>
  <c r="H37" i="27" l="1"/>
  <c r="F44"/>
  <c r="F46" s="1"/>
  <c r="LG218" i="17"/>
  <c r="LB218"/>
  <c r="LB221" s="1"/>
  <c r="M7" i="11"/>
  <c r="F7"/>
  <c r="M6"/>
  <c r="G6"/>
  <c r="F6"/>
  <c r="LG119" i="17" l="1"/>
  <c r="LG118" s="1"/>
  <c r="LF118"/>
  <c r="LF121" s="1"/>
  <c r="LB118"/>
  <c r="LB121" s="1"/>
  <c r="M5" i="11" l="1"/>
  <c r="F5"/>
  <c r="H79" s="1"/>
  <c r="M4"/>
  <c r="G4"/>
  <c r="F4"/>
  <c r="E52" i="9"/>
  <c r="D52"/>
  <c r="E49"/>
  <c r="D49"/>
  <c r="E45"/>
  <c r="D45"/>
  <c r="E42"/>
  <c r="D42"/>
  <c r="E38"/>
  <c r="D38"/>
  <c r="E35"/>
  <c r="D35"/>
  <c r="E32"/>
  <c r="D32"/>
  <c r="E28"/>
  <c r="D28"/>
  <c r="E25"/>
  <c r="D25"/>
  <c r="E21"/>
  <c r="D21"/>
  <c r="A1" i="7"/>
  <c r="F21" i="9" l="1"/>
  <c r="F28"/>
  <c r="F35"/>
  <c r="F42"/>
  <c r="F49"/>
  <c r="D54"/>
  <c r="F52"/>
  <c r="F32"/>
  <c r="F38"/>
  <c r="F45"/>
  <c r="F25"/>
  <c r="D10"/>
  <c r="E10"/>
  <c r="E54"/>
  <c r="H84" i="11"/>
  <c r="KD53" i="17"/>
  <c r="E8" i="8"/>
  <c r="F6" i="9"/>
  <c r="F8"/>
  <c r="F54" l="1"/>
  <c r="F10"/>
  <c r="KD112" i="17"/>
  <c r="KD121" s="1"/>
  <c r="IL254"/>
  <c r="IK254"/>
  <c r="IJ254"/>
  <c r="II254"/>
  <c r="IH254"/>
  <c r="IF254"/>
  <c r="IE254"/>
  <c r="HZ254"/>
  <c r="HX254"/>
  <c r="HW254"/>
  <c r="HV254"/>
  <c r="HT254"/>
  <c r="HS254"/>
  <c r="HR254"/>
  <c r="HQ254"/>
  <c r="HP254"/>
  <c r="HN254"/>
  <c r="HM254"/>
  <c r="HL254"/>
  <c r="HK254"/>
  <c r="HJ254"/>
  <c r="HH254"/>
  <c r="HG254"/>
  <c r="HF254"/>
  <c r="HE254"/>
  <c r="HC254"/>
  <c r="GU254"/>
  <c r="GT254"/>
  <c r="GS254"/>
  <c r="GR254"/>
  <c r="GQ254"/>
  <c r="GO254"/>
  <c r="GN254"/>
  <c r="GM254"/>
  <c r="GL254"/>
  <c r="GK254"/>
  <c r="FW254"/>
  <c r="FV254"/>
  <c r="FU254"/>
  <c r="FT254"/>
  <c r="FS254"/>
  <c r="FQ254"/>
  <c r="FP254"/>
  <c r="FO254"/>
  <c r="FN254"/>
  <c r="FL254"/>
  <c r="FK254"/>
  <c r="FJ254"/>
  <c r="FI254"/>
  <c r="FH254"/>
  <c r="FF254"/>
  <c r="FE254"/>
  <c r="FA254"/>
  <c r="EY254"/>
  <c r="EX254"/>
  <c r="EW254"/>
  <c r="EV254"/>
  <c r="EU254"/>
  <c r="ES254"/>
  <c r="ER254"/>
  <c r="EQ254"/>
  <c r="EP254"/>
  <c r="EO254"/>
  <c r="EN254"/>
  <c r="EG254"/>
  <c r="EF254"/>
  <c r="EE254"/>
  <c r="ED254"/>
  <c r="EC254"/>
  <c r="FB254" l="1"/>
  <c r="ET254"/>
  <c r="EH254"/>
  <c r="FX254"/>
  <c r="FG254"/>
  <c r="HO254"/>
  <c r="HY254"/>
  <c r="IG254"/>
  <c r="GP254"/>
  <c r="GV254"/>
  <c r="FM254"/>
  <c r="HI254"/>
  <c r="HU254"/>
  <c r="IC254"/>
  <c r="FR254"/>
  <c r="CX254"/>
  <c r="DB254" s="1"/>
  <c r="CP254"/>
  <c r="CO254"/>
  <c r="CN254"/>
  <c r="CM254"/>
  <c r="CL254"/>
  <c r="CJ254"/>
  <c r="CI254"/>
  <c r="CH254"/>
  <c r="CG254"/>
  <c r="CE254"/>
  <c r="CD254"/>
  <c r="CC254"/>
  <c r="BQ254"/>
  <c r="BP254"/>
  <c r="BO254"/>
  <c r="BN254"/>
  <c r="BL254"/>
  <c r="BK254"/>
  <c r="BJ254"/>
  <c r="BI254"/>
  <c r="BH254"/>
  <c r="BF254"/>
  <c r="BE254"/>
  <c r="BD254"/>
  <c r="BC254"/>
  <c r="BB254"/>
  <c r="AY254"/>
  <c r="AX254"/>
  <c r="AW254"/>
  <c r="AV254"/>
  <c r="AU254"/>
  <c r="AS254"/>
  <c r="AR254"/>
  <c r="AQ254"/>
  <c r="AP254"/>
  <c r="AO254"/>
  <c r="AG254"/>
  <c r="AF254"/>
  <c r="AE254"/>
  <c r="AD254"/>
  <c r="AC254"/>
  <c r="N254"/>
  <c r="N252" s="1"/>
  <c r="M254"/>
  <c r="M252" s="1"/>
  <c r="M256" s="1"/>
  <c r="K254"/>
  <c r="J254"/>
  <c r="D254"/>
  <c r="GE254" l="1"/>
  <c r="FC254"/>
  <c r="BR254"/>
  <c r="ID254"/>
  <c r="AH254"/>
  <c r="BG254"/>
  <c r="HD254"/>
  <c r="AT254"/>
  <c r="BM254"/>
  <c r="O254"/>
  <c r="CF254"/>
  <c r="CK254"/>
  <c r="BA254" l="1"/>
  <c r="AZ253" l="1"/>
  <c r="AT253" l="1"/>
  <c r="AA253"/>
  <c r="J253"/>
  <c r="D253"/>
  <c r="JB252"/>
  <c r="JA252"/>
  <c r="IZ252"/>
  <c r="IY252"/>
  <c r="IX252"/>
  <c r="IV252"/>
  <c r="IU252"/>
  <c r="IT252"/>
  <c r="IS252"/>
  <c r="IR252"/>
  <c r="IP252"/>
  <c r="IO252"/>
  <c r="IN252"/>
  <c r="IL252"/>
  <c r="IK252"/>
  <c r="IJ252"/>
  <c r="II252"/>
  <c r="IH252"/>
  <c r="IG252"/>
  <c r="IF252"/>
  <c r="IE252"/>
  <c r="HY252"/>
  <c r="HX252"/>
  <c r="HW252"/>
  <c r="HV252"/>
  <c r="HU252"/>
  <c r="HT252"/>
  <c r="HS252"/>
  <c r="HR252"/>
  <c r="HQ252"/>
  <c r="HP252"/>
  <c r="HO252"/>
  <c r="HN252"/>
  <c r="HM252"/>
  <c r="HL252"/>
  <c r="HK252"/>
  <c r="HJ252"/>
  <c r="HI252"/>
  <c r="HH252"/>
  <c r="HG252"/>
  <c r="HF252"/>
  <c r="HE252"/>
  <c r="HD252"/>
  <c r="HC252"/>
  <c r="HB252"/>
  <c r="GY252"/>
  <c r="GX252"/>
  <c r="GW252"/>
  <c r="GV252"/>
  <c r="GU252" s="1"/>
  <c r="GT252"/>
  <c r="GS252"/>
  <c r="GR252" s="1"/>
  <c r="GQ252"/>
  <c r="GP252"/>
  <c r="GO252"/>
  <c r="GN252"/>
  <c r="GM252"/>
  <c r="AH253" l="1"/>
  <c r="BA253" s="1"/>
  <c r="HZ252"/>
  <c r="GL252"/>
  <c r="GK252"/>
  <c r="GJ252"/>
  <c r="GI252"/>
  <c r="GH252"/>
  <c r="GG252"/>
  <c r="GF252"/>
  <c r="FX252"/>
  <c r="FW252" s="1"/>
  <c r="FV252"/>
  <c r="FR252"/>
  <c r="FU252" l="1"/>
  <c r="FQ252"/>
  <c r="FP252"/>
  <c r="FO252"/>
  <c r="FL252"/>
  <c r="FK252"/>
  <c r="FI252"/>
  <c r="FH252"/>
  <c r="FG252"/>
  <c r="FF252"/>
  <c r="FE252"/>
  <c r="FD252"/>
  <c r="FC252"/>
  <c r="FB252"/>
  <c r="FA252"/>
  <c r="EY252"/>
  <c r="EX252"/>
  <c r="EV252"/>
  <c r="EU252"/>
  <c r="ET252"/>
  <c r="ES252"/>
  <c r="ER252"/>
  <c r="EQ252"/>
  <c r="EP252"/>
  <c r="EO252"/>
  <c r="EN252"/>
  <c r="EM252"/>
  <c r="EL252"/>
  <c r="EK252"/>
  <c r="EJ252"/>
  <c r="EI252"/>
  <c r="EH252"/>
  <c r="EG252"/>
  <c r="EF252"/>
  <c r="EE252"/>
  <c r="ED252"/>
  <c r="EC252"/>
  <c r="EA252"/>
  <c r="DZ252"/>
  <c r="DY252"/>
  <c r="DX252"/>
  <c r="DW252"/>
  <c r="DV252"/>
  <c r="EW252" l="1"/>
  <c r="FN252"/>
  <c r="FT252"/>
  <c r="DT252"/>
  <c r="DS252"/>
  <c r="DR252"/>
  <c r="DQ252"/>
  <c r="DP252"/>
  <c r="DN252"/>
  <c r="DM252"/>
  <c r="DL252"/>
  <c r="DK252"/>
  <c r="DJ252"/>
  <c r="DI252"/>
  <c r="DH252"/>
  <c r="DG252"/>
  <c r="DF252"/>
  <c r="DE252"/>
  <c r="DD252"/>
  <c r="DB252"/>
  <c r="FS252" l="1"/>
  <c r="DA252"/>
  <c r="CZ252"/>
  <c r="CV252"/>
  <c r="CU252"/>
  <c r="CT252"/>
  <c r="CS252"/>
  <c r="CR252"/>
  <c r="CP252"/>
  <c r="CO252"/>
  <c r="CN252"/>
  <c r="CM252"/>
  <c r="CL252"/>
  <c r="CK252"/>
  <c r="CJ252"/>
  <c r="CI252" s="1"/>
  <c r="CH252"/>
  <c r="CG252" s="1"/>
  <c r="CF252"/>
  <c r="CE252"/>
  <c r="CD252"/>
  <c r="CC252"/>
  <c r="CA252"/>
  <c r="BW252"/>
  <c r="BV252"/>
  <c r="BU252"/>
  <c r="BT252"/>
  <c r="BS252"/>
  <c r="CX252" l="1"/>
  <c r="BQ252"/>
  <c r="BP252"/>
  <c r="BO252"/>
  <c r="BN252" l="1"/>
  <c r="BM252"/>
  <c r="BL252"/>
  <c r="BK252" s="1"/>
  <c r="BJ252"/>
  <c r="BI252"/>
  <c r="BH252"/>
  <c r="BG252"/>
  <c r="BF252" s="1"/>
  <c r="BE252"/>
  <c r="BD252"/>
  <c r="BC252"/>
  <c r="BB252"/>
  <c r="BA252"/>
  <c r="AZ252"/>
  <c r="AY252"/>
  <c r="AX252"/>
  <c r="AW252"/>
  <c r="AV252"/>
  <c r="AU252"/>
  <c r="AT252"/>
  <c r="AS252"/>
  <c r="AR252"/>
  <c r="AQ252"/>
  <c r="AP252"/>
  <c r="AO252"/>
  <c r="AN252"/>
  <c r="AM252"/>
  <c r="AL252"/>
  <c r="AK252"/>
  <c r="AJ252"/>
  <c r="AI252"/>
  <c r="AH252"/>
  <c r="AF252"/>
  <c r="AE252"/>
  <c r="AD252"/>
  <c r="Z252"/>
  <c r="Y252"/>
  <c r="X252"/>
  <c r="W252"/>
  <c r="V252"/>
  <c r="T252"/>
  <c r="S252"/>
  <c r="R252"/>
  <c r="Q252"/>
  <c r="P252"/>
  <c r="O252"/>
  <c r="K252"/>
  <c r="J252"/>
  <c r="I252"/>
  <c r="H252"/>
  <c r="G252"/>
  <c r="F252"/>
  <c r="E252"/>
  <c r="D252"/>
  <c r="AG252" l="1"/>
  <c r="AC252"/>
  <c r="O250"/>
  <c r="J250"/>
  <c r="O249"/>
  <c r="J249"/>
  <c r="O247"/>
  <c r="AB247" s="1"/>
  <c r="AB250" l="1"/>
  <c r="AB249"/>
  <c r="O246"/>
  <c r="AB246" s="1"/>
  <c r="AT235" l="1"/>
  <c r="AH235"/>
  <c r="JC234"/>
  <c r="IW234"/>
  <c r="IQ234"/>
  <c r="IM234"/>
  <c r="IG234"/>
  <c r="IC234"/>
  <c r="HY234"/>
  <c r="HU234"/>
  <c r="HO234"/>
  <c r="HI234"/>
  <c r="GK234"/>
  <c r="ET234"/>
  <c r="EN234"/>
  <c r="EH234"/>
  <c r="DO234"/>
  <c r="EB234" s="1"/>
  <c r="CW234"/>
  <c r="CK234"/>
  <c r="CF234"/>
  <c r="AT234"/>
  <c r="AH234"/>
  <c r="J234"/>
  <c r="AB234" s="1"/>
  <c r="JC233"/>
  <c r="IW233"/>
  <c r="IQ233"/>
  <c r="IM233"/>
  <c r="IG233"/>
  <c r="IC233"/>
  <c r="HY233"/>
  <c r="HU233"/>
  <c r="HO233"/>
  <c r="HI233"/>
  <c r="GK233"/>
  <c r="ET233"/>
  <c r="EN233"/>
  <c r="EH233"/>
  <c r="DO233"/>
  <c r="EB233" s="1"/>
  <c r="CW233"/>
  <c r="CK233"/>
  <c r="CF233"/>
  <c r="AT233"/>
  <c r="AH233"/>
  <c r="J233"/>
  <c r="JC232"/>
  <c r="IW232"/>
  <c r="IQ232"/>
  <c r="IM232"/>
  <c r="IG232"/>
  <c r="IC232"/>
  <c r="HY232"/>
  <c r="HU232"/>
  <c r="HO232"/>
  <c r="HI232"/>
  <c r="GK232"/>
  <c r="ET232"/>
  <c r="EN232"/>
  <c r="EH232"/>
  <c r="DO232"/>
  <c r="EB232" s="1"/>
  <c r="CW232"/>
  <c r="CK232"/>
  <c r="CF232"/>
  <c r="AT232"/>
  <c r="AH232"/>
  <c r="J232"/>
  <c r="D232"/>
  <c r="JC231"/>
  <c r="IW231"/>
  <c r="IQ231"/>
  <c r="IM231"/>
  <c r="IG231"/>
  <c r="IC231"/>
  <c r="HY231"/>
  <c r="HU231"/>
  <c r="HO231"/>
  <c r="HI231"/>
  <c r="GK231"/>
  <c r="ET231"/>
  <c r="EN231"/>
  <c r="EH231"/>
  <c r="BA235" l="1"/>
  <c r="ID231"/>
  <c r="BA232"/>
  <c r="FC231"/>
  <c r="DC232"/>
  <c r="AB232"/>
  <c r="ID232"/>
  <c r="AB233"/>
  <c r="BA233"/>
  <c r="DC233"/>
  <c r="ID233"/>
  <c r="BA234"/>
  <c r="DC234"/>
  <c r="FC234"/>
  <c r="ID234"/>
  <c r="FC232"/>
  <c r="FC233"/>
  <c r="HD231"/>
  <c r="JD231"/>
  <c r="HD232"/>
  <c r="JD232"/>
  <c r="HD233"/>
  <c r="JD233"/>
  <c r="HD234"/>
  <c r="JD234"/>
  <c r="DO231"/>
  <c r="EB231" s="1"/>
  <c r="CW231"/>
  <c r="CK231"/>
  <c r="CF231"/>
  <c r="AT231"/>
  <c r="AH231"/>
  <c r="J231"/>
  <c r="D231"/>
  <c r="JC230"/>
  <c r="IW230"/>
  <c r="IQ230"/>
  <c r="IM230"/>
  <c r="IG230"/>
  <c r="IC230"/>
  <c r="HY230"/>
  <c r="HU230"/>
  <c r="HO230"/>
  <c r="HI230"/>
  <c r="GK230"/>
  <c r="ET230"/>
  <c r="EN230"/>
  <c r="EH230"/>
  <c r="DO230"/>
  <c r="EB230" s="1"/>
  <c r="CW230"/>
  <c r="CK230"/>
  <c r="CF230"/>
  <c r="AT230"/>
  <c r="AH230"/>
  <c r="O230"/>
  <c r="J230"/>
  <c r="D230"/>
  <c r="JC229"/>
  <c r="IW229"/>
  <c r="IQ229"/>
  <c r="IM229"/>
  <c r="IG229"/>
  <c r="IC229"/>
  <c r="HY229"/>
  <c r="HU229"/>
  <c r="HO229"/>
  <c r="HI229"/>
  <c r="GK229"/>
  <c r="ET229"/>
  <c r="EN229"/>
  <c r="EH229"/>
  <c r="DO229"/>
  <c r="EB229" s="1"/>
  <c r="CW229"/>
  <c r="CK229"/>
  <c r="CF229"/>
  <c r="AT229"/>
  <c r="AH229"/>
  <c r="O229"/>
  <c r="J229"/>
  <c r="D229"/>
  <c r="JC228"/>
  <c r="IW228"/>
  <c r="IQ228"/>
  <c r="IM228"/>
  <c r="IG228"/>
  <c r="IC228"/>
  <c r="AB229" l="1"/>
  <c r="BA229"/>
  <c r="DC229"/>
  <c r="FC229"/>
  <c r="ID229"/>
  <c r="BA230"/>
  <c r="DC230"/>
  <c r="FC230"/>
  <c r="ID230"/>
  <c r="BA231"/>
  <c r="DC231"/>
  <c r="AB230"/>
  <c r="AB231"/>
  <c r="JD228"/>
  <c r="HD229"/>
  <c r="JD229"/>
  <c r="HD230"/>
  <c r="JD230"/>
  <c r="HY228"/>
  <c r="HU228"/>
  <c r="HO228"/>
  <c r="HI228"/>
  <c r="GK228"/>
  <c r="ET228"/>
  <c r="EN228"/>
  <c r="EH228"/>
  <c r="DO228"/>
  <c r="EB228" s="1"/>
  <c r="CW228"/>
  <c r="CK228"/>
  <c r="CF228"/>
  <c r="AT228"/>
  <c r="AH228"/>
  <c r="BA228" l="1"/>
  <c r="DC228"/>
  <c r="FC228"/>
  <c r="ID228"/>
  <c r="HD228"/>
  <c r="O228"/>
  <c r="J228"/>
  <c r="D228"/>
  <c r="JC227"/>
  <c r="JC226" s="1"/>
  <c r="IW227"/>
  <c r="IQ227"/>
  <c r="IQ226" s="1"/>
  <c r="IM227"/>
  <c r="IG227"/>
  <c r="IG226" s="1"/>
  <c r="IC227"/>
  <c r="IC226" s="1"/>
  <c r="HY227"/>
  <c r="HY226" s="1"/>
  <c r="HY256" s="1"/>
  <c r="HU227"/>
  <c r="HO227"/>
  <c r="HO226" s="1"/>
  <c r="HO256" s="1"/>
  <c r="HI227"/>
  <c r="HC227"/>
  <c r="GV227"/>
  <c r="GP227"/>
  <c r="GK227"/>
  <c r="FX227"/>
  <c r="FR227"/>
  <c r="FM227"/>
  <c r="FM226" s="1"/>
  <c r="FG227"/>
  <c r="FB227"/>
  <c r="ET227"/>
  <c r="EN227"/>
  <c r="EH227"/>
  <c r="DO227"/>
  <c r="DI227"/>
  <c r="DB227"/>
  <c r="CW227"/>
  <c r="CQ227"/>
  <c r="CK227"/>
  <c r="CF227"/>
  <c r="BR227"/>
  <c r="BM227"/>
  <c r="BG227"/>
  <c r="AT227"/>
  <c r="AH227"/>
  <c r="O227"/>
  <c r="J227"/>
  <c r="D227"/>
  <c r="LG226"/>
  <c r="LG256" s="1"/>
  <c r="JB226"/>
  <c r="JB256" s="1"/>
  <c r="JA226"/>
  <c r="JA256" s="1"/>
  <c r="IZ226"/>
  <c r="IZ256" s="1"/>
  <c r="IY226"/>
  <c r="IY256" s="1"/>
  <c r="IX226"/>
  <c r="IX256" s="1"/>
  <c r="IW226"/>
  <c r="IV226"/>
  <c r="IV256" s="1"/>
  <c r="IU226"/>
  <c r="IU256" s="1"/>
  <c r="IT226"/>
  <c r="IT256" s="1"/>
  <c r="IS226"/>
  <c r="IS256" s="1"/>
  <c r="IR226"/>
  <c r="IR256" s="1"/>
  <c r="IP226"/>
  <c r="IP256" s="1"/>
  <c r="IO226"/>
  <c r="IO256" s="1"/>
  <c r="IN226"/>
  <c r="IN256" s="1"/>
  <c r="IM226"/>
  <c r="IL226"/>
  <c r="IL256" s="1"/>
  <c r="IK226"/>
  <c r="IK256" s="1"/>
  <c r="IJ226"/>
  <c r="IJ256" s="1"/>
  <c r="II226"/>
  <c r="II256" s="1"/>
  <c r="IH226"/>
  <c r="IH256" s="1"/>
  <c r="IF226"/>
  <c r="IF256" s="1"/>
  <c r="IE226"/>
  <c r="HZ226"/>
  <c r="HZ256" s="1"/>
  <c r="HX226"/>
  <c r="HX256" s="1"/>
  <c r="HW226"/>
  <c r="HW256" s="1"/>
  <c r="HV226"/>
  <c r="HV256" s="1"/>
  <c r="HU226"/>
  <c r="HU256" s="1"/>
  <c r="HT226"/>
  <c r="HT256" s="1"/>
  <c r="HS226"/>
  <c r="HS256" s="1"/>
  <c r="HR226"/>
  <c r="HR256" s="1"/>
  <c r="HQ226"/>
  <c r="HQ256" s="1"/>
  <c r="HP226"/>
  <c r="HN226"/>
  <c r="HN256" s="1"/>
  <c r="HM226"/>
  <c r="HL226"/>
  <c r="HK226"/>
  <c r="HJ226"/>
  <c r="HI226"/>
  <c r="HH226"/>
  <c r="HH256" s="1"/>
  <c r="HG226"/>
  <c r="HG256" s="1"/>
  <c r="HF226"/>
  <c r="HF256" s="1"/>
  <c r="HE226"/>
  <c r="HB226"/>
  <c r="HB256" s="1"/>
  <c r="GY226"/>
  <c r="GX226"/>
  <c r="GX256" s="1"/>
  <c r="GW226"/>
  <c r="GW256" s="1"/>
  <c r="GV226"/>
  <c r="GU226"/>
  <c r="GU256" s="1"/>
  <c r="GT226"/>
  <c r="GT256" s="1"/>
  <c r="GS226"/>
  <c r="GR226"/>
  <c r="GQ226"/>
  <c r="GP226"/>
  <c r="GO226"/>
  <c r="GN226"/>
  <c r="GM226"/>
  <c r="GL226"/>
  <c r="GK226"/>
  <c r="GJ226"/>
  <c r="GJ256" s="1"/>
  <c r="GI226"/>
  <c r="GI256" s="1"/>
  <c r="GH226"/>
  <c r="GH256" s="1"/>
  <c r="GG226"/>
  <c r="GF226"/>
  <c r="FX226"/>
  <c r="FW226"/>
  <c r="FW256" s="1"/>
  <c r="FV226"/>
  <c r="FV256" s="1"/>
  <c r="FU226"/>
  <c r="FU256" s="1"/>
  <c r="FT226"/>
  <c r="FT256" s="1"/>
  <c r="FS226"/>
  <c r="FS256" s="1"/>
  <c r="FR226"/>
  <c r="FQ226"/>
  <c r="FP226"/>
  <c r="FO226"/>
  <c r="FO256" s="1"/>
  <c r="FN226"/>
  <c r="FN256" s="1"/>
  <c r="FL226"/>
  <c r="FL256" s="1"/>
  <c r="FK226"/>
  <c r="FJ226"/>
  <c r="FI226"/>
  <c r="FI256" s="1"/>
  <c r="FH226"/>
  <c r="FH256" s="1"/>
  <c r="FG226"/>
  <c r="FF226"/>
  <c r="FF256" s="1"/>
  <c r="FE226"/>
  <c r="FE256" s="1"/>
  <c r="FD226"/>
  <c r="FD256" s="1"/>
  <c r="FB226"/>
  <c r="FB256" s="1"/>
  <c r="FA226"/>
  <c r="FA256" s="1"/>
  <c r="EY226"/>
  <c r="EY256" s="1"/>
  <c r="EX226"/>
  <c r="EX256" s="1"/>
  <c r="EW226"/>
  <c r="EW256" s="1"/>
  <c r="EV226"/>
  <c r="EV256" s="1"/>
  <c r="EU226"/>
  <c r="ET226"/>
  <c r="ET256" s="1"/>
  <c r="ES226"/>
  <c r="ER226"/>
  <c r="EQ226"/>
  <c r="EP226"/>
  <c r="EP256" s="1"/>
  <c r="EO226"/>
  <c r="EO256" s="1"/>
  <c r="EN226"/>
  <c r="EN256" s="1"/>
  <c r="EM226"/>
  <c r="EM256" s="1"/>
  <c r="EL226"/>
  <c r="EL256" s="1"/>
  <c r="EK226"/>
  <c r="EK256" s="1"/>
  <c r="EJ226"/>
  <c r="EJ256" s="1"/>
  <c r="EI226"/>
  <c r="EI256" s="1"/>
  <c r="EH226"/>
  <c r="EH256" s="1"/>
  <c r="EG226"/>
  <c r="EF226"/>
  <c r="EE226"/>
  <c r="ED226"/>
  <c r="EC226"/>
  <c r="EA226"/>
  <c r="DZ226"/>
  <c r="DZ256" s="1"/>
  <c r="DY226"/>
  <c r="DY256" s="1"/>
  <c r="DX226"/>
  <c r="DX256" s="1"/>
  <c r="DW226"/>
  <c r="DW256" s="1"/>
  <c r="DV226"/>
  <c r="DV256" s="1"/>
  <c r="DU226"/>
  <c r="DT226"/>
  <c r="DT256" s="1"/>
  <c r="DS226"/>
  <c r="DS256" s="1"/>
  <c r="DR226"/>
  <c r="DR256" s="1"/>
  <c r="DQ226"/>
  <c r="DQ256" s="1"/>
  <c r="DP226"/>
  <c r="DP256" s="1"/>
  <c r="DO226"/>
  <c r="DN226"/>
  <c r="DN256" s="1"/>
  <c r="DM226"/>
  <c r="DM256" s="1"/>
  <c r="DL226"/>
  <c r="DL256" s="1"/>
  <c r="DK226"/>
  <c r="DK256" s="1"/>
  <c r="DJ226"/>
  <c r="DJ256" s="1"/>
  <c r="DI226"/>
  <c r="DH226"/>
  <c r="DH256" s="1"/>
  <c r="DG226"/>
  <c r="DG256" s="1"/>
  <c r="DF226"/>
  <c r="DE226"/>
  <c r="DD226"/>
  <c r="DD256" s="1"/>
  <c r="DB226"/>
  <c r="DB256" s="1"/>
  <c r="DA226"/>
  <c r="DA256" s="1"/>
  <c r="CZ226"/>
  <c r="CZ256" s="1"/>
  <c r="CX226"/>
  <c r="CX256" s="1"/>
  <c r="CW226"/>
  <c r="CV226"/>
  <c r="CV256" s="1"/>
  <c r="CU226"/>
  <c r="CU256" s="1"/>
  <c r="CT226"/>
  <c r="CT256" s="1"/>
  <c r="CS226"/>
  <c r="CS256" s="1"/>
  <c r="CR226"/>
  <c r="CR256" s="1"/>
  <c r="CQ226"/>
  <c r="CP226"/>
  <c r="CO226"/>
  <c r="CN226"/>
  <c r="CM226"/>
  <c r="CM256" s="1"/>
  <c r="CL226"/>
  <c r="CL256" s="1"/>
  <c r="CK226"/>
  <c r="CJ226"/>
  <c r="CI226"/>
  <c r="CH226"/>
  <c r="CG226"/>
  <c r="CF226"/>
  <c r="CF256" s="1"/>
  <c r="CE226"/>
  <c r="CD226"/>
  <c r="CD256" s="1"/>
  <c r="CC226"/>
  <c r="CA226"/>
  <c r="CA256" s="1"/>
  <c r="BX226"/>
  <c r="BW226"/>
  <c r="BW256" s="1"/>
  <c r="BV226"/>
  <c r="BU226"/>
  <c r="BU256" s="1"/>
  <c r="BT226"/>
  <c r="BS226"/>
  <c r="BS256" s="1"/>
  <c r="BR226"/>
  <c r="BQ226"/>
  <c r="BQ256" s="1"/>
  <c r="BP226"/>
  <c r="BP256" s="1"/>
  <c r="BO226"/>
  <c r="BO256" s="1"/>
  <c r="BN226"/>
  <c r="BN256" s="1"/>
  <c r="BM226"/>
  <c r="BM256" s="1"/>
  <c r="BL226"/>
  <c r="BK226"/>
  <c r="BK256" s="1"/>
  <c r="BJ226"/>
  <c r="BI226"/>
  <c r="BI256" s="1"/>
  <c r="BH226"/>
  <c r="BG226"/>
  <c r="BF226"/>
  <c r="BF256" s="1"/>
  <c r="BE226"/>
  <c r="BD226"/>
  <c r="BD256" s="1"/>
  <c r="BC226"/>
  <c r="BB226"/>
  <c r="BB256" s="1"/>
  <c r="AY226"/>
  <c r="AY256" s="1"/>
  <c r="AX226"/>
  <c r="AX256" s="1"/>
  <c r="AW226"/>
  <c r="AW256" s="1"/>
  <c r="AV226"/>
  <c r="AV256" s="1"/>
  <c r="AU226"/>
  <c r="AU256" s="1"/>
  <c r="AT226"/>
  <c r="AT256" s="1"/>
  <c r="AS226"/>
  <c r="AS256" s="1"/>
  <c r="AR226"/>
  <c r="AR256" s="1"/>
  <c r="AQ226"/>
  <c r="AQ256" s="1"/>
  <c r="AP226"/>
  <c r="AP256" s="1"/>
  <c r="AO226"/>
  <c r="AO256" s="1"/>
  <c r="AN226"/>
  <c r="AN256" s="1"/>
  <c r="AM226"/>
  <c r="AM256" s="1"/>
  <c r="AL226"/>
  <c r="AL256" s="1"/>
  <c r="AK226"/>
  <c r="AK256" s="1"/>
  <c r="AJ226"/>
  <c r="AJ256" s="1"/>
  <c r="AI226"/>
  <c r="AI256" s="1"/>
  <c r="AH226"/>
  <c r="AH256" s="1"/>
  <c r="AG226"/>
  <c r="AG256" s="1"/>
  <c r="AF226"/>
  <c r="AF256" s="1"/>
  <c r="AE226"/>
  <c r="AE256" s="1"/>
  <c r="AD226"/>
  <c r="AD256" s="1"/>
  <c r="AC226"/>
  <c r="AC256" s="1"/>
  <c r="AA226"/>
  <c r="Z226"/>
  <c r="Y226"/>
  <c r="Y256" s="1"/>
  <c r="X226"/>
  <c r="W226"/>
  <c r="W256" s="1"/>
  <c r="V226"/>
  <c r="V256" s="1"/>
  <c r="U226"/>
  <c r="T226"/>
  <c r="S226"/>
  <c r="S256" s="1"/>
  <c r="R226"/>
  <c r="Q226"/>
  <c r="Q256" s="1"/>
  <c r="P226"/>
  <c r="O226"/>
  <c r="O256" s="1"/>
  <c r="N226"/>
  <c r="K226"/>
  <c r="K256" s="1"/>
  <c r="J226"/>
  <c r="I226"/>
  <c r="H226"/>
  <c r="G226"/>
  <c r="F226"/>
  <c r="E226"/>
  <c r="D226"/>
  <c r="GE227" l="1"/>
  <c r="P256"/>
  <c r="HE256"/>
  <c r="N256"/>
  <c r="FG256"/>
  <c r="FK256"/>
  <c r="DF256"/>
  <c r="FQ256"/>
  <c r="FR256"/>
  <c r="AB227"/>
  <c r="CB227"/>
  <c r="CB226" s="1"/>
  <c r="EB227"/>
  <c r="EB226" s="1"/>
  <c r="BA227"/>
  <c r="DC227"/>
  <c r="DC226" s="1"/>
  <c r="FC227"/>
  <c r="FC226" s="1"/>
  <c r="FC256" s="1"/>
  <c r="AB228"/>
  <c r="GS256"/>
  <c r="GY256"/>
  <c r="HM256"/>
  <c r="IG256"/>
  <c r="J256"/>
  <c r="I256" s="1"/>
  <c r="H256" s="1"/>
  <c r="G256" s="1"/>
  <c r="F256" s="1"/>
  <c r="E256" s="1"/>
  <c r="D256" s="1"/>
  <c r="BC256"/>
  <c r="BE256"/>
  <c r="CC256"/>
  <c r="CE256"/>
  <c r="GE226"/>
  <c r="HD227"/>
  <c r="ID227"/>
  <c r="ID226" s="1"/>
  <c r="R256"/>
  <c r="T256"/>
  <c r="X256"/>
  <c r="Z256"/>
  <c r="BH256"/>
  <c r="BJ256"/>
  <c r="BL256"/>
  <c r="BT256"/>
  <c r="BV256"/>
  <c r="CK256"/>
  <c r="CJ256" s="1"/>
  <c r="CI256" s="1"/>
  <c r="CH256" s="1"/>
  <c r="CG256" s="1"/>
  <c r="DI256"/>
  <c r="EG256"/>
  <c r="ES256"/>
  <c r="ER256" s="1"/>
  <c r="EQ256" s="1"/>
  <c r="EU256"/>
  <c r="FP256"/>
  <c r="GG256"/>
  <c r="GV256"/>
  <c r="HP256"/>
  <c r="IE256"/>
  <c r="DE256"/>
  <c r="JD227"/>
  <c r="JD226" s="1"/>
  <c r="HL256" l="1"/>
  <c r="GF256"/>
  <c r="AB226"/>
  <c r="D268"/>
  <c r="D258"/>
  <c r="HJ256"/>
  <c r="GR256"/>
  <c r="EF256"/>
  <c r="BG256"/>
  <c r="HK256" l="1"/>
  <c r="E258"/>
  <c r="J268"/>
  <c r="E268"/>
  <c r="EE256"/>
  <c r="GQ256"/>
  <c r="HI256"/>
  <c r="GP256" l="1"/>
  <c r="ED256"/>
  <c r="O268"/>
  <c r="K268"/>
  <c r="L268" s="1"/>
  <c r="M268" s="1"/>
  <c r="N268" s="1"/>
  <c r="JC219"/>
  <c r="JD219" s="1"/>
  <c r="IW219"/>
  <c r="IQ219"/>
  <c r="GO256" l="1"/>
  <c r="EC256"/>
  <c r="GM256"/>
  <c r="IM219"/>
  <c r="IG219"/>
  <c r="IC219"/>
  <c r="HY219"/>
  <c r="HU219"/>
  <c r="HO219"/>
  <c r="HI219"/>
  <c r="GP219"/>
  <c r="GK219"/>
  <c r="FR219"/>
  <c r="FM219"/>
  <c r="FG219"/>
  <c r="EH219"/>
  <c r="DO219"/>
  <c r="DI219"/>
  <c r="CK219"/>
  <c r="GN256" l="1"/>
  <c r="GE219"/>
  <c r="GE218" s="1"/>
  <c r="FC219"/>
  <c r="FC218" s="1"/>
  <c r="EB219"/>
  <c r="HD219"/>
  <c r="HD218" s="1"/>
  <c r="ID219"/>
  <c r="ID218" s="1"/>
  <c r="JD218"/>
  <c r="GL256"/>
  <c r="CF219"/>
  <c r="DC219" s="1"/>
  <c r="DC218" s="1"/>
  <c r="BX219"/>
  <c r="BR219"/>
  <c r="BR218" s="1"/>
  <c r="BM219"/>
  <c r="BM218" s="1"/>
  <c r="AZ219"/>
  <c r="AZ218" s="1"/>
  <c r="AT219"/>
  <c r="J219"/>
  <c r="J218" s="1"/>
  <c r="D219"/>
  <c r="JC218"/>
  <c r="JB218"/>
  <c r="JA218"/>
  <c r="IZ218"/>
  <c r="IY218"/>
  <c r="IX218"/>
  <c r="IW218"/>
  <c r="IV218"/>
  <c r="IU218"/>
  <c r="IT218"/>
  <c r="IS218"/>
  <c r="IR218"/>
  <c r="IQ218"/>
  <c r="IP218"/>
  <c r="IO218"/>
  <c r="IN218"/>
  <c r="IM218"/>
  <c r="IL218"/>
  <c r="IK218"/>
  <c r="IJ218"/>
  <c r="II218"/>
  <c r="IH218"/>
  <c r="IF218"/>
  <c r="IE218"/>
  <c r="IC218"/>
  <c r="HZ218"/>
  <c r="HY218"/>
  <c r="HX218"/>
  <c r="HW218"/>
  <c r="HV218"/>
  <c r="HU218"/>
  <c r="HT218"/>
  <c r="HS218"/>
  <c r="HR218"/>
  <c r="HQ218"/>
  <c r="HP218"/>
  <c r="HO218"/>
  <c r="HN218"/>
  <c r="HM218"/>
  <c r="HL218"/>
  <c r="HK218"/>
  <c r="HJ218"/>
  <c r="HI218"/>
  <c r="HH218"/>
  <c r="HG218"/>
  <c r="HF218"/>
  <c r="HE218"/>
  <c r="HC218"/>
  <c r="HB218"/>
  <c r="GY218"/>
  <c r="GX218"/>
  <c r="GW218"/>
  <c r="GV218"/>
  <c r="GU218"/>
  <c r="GT218"/>
  <c r="GS218"/>
  <c r="GR218"/>
  <c r="GQ218"/>
  <c r="GP218"/>
  <c r="GO218"/>
  <c r="GN218"/>
  <c r="GM218"/>
  <c r="GL218"/>
  <c r="GK218"/>
  <c r="GJ218"/>
  <c r="GI218"/>
  <c r="GH218"/>
  <c r="GG218"/>
  <c r="GF218"/>
  <c r="FX218"/>
  <c r="FW218"/>
  <c r="FV218"/>
  <c r="FU218"/>
  <c r="FT218"/>
  <c r="FS218"/>
  <c r="FR218"/>
  <c r="FQ218"/>
  <c r="FP218"/>
  <c r="FO218"/>
  <c r="FN218"/>
  <c r="FM218"/>
  <c r="FL218"/>
  <c r="FK218"/>
  <c r="FJ218"/>
  <c r="FI218"/>
  <c r="FH218"/>
  <c r="FG218"/>
  <c r="FF218"/>
  <c r="FE218"/>
  <c r="FD218"/>
  <c r="FB218"/>
  <c r="FA218"/>
  <c r="EY218"/>
  <c r="EX218"/>
  <c r="EW218"/>
  <c r="EV218"/>
  <c r="EU218"/>
  <c r="ET218"/>
  <c r="ES218"/>
  <c r="ER218"/>
  <c r="EQ218"/>
  <c r="EP218"/>
  <c r="EO218"/>
  <c r="EN218"/>
  <c r="EM218"/>
  <c r="EL218"/>
  <c r="EK218"/>
  <c r="EJ218"/>
  <c r="EI218"/>
  <c r="EH218"/>
  <c r="EG218"/>
  <c r="EF218"/>
  <c r="EE218"/>
  <c r="ED218"/>
  <c r="EC218"/>
  <c r="EB218"/>
  <c r="EA218"/>
  <c r="DZ218"/>
  <c r="DY218"/>
  <c r="DX218"/>
  <c r="DW218"/>
  <c r="DV218"/>
  <c r="DU218"/>
  <c r="DT218"/>
  <c r="DS218"/>
  <c r="DR218"/>
  <c r="DQ218"/>
  <c r="DP218"/>
  <c r="DO218"/>
  <c r="DN218"/>
  <c r="DM218"/>
  <c r="DL218"/>
  <c r="DK218"/>
  <c r="DJ218"/>
  <c r="DI218"/>
  <c r="DH218"/>
  <c r="DG218"/>
  <c r="DF218"/>
  <c r="DE218"/>
  <c r="DD218"/>
  <c r="DB218"/>
  <c r="DA218"/>
  <c r="CZ218"/>
  <c r="CX218"/>
  <c r="CW218"/>
  <c r="CV218"/>
  <c r="CU218"/>
  <c r="CT218"/>
  <c r="CS218"/>
  <c r="CR218"/>
  <c r="CQ218"/>
  <c r="CP218"/>
  <c r="CO218"/>
  <c r="CN218"/>
  <c r="CM218"/>
  <c r="CL218"/>
  <c r="CK218"/>
  <c r="CJ218"/>
  <c r="CI218"/>
  <c r="CH218"/>
  <c r="CG218"/>
  <c r="CF218"/>
  <c r="CE218"/>
  <c r="CD218"/>
  <c r="CC218"/>
  <c r="CA218"/>
  <c r="BX218"/>
  <c r="BW218"/>
  <c r="BV218"/>
  <c r="BU218"/>
  <c r="BT218"/>
  <c r="BS218"/>
  <c r="BQ218"/>
  <c r="BP218"/>
  <c r="BO218"/>
  <c r="BN218"/>
  <c r="BL218"/>
  <c r="BK218"/>
  <c r="BJ218"/>
  <c r="BI218"/>
  <c r="BH218"/>
  <c r="BG218"/>
  <c r="BF218"/>
  <c r="BE218"/>
  <c r="BD218"/>
  <c r="BC218"/>
  <c r="BB218"/>
  <c r="AY218"/>
  <c r="AX218"/>
  <c r="AW218"/>
  <c r="AV218"/>
  <c r="AU218"/>
  <c r="AT218"/>
  <c r="AS218"/>
  <c r="AR218"/>
  <c r="AQ218"/>
  <c r="AP218"/>
  <c r="AO218"/>
  <c r="AN218"/>
  <c r="AM218"/>
  <c r="AL218"/>
  <c r="AK218"/>
  <c r="AJ218"/>
  <c r="AI218"/>
  <c r="AH218"/>
  <c r="AG218"/>
  <c r="AF218"/>
  <c r="AE218"/>
  <c r="AD218"/>
  <c r="AC218"/>
  <c r="AA218"/>
  <c r="Z218"/>
  <c r="Y218"/>
  <c r="X218"/>
  <c r="W218"/>
  <c r="V218"/>
  <c r="U218"/>
  <c r="T218"/>
  <c r="S218"/>
  <c r="R218"/>
  <c r="Q218"/>
  <c r="P218"/>
  <c r="O218"/>
  <c r="N218"/>
  <c r="M218"/>
  <c r="K218"/>
  <c r="I218"/>
  <c r="H218"/>
  <c r="G218"/>
  <c r="F218"/>
  <c r="E218"/>
  <c r="D218"/>
  <c r="JC216"/>
  <c r="IW216"/>
  <c r="IQ216"/>
  <c r="IM216"/>
  <c r="IG216"/>
  <c r="IC216"/>
  <c r="HY216"/>
  <c r="HU216"/>
  <c r="HO216"/>
  <c r="HI216"/>
  <c r="GP216"/>
  <c r="GK216"/>
  <c r="FR216"/>
  <c r="FM216"/>
  <c r="FG216"/>
  <c r="EH216"/>
  <c r="DO216"/>
  <c r="DI216"/>
  <c r="CQ216"/>
  <c r="CK216"/>
  <c r="CF216"/>
  <c r="BX216"/>
  <c r="BR216"/>
  <c r="BM216"/>
  <c r="AZ216"/>
  <c r="AT216"/>
  <c r="J216"/>
  <c r="D216"/>
  <c r="JC215"/>
  <c r="JD215" s="1"/>
  <c r="IW215"/>
  <c r="IQ215"/>
  <c r="IM215"/>
  <c r="IG215"/>
  <c r="IC215"/>
  <c r="HY215"/>
  <c r="HU215"/>
  <c r="HO215"/>
  <c r="HI215"/>
  <c r="GP215"/>
  <c r="GK215"/>
  <c r="FR215"/>
  <c r="FM215"/>
  <c r="FG215"/>
  <c r="EH215"/>
  <c r="DO215"/>
  <c r="DI215"/>
  <c r="CQ215"/>
  <c r="CK215"/>
  <c r="CF215"/>
  <c r="BX215"/>
  <c r="BR215"/>
  <c r="BM215"/>
  <c r="AZ215"/>
  <c r="AT215"/>
  <c r="J215"/>
  <c r="D215"/>
  <c r="JC214"/>
  <c r="IW214"/>
  <c r="IQ214"/>
  <c r="IM214"/>
  <c r="IG214"/>
  <c r="IC214"/>
  <c r="HY214"/>
  <c r="HU214"/>
  <c r="HO214"/>
  <c r="HI214"/>
  <c r="GP214"/>
  <c r="GK214"/>
  <c r="FR214"/>
  <c r="FM214"/>
  <c r="FG214"/>
  <c r="EH214"/>
  <c r="DO214"/>
  <c r="DI214"/>
  <c r="CQ214"/>
  <c r="CK214"/>
  <c r="CF214"/>
  <c r="BX214"/>
  <c r="BR214"/>
  <c r="BM214"/>
  <c r="AZ214"/>
  <c r="AT214"/>
  <c r="J214"/>
  <c r="D214"/>
  <c r="JC213"/>
  <c r="JC212" s="1"/>
  <c r="IW213"/>
  <c r="IW212" s="1"/>
  <c r="IQ213"/>
  <c r="IQ212" s="1"/>
  <c r="IM213"/>
  <c r="IG213"/>
  <c r="IC213"/>
  <c r="IC212" s="1"/>
  <c r="HY213"/>
  <c r="HY212" s="1"/>
  <c r="HU213"/>
  <c r="HU212" s="1"/>
  <c r="HO213"/>
  <c r="HO212" s="1"/>
  <c r="HI213"/>
  <c r="GV212"/>
  <c r="GP213"/>
  <c r="FX213"/>
  <c r="FR213"/>
  <c r="FM213"/>
  <c r="FG213"/>
  <c r="FB212"/>
  <c r="EH213"/>
  <c r="EH212" s="1"/>
  <c r="DO213"/>
  <c r="DI213"/>
  <c r="DB213"/>
  <c r="CQ213"/>
  <c r="CK213"/>
  <c r="CF213"/>
  <c r="BX213"/>
  <c r="BR213"/>
  <c r="BM213"/>
  <c r="AT213"/>
  <c r="J213"/>
  <c r="D213"/>
  <c r="LG212"/>
  <c r="JB212"/>
  <c r="JA212"/>
  <c r="IZ212"/>
  <c r="IY212"/>
  <c r="IX212"/>
  <c r="IV212"/>
  <c r="IU212"/>
  <c r="IT212"/>
  <c r="IS212"/>
  <c r="IR212"/>
  <c r="IP212"/>
  <c r="IO212"/>
  <c r="IN212"/>
  <c r="IM212"/>
  <c r="IL212"/>
  <c r="IK212"/>
  <c r="IJ212"/>
  <c r="II212"/>
  <c r="IH212"/>
  <c r="IG212"/>
  <c r="IF212"/>
  <c r="IE212"/>
  <c r="HZ212"/>
  <c r="HX212"/>
  <c r="HW212"/>
  <c r="HV212"/>
  <c r="HT212"/>
  <c r="HS212"/>
  <c r="HR212"/>
  <c r="HQ212"/>
  <c r="HP212"/>
  <c r="HN212"/>
  <c r="HM212"/>
  <c r="HL212"/>
  <c r="HK212"/>
  <c r="HJ212"/>
  <c r="HI212"/>
  <c r="HH212"/>
  <c r="HG212"/>
  <c r="HF212"/>
  <c r="HE212"/>
  <c r="HC212"/>
  <c r="HB212"/>
  <c r="GY212"/>
  <c r="GX212"/>
  <c r="GW212"/>
  <c r="GU212"/>
  <c r="GT212"/>
  <c r="GS212"/>
  <c r="GR212"/>
  <c r="GQ212"/>
  <c r="GO212"/>
  <c r="GN212"/>
  <c r="GM212"/>
  <c r="GL212"/>
  <c r="GJ212"/>
  <c r="GI212"/>
  <c r="GH212"/>
  <c r="GG212"/>
  <c r="GF212"/>
  <c r="FX212"/>
  <c r="FW212"/>
  <c r="FV212"/>
  <c r="FU212"/>
  <c r="FT212"/>
  <c r="FS212"/>
  <c r="FQ212"/>
  <c r="FP212"/>
  <c r="FO212"/>
  <c r="FN212"/>
  <c r="FL212"/>
  <c r="FK212"/>
  <c r="FJ212"/>
  <c r="FI212"/>
  <c r="FH212"/>
  <c r="FG212"/>
  <c r="FF212"/>
  <c r="FE212"/>
  <c r="FD212"/>
  <c r="FA212"/>
  <c r="EY212"/>
  <c r="EX212"/>
  <c r="EW212"/>
  <c r="EV212"/>
  <c r="EU212"/>
  <c r="ET212"/>
  <c r="ES212"/>
  <c r="ER212"/>
  <c r="EQ212"/>
  <c r="EP212"/>
  <c r="EO212"/>
  <c r="EN212"/>
  <c r="EM212"/>
  <c r="EL212"/>
  <c r="EK212"/>
  <c r="EJ212"/>
  <c r="EI212"/>
  <c r="EG212"/>
  <c r="EF212"/>
  <c r="EE212"/>
  <c r="ED212"/>
  <c r="EC212"/>
  <c r="EA212"/>
  <c r="DZ212"/>
  <c r="DY212"/>
  <c r="DX212"/>
  <c r="DW212"/>
  <c r="DV212"/>
  <c r="DU212"/>
  <c r="DT212"/>
  <c r="DS212"/>
  <c r="DR212"/>
  <c r="DQ212"/>
  <c r="DP212"/>
  <c r="DN212"/>
  <c r="DM212"/>
  <c r="DL212"/>
  <c r="DK212"/>
  <c r="DJ212"/>
  <c r="DI212"/>
  <c r="DH212"/>
  <c r="DG212"/>
  <c r="DF212"/>
  <c r="DE212"/>
  <c r="DD212"/>
  <c r="DB212"/>
  <c r="DA212"/>
  <c r="CZ212"/>
  <c r="CX212"/>
  <c r="CW212"/>
  <c r="CV212"/>
  <c r="CU212"/>
  <c r="CT212"/>
  <c r="CS212"/>
  <c r="CR212"/>
  <c r="CP212"/>
  <c r="CO212"/>
  <c r="CM212"/>
  <c r="CL212"/>
  <c r="CJ212"/>
  <c r="CI212"/>
  <c r="CH212"/>
  <c r="CG212"/>
  <c r="CE212"/>
  <c r="CD212"/>
  <c r="CC212"/>
  <c r="CA212"/>
  <c r="BX212"/>
  <c r="BW212"/>
  <c r="BV212"/>
  <c r="BU212"/>
  <c r="BT212"/>
  <c r="BS212"/>
  <c r="BQ212"/>
  <c r="BP212"/>
  <c r="BO212"/>
  <c r="BN212"/>
  <c r="BM212"/>
  <c r="BL212"/>
  <c r="BK212"/>
  <c r="BJ212"/>
  <c r="BI212"/>
  <c r="BH212"/>
  <c r="BG212"/>
  <c r="BF212"/>
  <c r="BE212"/>
  <c r="BD212"/>
  <c r="BC212"/>
  <c r="BB212"/>
  <c r="AZ212"/>
  <c r="AY212"/>
  <c r="AX212"/>
  <c r="AW212"/>
  <c r="AV212"/>
  <c r="AU212"/>
  <c r="AT212"/>
  <c r="AS212"/>
  <c r="AR212"/>
  <c r="AQ212"/>
  <c r="AP212"/>
  <c r="AO212"/>
  <c r="AN212"/>
  <c r="AM212"/>
  <c r="AL212"/>
  <c r="AK212"/>
  <c r="AJ212"/>
  <c r="AI212"/>
  <c r="AH212"/>
  <c r="AG212"/>
  <c r="AF212"/>
  <c r="AE212"/>
  <c r="AD212"/>
  <c r="AC212"/>
  <c r="AA212"/>
  <c r="Z212"/>
  <c r="Y212"/>
  <c r="X212"/>
  <c r="W212"/>
  <c r="V212"/>
  <c r="U212"/>
  <c r="T212"/>
  <c r="S212"/>
  <c r="R212"/>
  <c r="Q212"/>
  <c r="P212"/>
  <c r="O212"/>
  <c r="N212"/>
  <c r="M212"/>
  <c r="K212"/>
  <c r="J212"/>
  <c r="I212"/>
  <c r="H212"/>
  <c r="G212"/>
  <c r="F212"/>
  <c r="E212"/>
  <c r="D212"/>
  <c r="CK212" l="1"/>
  <c r="GP212"/>
  <c r="GE216"/>
  <c r="GE213"/>
  <c r="GE215"/>
  <c r="GE214"/>
  <c r="FM212"/>
  <c r="DO212"/>
  <c r="BR212"/>
  <c r="CF212"/>
  <c r="CF221" s="1"/>
  <c r="CE221" s="1"/>
  <c r="CD221" s="1"/>
  <c r="CC221" s="1"/>
  <c r="CB213"/>
  <c r="CB219"/>
  <c r="CB218" s="1"/>
  <c r="AB213"/>
  <c r="FR212"/>
  <c r="FR221" s="1"/>
  <c r="CN212"/>
  <c r="AB219"/>
  <c r="AB218" s="1"/>
  <c r="BA214"/>
  <c r="AB215"/>
  <c r="EB215"/>
  <c r="BA216"/>
  <c r="EB216"/>
  <c r="FC216"/>
  <c r="CQ212"/>
  <c r="CQ221" s="1"/>
  <c r="BA213"/>
  <c r="DC213"/>
  <c r="EB213"/>
  <c r="FC213"/>
  <c r="AB214"/>
  <c r="CB214"/>
  <c r="FC214"/>
  <c r="BA215"/>
  <c r="DC215"/>
  <c r="FC215"/>
  <c r="ID215"/>
  <c r="AB216"/>
  <c r="CB216"/>
  <c r="HD216"/>
  <c r="BA219"/>
  <c r="BA218" s="1"/>
  <c r="CB215"/>
  <c r="DC216"/>
  <c r="ID213"/>
  <c r="DC214"/>
  <c r="EB214"/>
  <c r="ID216"/>
  <c r="F221"/>
  <c r="H221"/>
  <c r="G221" s="1"/>
  <c r="M221"/>
  <c r="O221"/>
  <c r="Q221"/>
  <c r="S221"/>
  <c r="U221"/>
  <c r="W221"/>
  <c r="Y221"/>
  <c r="AA221"/>
  <c r="AD221"/>
  <c r="AF221"/>
  <c r="AH221"/>
  <c r="AJ221"/>
  <c r="AL221"/>
  <c r="AN221"/>
  <c r="AP221"/>
  <c r="AR221"/>
  <c r="AV221"/>
  <c r="AX221"/>
  <c r="AZ221"/>
  <c r="BB221"/>
  <c r="BD221"/>
  <c r="BF221"/>
  <c r="BH221"/>
  <c r="BG221" s="1"/>
  <c r="BJ221"/>
  <c r="BL221"/>
  <c r="BN221"/>
  <c r="BP221"/>
  <c r="BR221"/>
  <c r="BT221"/>
  <c r="BV221"/>
  <c r="BX221"/>
  <c r="CK221"/>
  <c r="CJ221" s="1"/>
  <c r="CI221" s="1"/>
  <c r="CH221" s="1"/>
  <c r="CG221" s="1"/>
  <c r="CM221"/>
  <c r="CO221"/>
  <c r="CS221"/>
  <c r="CU221"/>
  <c r="CW221"/>
  <c r="CZ221"/>
  <c r="DB221"/>
  <c r="DD221"/>
  <c r="DH221"/>
  <c r="DK221"/>
  <c r="DM221"/>
  <c r="DQ221"/>
  <c r="DS221"/>
  <c r="DW221"/>
  <c r="DY221"/>
  <c r="EA221"/>
  <c r="EC221"/>
  <c r="EE221"/>
  <c r="EG221"/>
  <c r="EF221" s="1"/>
  <c r="EI221"/>
  <c r="EH221" s="1"/>
  <c r="EK221"/>
  <c r="EM221"/>
  <c r="EO221"/>
  <c r="EQ221"/>
  <c r="EP221" s="1"/>
  <c r="ES221"/>
  <c r="EU221"/>
  <c r="EW221"/>
  <c r="EY221"/>
  <c r="FB221"/>
  <c r="FA221" s="1"/>
  <c r="FD221"/>
  <c r="FI221"/>
  <c r="FK221"/>
  <c r="FM221"/>
  <c r="FO221"/>
  <c r="FQ221"/>
  <c r="FT221"/>
  <c r="FV221"/>
  <c r="FW221"/>
  <c r="GI221"/>
  <c r="GJ221"/>
  <c r="GL221"/>
  <c r="GN221"/>
  <c r="GR221"/>
  <c r="GT221"/>
  <c r="HC221"/>
  <c r="HE221"/>
  <c r="HG221"/>
  <c r="HJ221"/>
  <c r="HI221" s="1"/>
  <c r="HL221"/>
  <c r="HN221"/>
  <c r="HP221"/>
  <c r="HO221" s="1"/>
  <c r="HR221"/>
  <c r="HT221"/>
  <c r="HZ221"/>
  <c r="HY221" s="1"/>
  <c r="IC221"/>
  <c r="IE221"/>
  <c r="IF221"/>
  <c r="IK221"/>
  <c r="IO221"/>
  <c r="IP221"/>
  <c r="IR221"/>
  <c r="IT221"/>
  <c r="IV221"/>
  <c r="IX221"/>
  <c r="IZ221"/>
  <c r="JB221"/>
  <c r="LG221"/>
  <c r="AC221"/>
  <c r="IG218"/>
  <c r="IG221" s="1"/>
  <c r="IH221"/>
  <c r="GK256"/>
  <c r="GK213"/>
  <c r="JD213"/>
  <c r="HD214"/>
  <c r="ID214"/>
  <c r="HD215"/>
  <c r="E221"/>
  <c r="D221" s="1"/>
  <c r="I221"/>
  <c r="K221"/>
  <c r="J221" s="1"/>
  <c r="N221"/>
  <c r="P221"/>
  <c r="R221"/>
  <c r="T221"/>
  <c r="V221"/>
  <c r="X221"/>
  <c r="Z221"/>
  <c r="AE221"/>
  <c r="AG221"/>
  <c r="AI221"/>
  <c r="AK221"/>
  <c r="AM221"/>
  <c r="AO221"/>
  <c r="AQ221"/>
  <c r="AS221"/>
  <c r="AU221"/>
  <c r="AT221" s="1"/>
  <c r="AW221"/>
  <c r="AY221"/>
  <c r="BC221"/>
  <c r="BE221"/>
  <c r="BI221"/>
  <c r="BK221"/>
  <c r="BM221"/>
  <c r="BO221"/>
  <c r="BQ221"/>
  <c r="BS221"/>
  <c r="BU221"/>
  <c r="BW221"/>
  <c r="CA221"/>
  <c r="CL221"/>
  <c r="CP221"/>
  <c r="CR221"/>
  <c r="CT221"/>
  <c r="CV221"/>
  <c r="CX221"/>
  <c r="DA221"/>
  <c r="DG221"/>
  <c r="DF221" s="1"/>
  <c r="DE221" s="1"/>
  <c r="DJ221"/>
  <c r="DI221" s="1"/>
  <c r="DL221"/>
  <c r="DN221"/>
  <c r="DP221"/>
  <c r="DO221" s="1"/>
  <c r="DR221"/>
  <c r="DT221"/>
  <c r="DV221"/>
  <c r="DU221" s="1"/>
  <c r="DX221"/>
  <c r="DZ221"/>
  <c r="ED221"/>
  <c r="EJ221"/>
  <c r="EL221"/>
  <c r="EN221"/>
  <c r="ER221"/>
  <c r="ET221"/>
  <c r="EV221"/>
  <c r="EX221"/>
  <c r="FE221"/>
  <c r="FF221"/>
  <c r="FH221"/>
  <c r="FG221" s="1"/>
  <c r="FJ221"/>
  <c r="FL221"/>
  <c r="FN221"/>
  <c r="FP221"/>
  <c r="FS221"/>
  <c r="FU221"/>
  <c r="FX221"/>
  <c r="GF221"/>
  <c r="GH221"/>
  <c r="GG221" s="1"/>
  <c r="GM221"/>
  <c r="GO221"/>
  <c r="GQ221"/>
  <c r="GP221" s="1"/>
  <c r="GS221"/>
  <c r="GU221"/>
  <c r="GW221"/>
  <c r="GV221" s="1"/>
  <c r="HB221"/>
  <c r="GY221" s="1"/>
  <c r="GX221" s="1"/>
  <c r="HF221"/>
  <c r="HH221"/>
  <c r="HK221"/>
  <c r="HM221"/>
  <c r="HQ221"/>
  <c r="HS221"/>
  <c r="HW221"/>
  <c r="HV221" s="1"/>
  <c r="HU221" s="1"/>
  <c r="HX221"/>
  <c r="IJ221"/>
  <c r="II221" s="1"/>
  <c r="IL221"/>
  <c r="IN221"/>
  <c r="IM221" s="1"/>
  <c r="IQ221"/>
  <c r="IS221"/>
  <c r="IU221"/>
  <c r="IW221"/>
  <c r="IY221"/>
  <c r="JA221"/>
  <c r="CN221" l="1"/>
  <c r="DC212"/>
  <c r="DC221" s="1"/>
  <c r="CB212"/>
  <c r="CB221" s="1"/>
  <c r="BA212"/>
  <c r="BA221" s="1"/>
  <c r="AB212"/>
  <c r="AB221" s="1"/>
  <c r="EB212"/>
  <c r="EB221" s="1"/>
  <c r="FC212"/>
  <c r="FC221" s="1"/>
  <c r="JD212"/>
  <c r="JD221" s="1"/>
  <c r="JC221" s="1"/>
  <c r="ID212"/>
  <c r="ID221" s="1"/>
  <c r="D282"/>
  <c r="D223"/>
  <c r="HD213"/>
  <c r="HD212" s="1"/>
  <c r="HD221" s="1"/>
  <c r="GK212"/>
  <c r="GK221" s="1"/>
  <c r="GE212"/>
  <c r="GE221" s="1"/>
  <c r="AB223" l="1"/>
  <c r="AH223" s="1"/>
  <c r="AB282"/>
  <c r="AH282" s="1"/>
  <c r="J282"/>
  <c r="J223"/>
  <c r="E223"/>
  <c r="F223" s="1"/>
  <c r="G223" s="1"/>
  <c r="BA282" l="1"/>
  <c r="CB282" s="1"/>
  <c r="AC223"/>
  <c r="O282"/>
  <c r="K282"/>
  <c r="L282" s="1"/>
  <c r="K223"/>
  <c r="L223" s="1"/>
  <c r="M223" s="1"/>
  <c r="AI223"/>
  <c r="AN223"/>
  <c r="BG282" l="1"/>
  <c r="BM282" s="1"/>
  <c r="DC282"/>
  <c r="CF282"/>
  <c r="AO223"/>
  <c r="AT223"/>
  <c r="P282"/>
  <c r="BH282" l="1"/>
  <c r="AZ223"/>
  <c r="AU223"/>
  <c r="CK282"/>
  <c r="CG282"/>
  <c r="EB282"/>
  <c r="DI282"/>
  <c r="CL282" l="1"/>
  <c r="JC205" l="1"/>
  <c r="IW205"/>
  <c r="IQ205"/>
  <c r="IM205"/>
  <c r="IG205"/>
  <c r="IC204" l="1"/>
  <c r="HY205"/>
  <c r="HY204" s="1"/>
  <c r="HU205"/>
  <c r="HU204" s="1"/>
  <c r="HO205"/>
  <c r="HO204" s="1"/>
  <c r="HI205"/>
  <c r="HI204" s="1"/>
  <c r="GV204"/>
  <c r="GP205"/>
  <c r="GP204" s="1"/>
  <c r="GK205"/>
  <c r="GK204" s="1"/>
  <c r="FX205"/>
  <c r="FX204" s="1"/>
  <c r="FR205"/>
  <c r="FR204" s="1"/>
  <c r="FM205"/>
  <c r="FB204"/>
  <c r="EH205"/>
  <c r="EH204" s="1"/>
  <c r="EB205"/>
  <c r="EB204" s="1"/>
  <c r="BX205"/>
  <c r="BX204" s="1"/>
  <c r="BR205"/>
  <c r="BR204" s="1"/>
  <c r="BM205"/>
  <c r="BM204" s="1"/>
  <c r="BG205"/>
  <c r="BG204" s="1"/>
  <c r="AT205"/>
  <c r="AH205"/>
  <c r="AH204" s="1"/>
  <c r="AB205"/>
  <c r="AB204" s="1"/>
  <c r="JC204"/>
  <c r="JB204"/>
  <c r="JA204"/>
  <c r="IZ204"/>
  <c r="IY204"/>
  <c r="IX204"/>
  <c r="IW204"/>
  <c r="IV204"/>
  <c r="IU204"/>
  <c r="IT204"/>
  <c r="IS204"/>
  <c r="IR204"/>
  <c r="IQ204"/>
  <c r="IP204"/>
  <c r="IO204"/>
  <c r="IN204"/>
  <c r="IM204"/>
  <c r="IL204"/>
  <c r="IK204"/>
  <c r="IJ204"/>
  <c r="II204"/>
  <c r="IH204"/>
  <c r="IG204"/>
  <c r="IF204"/>
  <c r="IE204"/>
  <c r="HZ204"/>
  <c r="HX204"/>
  <c r="HW204"/>
  <c r="HV204"/>
  <c r="HT204"/>
  <c r="HS204"/>
  <c r="HR204"/>
  <c r="HQ204"/>
  <c r="HP204"/>
  <c r="HN204"/>
  <c r="HM204"/>
  <c r="HL204"/>
  <c r="HK204"/>
  <c r="HJ204"/>
  <c r="HH204"/>
  <c r="HG204"/>
  <c r="HF204"/>
  <c r="HE204"/>
  <c r="HC204"/>
  <c r="HB204"/>
  <c r="GY204"/>
  <c r="GX204"/>
  <c r="GW204"/>
  <c r="GU204"/>
  <c r="GT204"/>
  <c r="GS204"/>
  <c r="GR204"/>
  <c r="GQ204"/>
  <c r="GO204"/>
  <c r="GN204"/>
  <c r="GM204"/>
  <c r="GL204"/>
  <c r="GJ204"/>
  <c r="GI204"/>
  <c r="GH204"/>
  <c r="GG204"/>
  <c r="GF204"/>
  <c r="FW204"/>
  <c r="FV204"/>
  <c r="FU204"/>
  <c r="FT204"/>
  <c r="FS204"/>
  <c r="FQ204"/>
  <c r="FP204"/>
  <c r="FO204"/>
  <c r="FN204"/>
  <c r="FL204"/>
  <c r="FK204"/>
  <c r="FJ204"/>
  <c r="FI204"/>
  <c r="FH204"/>
  <c r="FG204"/>
  <c r="FF204"/>
  <c r="FE204"/>
  <c r="FD204"/>
  <c r="FA204"/>
  <c r="EY204"/>
  <c r="EX204"/>
  <c r="EW204"/>
  <c r="EV204"/>
  <c r="EU204"/>
  <c r="ET204"/>
  <c r="ES204"/>
  <c r="ER204"/>
  <c r="EQ204"/>
  <c r="EP204"/>
  <c r="EO204"/>
  <c r="EN204"/>
  <c r="EM204"/>
  <c r="EL204"/>
  <c r="EK204"/>
  <c r="EJ204"/>
  <c r="EI204"/>
  <c r="EG204"/>
  <c r="EF204"/>
  <c r="EE204"/>
  <c r="ED204"/>
  <c r="EC204"/>
  <c r="EA204"/>
  <c r="DZ204"/>
  <c r="DY204"/>
  <c r="DX204"/>
  <c r="DW204"/>
  <c r="DV204"/>
  <c r="DU204"/>
  <c r="DT204"/>
  <c r="DS204"/>
  <c r="DQ204"/>
  <c r="DP204"/>
  <c r="DO204"/>
  <c r="DN204"/>
  <c r="DM204"/>
  <c r="DL204"/>
  <c r="DK204"/>
  <c r="DJ204"/>
  <c r="DI204"/>
  <c r="DH204"/>
  <c r="DG204"/>
  <c r="DF204"/>
  <c r="DE204"/>
  <c r="DD204"/>
  <c r="DB204"/>
  <c r="DA204"/>
  <c r="CZ204"/>
  <c r="CX204"/>
  <c r="CW204"/>
  <c r="CV204"/>
  <c r="CU204"/>
  <c r="CT204"/>
  <c r="CS204"/>
  <c r="CR204"/>
  <c r="CQ204"/>
  <c r="CP204"/>
  <c r="CO204"/>
  <c r="CN204"/>
  <c r="CM204"/>
  <c r="CL204"/>
  <c r="CJ204"/>
  <c r="CI204"/>
  <c r="CH204"/>
  <c r="CG204"/>
  <c r="CF204"/>
  <c r="CE204"/>
  <c r="CD204"/>
  <c r="CC204"/>
  <c r="CA204"/>
  <c r="BW204"/>
  <c r="BV204"/>
  <c r="BU204"/>
  <c r="BT204"/>
  <c r="BS204"/>
  <c r="BQ204"/>
  <c r="BP204"/>
  <c r="BO204"/>
  <c r="BN204"/>
  <c r="BL204"/>
  <c r="BK204"/>
  <c r="BJ204"/>
  <c r="BI204"/>
  <c r="BH204"/>
  <c r="BF204"/>
  <c r="BE204"/>
  <c r="BD204"/>
  <c r="BC204"/>
  <c r="BB204"/>
  <c r="AZ204"/>
  <c r="AY204"/>
  <c r="AX204"/>
  <c r="AW204"/>
  <c r="AV204"/>
  <c r="AU204"/>
  <c r="AT204"/>
  <c r="AS204"/>
  <c r="AR204"/>
  <c r="AQ204"/>
  <c r="AP204"/>
  <c r="AO204"/>
  <c r="AN204"/>
  <c r="AM204"/>
  <c r="AL204"/>
  <c r="AK204"/>
  <c r="AJ204"/>
  <c r="AI204"/>
  <c r="AG204"/>
  <c r="AF204"/>
  <c r="AE204"/>
  <c r="AD204"/>
  <c r="AC204"/>
  <c r="AA204"/>
  <c r="Z204"/>
  <c r="Y204"/>
  <c r="X204"/>
  <c r="W204"/>
  <c r="V204"/>
  <c r="U204"/>
  <c r="T204"/>
  <c r="S204"/>
  <c r="R204"/>
  <c r="Q204"/>
  <c r="P204"/>
  <c r="O204"/>
  <c r="N204"/>
  <c r="M204"/>
  <c r="K204"/>
  <c r="J204"/>
  <c r="I204"/>
  <c r="H204"/>
  <c r="G204"/>
  <c r="F204"/>
  <c r="E204"/>
  <c r="D204"/>
  <c r="JC202"/>
  <c r="IW202"/>
  <c r="IQ202"/>
  <c r="IM202"/>
  <c r="IG202"/>
  <c r="IC202"/>
  <c r="HY202"/>
  <c r="HU202"/>
  <c r="HO202"/>
  <c r="HI202"/>
  <c r="GP202"/>
  <c r="GK202"/>
  <c r="FX202"/>
  <c r="FR202"/>
  <c r="FM202"/>
  <c r="EB202"/>
  <c r="CK202"/>
  <c r="DC202" s="1"/>
  <c r="AT202"/>
  <c r="AN202"/>
  <c r="AH202"/>
  <c r="AB202"/>
  <c r="JC201"/>
  <c r="IW201"/>
  <c r="IQ201"/>
  <c r="IM201"/>
  <c r="IG201"/>
  <c r="HU201"/>
  <c r="HO201"/>
  <c r="HI201"/>
  <c r="GP201"/>
  <c r="GK201"/>
  <c r="FX201"/>
  <c r="FR201"/>
  <c r="FM201"/>
  <c r="EB201"/>
  <c r="CK201"/>
  <c r="DC201" s="1"/>
  <c r="AT201"/>
  <c r="AN201"/>
  <c r="AH201"/>
  <c r="AB201"/>
  <c r="GE202" l="1"/>
  <c r="GE201"/>
  <c r="GE205"/>
  <c r="GE204" s="1"/>
  <c r="CB205"/>
  <c r="CB204" s="1"/>
  <c r="CK204"/>
  <c r="FM204"/>
  <c r="ID205"/>
  <c r="ID204" s="1"/>
  <c r="HD202"/>
  <c r="BA201"/>
  <c r="FC201"/>
  <c r="HD201"/>
  <c r="BA202"/>
  <c r="FC202"/>
  <c r="BA205"/>
  <c r="BA204" s="1"/>
  <c r="FC205"/>
  <c r="FC204" s="1"/>
  <c r="HD205"/>
  <c r="HD204" s="1"/>
  <c r="ID201"/>
  <c r="ID202"/>
  <c r="JC200"/>
  <c r="IW200"/>
  <c r="IQ200"/>
  <c r="IM200"/>
  <c r="IG200"/>
  <c r="HU200"/>
  <c r="HO200"/>
  <c r="HI200"/>
  <c r="DC204" l="1"/>
  <c r="ID200"/>
  <c r="GP200"/>
  <c r="GK200"/>
  <c r="FX200"/>
  <c r="FR200"/>
  <c r="FM200"/>
  <c r="EB200"/>
  <c r="CK200"/>
  <c r="DC200" s="1"/>
  <c r="AT200"/>
  <c r="AN200"/>
  <c r="AH200"/>
  <c r="AB200"/>
  <c r="JC199"/>
  <c r="JC198" s="1"/>
  <c r="JC207" s="1"/>
  <c r="IW199"/>
  <c r="IW198" s="1"/>
  <c r="IQ199"/>
  <c r="IQ198" s="1"/>
  <c r="IM199"/>
  <c r="IM198" s="1"/>
  <c r="IG199"/>
  <c r="IG198" s="1"/>
  <c r="IG207" s="1"/>
  <c r="IC198"/>
  <c r="IC207" s="1"/>
  <c r="HY198"/>
  <c r="HU199"/>
  <c r="HU198" s="1"/>
  <c r="HO199"/>
  <c r="HO198" s="1"/>
  <c r="HI199"/>
  <c r="HI198" s="1"/>
  <c r="GV198"/>
  <c r="GV207" s="1"/>
  <c r="GP199"/>
  <c r="GP198" s="1"/>
  <c r="GP207" s="1"/>
  <c r="GK199"/>
  <c r="FX199"/>
  <c r="FX198" s="1"/>
  <c r="FX207" s="1"/>
  <c r="FR199"/>
  <c r="FR198" s="1"/>
  <c r="FR207" s="1"/>
  <c r="FM199"/>
  <c r="EH199"/>
  <c r="EH198" s="1"/>
  <c r="EB199"/>
  <c r="BX199"/>
  <c r="BX198" s="1"/>
  <c r="BX207" s="1"/>
  <c r="BR199"/>
  <c r="BR198" s="1"/>
  <c r="BR207" s="1"/>
  <c r="BM199"/>
  <c r="AT199"/>
  <c r="AT198" s="1"/>
  <c r="AT207" s="1"/>
  <c r="AN199"/>
  <c r="AH199"/>
  <c r="U199"/>
  <c r="AB199" s="1"/>
  <c r="LG198"/>
  <c r="LG207" s="1"/>
  <c r="JB198"/>
  <c r="JB207" s="1"/>
  <c r="JA198"/>
  <c r="JA207" s="1"/>
  <c r="IZ198"/>
  <c r="IZ207" s="1"/>
  <c r="IY198"/>
  <c r="IY207" s="1"/>
  <c r="IX198"/>
  <c r="IX207" s="1"/>
  <c r="IV198"/>
  <c r="IV207" s="1"/>
  <c r="IU198"/>
  <c r="IU207" s="1"/>
  <c r="IT198"/>
  <c r="IS198"/>
  <c r="IS207" s="1"/>
  <c r="IR198"/>
  <c r="IR207" s="1"/>
  <c r="IP198"/>
  <c r="IP207" s="1"/>
  <c r="IO198"/>
  <c r="IO207" s="1"/>
  <c r="IN198"/>
  <c r="IN207" s="1"/>
  <c r="IL198"/>
  <c r="IL207" s="1"/>
  <c r="IK198"/>
  <c r="IK207" s="1"/>
  <c r="IJ198"/>
  <c r="IJ207" s="1"/>
  <c r="II198"/>
  <c r="II207" s="1"/>
  <c r="IH198"/>
  <c r="IF198"/>
  <c r="IE198"/>
  <c r="HZ198"/>
  <c r="HX198"/>
  <c r="HX207" s="1"/>
  <c r="HW198"/>
  <c r="HV198"/>
  <c r="HV207" s="1"/>
  <c r="HT198"/>
  <c r="HS198"/>
  <c r="HS207" s="1"/>
  <c r="HR198"/>
  <c r="HQ198"/>
  <c r="HP198"/>
  <c r="HN198"/>
  <c r="HN207" s="1"/>
  <c r="HM198"/>
  <c r="HM207" s="1"/>
  <c r="HL198"/>
  <c r="HL207" s="1"/>
  <c r="HK198"/>
  <c r="HK207" s="1"/>
  <c r="HJ198"/>
  <c r="HJ207" s="1"/>
  <c r="HH198"/>
  <c r="HH207" s="1"/>
  <c r="HG198"/>
  <c r="HG207" s="1"/>
  <c r="HF198"/>
  <c r="HF207" s="1"/>
  <c r="HE198"/>
  <c r="HE207" s="1"/>
  <c r="HC198"/>
  <c r="HC207" s="1"/>
  <c r="HB198"/>
  <c r="HB207" s="1"/>
  <c r="GY198"/>
  <c r="GY207" s="1"/>
  <c r="GX198"/>
  <c r="GX207" s="1"/>
  <c r="GW198"/>
  <c r="GW207" s="1"/>
  <c r="GU198"/>
  <c r="GT198"/>
  <c r="GT207" s="1"/>
  <c r="GS198"/>
  <c r="GR198"/>
  <c r="GR207" s="1"/>
  <c r="GQ198"/>
  <c r="GO198"/>
  <c r="GO207" s="1"/>
  <c r="GN198"/>
  <c r="GN207" s="1"/>
  <c r="GM198"/>
  <c r="GM207" s="1"/>
  <c r="GL198"/>
  <c r="GL207" s="1"/>
  <c r="GJ198"/>
  <c r="GJ207" s="1"/>
  <c r="GI198"/>
  <c r="GI207" s="1"/>
  <c r="GH198"/>
  <c r="GH207" s="1"/>
  <c r="GG198"/>
  <c r="GG207" s="1"/>
  <c r="GF198"/>
  <c r="GF207" s="1"/>
  <c r="FW198"/>
  <c r="FW207" s="1"/>
  <c r="FV198"/>
  <c r="FV207" s="1"/>
  <c r="FU198"/>
  <c r="FU207" s="1"/>
  <c r="FT198"/>
  <c r="FT207" s="1"/>
  <c r="FS198"/>
  <c r="FS207" s="1"/>
  <c r="FQ198"/>
  <c r="FQ207" s="1"/>
  <c r="FP198"/>
  <c r="FP207" s="1"/>
  <c r="FO198"/>
  <c r="FO207" s="1"/>
  <c r="FN198"/>
  <c r="FN207" s="1"/>
  <c r="FL198"/>
  <c r="FL207" s="1"/>
  <c r="FK198"/>
  <c r="FK207" s="1"/>
  <c r="FJ198"/>
  <c r="FJ207" s="1"/>
  <c r="FI198"/>
  <c r="FI207" s="1"/>
  <c r="FH198"/>
  <c r="FH207" s="1"/>
  <c r="FG198"/>
  <c r="FG207" s="1"/>
  <c r="FF198"/>
  <c r="FF207" s="1"/>
  <c r="FE198"/>
  <c r="FE207" s="1"/>
  <c r="FD198"/>
  <c r="FD207" s="1"/>
  <c r="FA198"/>
  <c r="EY198"/>
  <c r="EY207" s="1"/>
  <c r="EX198"/>
  <c r="EX207" s="1"/>
  <c r="EW198"/>
  <c r="EW207" s="1"/>
  <c r="EV198"/>
  <c r="EV207" s="1"/>
  <c r="EU198"/>
  <c r="EU207" s="1"/>
  <c r="ET198"/>
  <c r="ET207" s="1"/>
  <c r="ES198"/>
  <c r="ES207" s="1"/>
  <c r="ER198"/>
  <c r="ER207" s="1"/>
  <c r="EQ198"/>
  <c r="EQ207" s="1"/>
  <c r="EP198"/>
  <c r="EP207" s="1"/>
  <c r="EO198"/>
  <c r="EO207" s="1"/>
  <c r="EN198"/>
  <c r="EN207" s="1"/>
  <c r="EM198"/>
  <c r="EM207" s="1"/>
  <c r="EL198"/>
  <c r="EL207" s="1"/>
  <c r="EK198"/>
  <c r="EK207" s="1"/>
  <c r="EJ198"/>
  <c r="EJ207" s="1"/>
  <c r="EI198"/>
  <c r="EI207" s="1"/>
  <c r="EG198"/>
  <c r="EF198"/>
  <c r="EE198"/>
  <c r="EE207" s="1"/>
  <c r="ED198"/>
  <c r="EC198"/>
  <c r="EC207" s="1"/>
  <c r="EA198"/>
  <c r="EA207" s="1"/>
  <c r="DZ198"/>
  <c r="DZ207" s="1"/>
  <c r="DY198"/>
  <c r="DY207" s="1"/>
  <c r="DX198"/>
  <c r="DX207" s="1"/>
  <c r="DW198"/>
  <c r="DW207" s="1"/>
  <c r="DV198"/>
  <c r="DV207" s="1"/>
  <c r="DU198"/>
  <c r="DU207" s="1"/>
  <c r="DT198"/>
  <c r="DT207" s="1"/>
  <c r="DS198"/>
  <c r="DS207" s="1"/>
  <c r="DR198"/>
  <c r="DQ198"/>
  <c r="DQ207" s="1"/>
  <c r="DP198"/>
  <c r="DP207" s="1"/>
  <c r="DO198"/>
  <c r="DO207" s="1"/>
  <c r="DN198"/>
  <c r="DN207" s="1"/>
  <c r="DM198"/>
  <c r="DM207" s="1"/>
  <c r="DL198"/>
  <c r="DL207" s="1"/>
  <c r="DK198"/>
  <c r="DK207" s="1"/>
  <c r="DJ198"/>
  <c r="DJ207" s="1"/>
  <c r="DI198"/>
  <c r="DI207" s="1"/>
  <c r="DH198"/>
  <c r="DH207" s="1"/>
  <c r="DG198"/>
  <c r="DG207" s="1"/>
  <c r="DF198"/>
  <c r="DF207" s="1"/>
  <c r="DE198"/>
  <c r="DE207" s="1"/>
  <c r="DD198"/>
  <c r="DD207" s="1"/>
  <c r="DB198"/>
  <c r="DB207" s="1"/>
  <c r="DA198"/>
  <c r="DA207" s="1"/>
  <c r="CZ198"/>
  <c r="CZ207" s="1"/>
  <c r="CX198"/>
  <c r="CX207" s="1"/>
  <c r="CW198"/>
  <c r="CW207" s="1"/>
  <c r="CV198"/>
  <c r="CV207" s="1"/>
  <c r="CU198"/>
  <c r="CU207" s="1"/>
  <c r="CT198"/>
  <c r="CT207" s="1"/>
  <c r="CS198"/>
  <c r="CS207" s="1"/>
  <c r="CR198"/>
  <c r="CR207" s="1"/>
  <c r="CQ198"/>
  <c r="CQ207" s="1"/>
  <c r="CP198"/>
  <c r="CP207" s="1"/>
  <c r="CO198"/>
  <c r="CO207" s="1"/>
  <c r="CN198"/>
  <c r="CN207" s="1"/>
  <c r="CM198"/>
  <c r="CM207" s="1"/>
  <c r="CL198"/>
  <c r="CL207" s="1"/>
  <c r="CJ198"/>
  <c r="CJ207" s="1"/>
  <c r="CI198"/>
  <c r="CI207" s="1"/>
  <c r="CH198"/>
  <c r="CH207" s="1"/>
  <c r="CG198"/>
  <c r="CG207" s="1"/>
  <c r="CF198"/>
  <c r="CF207" s="1"/>
  <c r="CE198"/>
  <c r="CE207" s="1"/>
  <c r="CD198"/>
  <c r="CD207" s="1"/>
  <c r="CC198"/>
  <c r="CC207" s="1"/>
  <c r="CA198"/>
  <c r="CA207" s="1"/>
  <c r="BW198"/>
  <c r="BV198"/>
  <c r="BV207" s="1"/>
  <c r="BU198"/>
  <c r="BT198"/>
  <c r="BT207" s="1"/>
  <c r="BS198"/>
  <c r="BQ198"/>
  <c r="BQ207" s="1"/>
  <c r="BP198"/>
  <c r="BP207" s="1"/>
  <c r="BO198"/>
  <c r="BO207" s="1"/>
  <c r="BN198"/>
  <c r="BN207" s="1"/>
  <c r="BM198"/>
  <c r="BM207" s="1"/>
  <c r="BL198"/>
  <c r="BL207" s="1"/>
  <c r="BK198"/>
  <c r="BK207" s="1"/>
  <c r="BJ198"/>
  <c r="BJ207" s="1"/>
  <c r="BI198"/>
  <c r="BI207" s="1"/>
  <c r="BH198"/>
  <c r="BH207" s="1"/>
  <c r="BG198"/>
  <c r="BG207" s="1"/>
  <c r="BF198"/>
  <c r="BF207" s="1"/>
  <c r="BE198"/>
  <c r="BE207" s="1"/>
  <c r="BD198"/>
  <c r="BD207" s="1"/>
  <c r="BC198"/>
  <c r="BC207" s="1"/>
  <c r="BB198"/>
  <c r="BB207" s="1"/>
  <c r="AZ198"/>
  <c r="AZ207" s="1"/>
  <c r="AY198"/>
  <c r="AY207" s="1"/>
  <c r="AX198"/>
  <c r="AX207" s="1"/>
  <c r="AW198"/>
  <c r="AW207" s="1"/>
  <c r="AV198"/>
  <c r="AV207" s="1"/>
  <c r="AU198"/>
  <c r="AU207" s="1"/>
  <c r="AS198"/>
  <c r="AS207" s="1"/>
  <c r="AR198"/>
  <c r="AR207" s="1"/>
  <c r="AQ198"/>
  <c r="AQ207" s="1"/>
  <c r="AP198"/>
  <c r="AP207" s="1"/>
  <c r="AO198"/>
  <c r="AO207" s="1"/>
  <c r="AM198"/>
  <c r="AM207" s="1"/>
  <c r="AL198"/>
  <c r="AL207" s="1"/>
  <c r="AK198"/>
  <c r="AK207" s="1"/>
  <c r="AI198"/>
  <c r="AI207" s="1"/>
  <c r="AG198"/>
  <c r="AG207" s="1"/>
  <c r="AF198"/>
  <c r="AF207" s="1"/>
  <c r="AE198"/>
  <c r="AE207" s="1"/>
  <c r="AD198"/>
  <c r="AD207" s="1"/>
  <c r="AC198"/>
  <c r="AC207" s="1"/>
  <c r="AA198"/>
  <c r="Z198"/>
  <c r="Z207" s="1"/>
  <c r="Y198"/>
  <c r="Y207" s="1"/>
  <c r="X198"/>
  <c r="X207" s="1"/>
  <c r="W198"/>
  <c r="W207" s="1"/>
  <c r="V198"/>
  <c r="V207" s="1"/>
  <c r="T198"/>
  <c r="T207" s="1"/>
  <c r="S198"/>
  <c r="S207" s="1"/>
  <c r="R198"/>
  <c r="R207" s="1"/>
  <c r="Q198"/>
  <c r="Q207" s="1"/>
  <c r="P198"/>
  <c r="P207" s="1"/>
  <c r="O198"/>
  <c r="O207" s="1"/>
  <c r="N198"/>
  <c r="N207" s="1"/>
  <c r="M198"/>
  <c r="M207" s="1"/>
  <c r="K198"/>
  <c r="K207" s="1"/>
  <c r="J198"/>
  <c r="J207" s="1"/>
  <c r="I198"/>
  <c r="I207" s="1"/>
  <c r="H198"/>
  <c r="H207" s="1"/>
  <c r="G198"/>
  <c r="G207" s="1"/>
  <c r="F198"/>
  <c r="F207" s="1"/>
  <c r="E198"/>
  <c r="E207" s="1"/>
  <c r="D198"/>
  <c r="D207" s="1"/>
  <c r="AH198" l="1"/>
  <c r="AH207" s="1"/>
  <c r="GE199"/>
  <c r="GK198"/>
  <c r="GE200"/>
  <c r="FM198"/>
  <c r="FM207" s="1"/>
  <c r="EB198"/>
  <c r="EB207" s="1"/>
  <c r="AN198"/>
  <c r="AN207" s="1"/>
  <c r="FB198"/>
  <c r="FB207" s="1"/>
  <c r="CB199"/>
  <c r="CB198" s="1"/>
  <c r="CB207" s="1"/>
  <c r="IF207"/>
  <c r="IH207"/>
  <c r="IQ207"/>
  <c r="IW207"/>
  <c r="U198"/>
  <c r="U207" s="1"/>
  <c r="AJ198"/>
  <c r="AJ207" s="1"/>
  <c r="CK198"/>
  <c r="CK207" s="1"/>
  <c r="AB198"/>
  <c r="AB207" s="1"/>
  <c r="AB209" s="1"/>
  <c r="BA200"/>
  <c r="FC200"/>
  <c r="FC199"/>
  <c r="HD199"/>
  <c r="HR207"/>
  <c r="HZ207"/>
  <c r="BA199"/>
  <c r="AA207"/>
  <c r="BS207"/>
  <c r="BU207"/>
  <c r="BW207"/>
  <c r="ED207"/>
  <c r="EH207"/>
  <c r="EG207" s="1"/>
  <c r="EF207" s="1"/>
  <c r="FA207"/>
  <c r="GK207"/>
  <c r="GQ207"/>
  <c r="GS207"/>
  <c r="GU207"/>
  <c r="HI207"/>
  <c r="HU207"/>
  <c r="HT207" s="1"/>
  <c r="HW207"/>
  <c r="IM207"/>
  <c r="IT207"/>
  <c r="JD198"/>
  <c r="D275"/>
  <c r="D209"/>
  <c r="HD200"/>
  <c r="HQ207"/>
  <c r="HP207" s="1"/>
  <c r="HO207" s="1"/>
  <c r="HY207"/>
  <c r="IE207"/>
  <c r="ID199"/>
  <c r="ID198" s="1"/>
  <c r="ID207" s="1"/>
  <c r="HD198" l="1"/>
  <c r="HD207" s="1"/>
  <c r="GE198"/>
  <c r="GE207" s="1"/>
  <c r="DC198"/>
  <c r="DC207" s="1"/>
  <c r="FC198"/>
  <c r="FC207" s="1"/>
  <c r="BA198"/>
  <c r="BA207" s="1"/>
  <c r="BA209" s="1"/>
  <c r="AB275"/>
  <c r="AH275" s="1"/>
  <c r="E209"/>
  <c r="J209"/>
  <c r="JD204"/>
  <c r="JD207" s="1"/>
  <c r="E275"/>
  <c r="J275"/>
  <c r="AC209"/>
  <c r="AH191"/>
  <c r="BA191" s="1"/>
  <c r="J191"/>
  <c r="D191"/>
  <c r="AB191" l="1"/>
  <c r="BA275"/>
  <c r="BG275" s="1"/>
  <c r="BG209"/>
  <c r="CB209"/>
  <c r="BB209"/>
  <c r="AI275"/>
  <c r="K209"/>
  <c r="L209" s="1"/>
  <c r="M209" s="1"/>
  <c r="O209"/>
  <c r="K275"/>
  <c r="L275" s="1"/>
  <c r="HG189"/>
  <c r="GF189"/>
  <c r="FF189"/>
  <c r="FE189"/>
  <c r="FD189"/>
  <c r="FG189" l="1"/>
  <c r="GE189" s="1"/>
  <c r="CB275"/>
  <c r="CF275" s="1"/>
  <c r="BH275"/>
  <c r="BM275"/>
  <c r="BM209"/>
  <c r="BH209"/>
  <c r="P209"/>
  <c r="U209"/>
  <c r="DC209"/>
  <c r="CC209"/>
  <c r="CF209"/>
  <c r="DH189"/>
  <c r="DG189"/>
  <c r="DF189"/>
  <c r="DE189"/>
  <c r="DD189"/>
  <c r="DA189"/>
  <c r="CX189"/>
  <c r="CV189"/>
  <c r="CU189"/>
  <c r="CT189"/>
  <c r="CS189"/>
  <c r="CR189"/>
  <c r="CP189"/>
  <c r="CO189"/>
  <c r="CL189"/>
  <c r="CJ189"/>
  <c r="CI189"/>
  <c r="CH189"/>
  <c r="CG189"/>
  <c r="CE189"/>
  <c r="CD189"/>
  <c r="CC189"/>
  <c r="BF189"/>
  <c r="BE189"/>
  <c r="BD189"/>
  <c r="BC189"/>
  <c r="AY189"/>
  <c r="AX189"/>
  <c r="AV189"/>
  <c r="AU189"/>
  <c r="AR189"/>
  <c r="AQ189"/>
  <c r="AO189"/>
  <c r="DI189" l="1"/>
  <c r="EB189" s="1"/>
  <c r="DC275"/>
  <c r="DI275" s="1"/>
  <c r="CK189"/>
  <c r="CQ189"/>
  <c r="CW189"/>
  <c r="CF189"/>
  <c r="AZ189"/>
  <c r="BG189"/>
  <c r="CB189" s="1"/>
  <c r="CG209"/>
  <c r="CK209"/>
  <c r="DI209"/>
  <c r="EB209"/>
  <c r="DD209"/>
  <c r="V209"/>
  <c r="AA209"/>
  <c r="CK275"/>
  <c r="CG275"/>
  <c r="BR209"/>
  <c r="BN209"/>
  <c r="BN275"/>
  <c r="AM189"/>
  <c r="AL189"/>
  <c r="AK189"/>
  <c r="AJ189"/>
  <c r="AI189"/>
  <c r="AF189"/>
  <c r="AE189"/>
  <c r="AD189"/>
  <c r="Z189"/>
  <c r="Y189"/>
  <c r="X189"/>
  <c r="V189"/>
  <c r="T189"/>
  <c r="S189"/>
  <c r="R189"/>
  <c r="Q189"/>
  <c r="P189"/>
  <c r="EB275" l="1"/>
  <c r="EH275" s="1"/>
  <c r="DC189"/>
  <c r="U189"/>
  <c r="AN189"/>
  <c r="AA189"/>
  <c r="CL275"/>
  <c r="FC209"/>
  <c r="FD209" s="1"/>
  <c r="FE209" s="1"/>
  <c r="FF209" s="1"/>
  <c r="EC209"/>
  <c r="EH209"/>
  <c r="CL209"/>
  <c r="CQ209"/>
  <c r="BX209"/>
  <c r="BY209" s="1"/>
  <c r="BZ209" s="1"/>
  <c r="BS209"/>
  <c r="DO209"/>
  <c r="DJ209"/>
  <c r="FC275" l="1"/>
  <c r="GE275" s="1"/>
  <c r="CA209"/>
  <c r="DU209"/>
  <c r="DP209"/>
  <c r="CR209"/>
  <c r="CW209"/>
  <c r="ED209"/>
  <c r="EI275"/>
  <c r="EI209"/>
  <c r="EN209"/>
  <c r="GE209"/>
  <c r="FG209"/>
  <c r="GP185"/>
  <c r="LG185"/>
  <c r="JB185"/>
  <c r="JA185"/>
  <c r="IZ185"/>
  <c r="IY185"/>
  <c r="IX185"/>
  <c r="IV185"/>
  <c r="IU185"/>
  <c r="IT185"/>
  <c r="IS185"/>
  <c r="IR185"/>
  <c r="IP185"/>
  <c r="IO185"/>
  <c r="IN185"/>
  <c r="IM185"/>
  <c r="IK185"/>
  <c r="II185"/>
  <c r="IH185"/>
  <c r="IF185"/>
  <c r="IC185"/>
  <c r="HZ185"/>
  <c r="HX185"/>
  <c r="HT185"/>
  <c r="HR185"/>
  <c r="HQ185"/>
  <c r="HP185"/>
  <c r="HO185"/>
  <c r="HN185" s="1"/>
  <c r="HM185" s="1"/>
  <c r="HJ185"/>
  <c r="HG185"/>
  <c r="HE185"/>
  <c r="HB185"/>
  <c r="HA185"/>
  <c r="GY185"/>
  <c r="GX185"/>
  <c r="GW185"/>
  <c r="GQ185"/>
  <c r="GO185"/>
  <c r="GN185"/>
  <c r="GJ185"/>
  <c r="GI185"/>
  <c r="GH185"/>
  <c r="FG275" l="1"/>
  <c r="FH275" s="1"/>
  <c r="FI275" s="1"/>
  <c r="FJ275" s="1"/>
  <c r="FK275" s="1"/>
  <c r="FL275" s="1"/>
  <c r="FD275"/>
  <c r="FE275" s="1"/>
  <c r="FF275" s="1"/>
  <c r="GM185"/>
  <c r="HL185"/>
  <c r="IJ185"/>
  <c r="FH209"/>
  <c r="FI209" s="1"/>
  <c r="FJ209" s="1"/>
  <c r="FK209" s="1"/>
  <c r="FL209" s="1"/>
  <c r="FM209"/>
  <c r="EO209"/>
  <c r="ET209"/>
  <c r="HW185"/>
  <c r="HY185"/>
  <c r="IL185"/>
  <c r="GK275"/>
  <c r="HD275"/>
  <c r="HD209"/>
  <c r="GF209"/>
  <c r="GK209"/>
  <c r="EE209"/>
  <c r="CX209"/>
  <c r="CY209" s="1"/>
  <c r="DB209"/>
  <c r="EA209"/>
  <c r="DV209"/>
  <c r="GF185"/>
  <c r="FW185"/>
  <c r="FU185"/>
  <c r="FT185"/>
  <c r="FR185"/>
  <c r="FQ185"/>
  <c r="FP185"/>
  <c r="FN185"/>
  <c r="FM185"/>
  <c r="FL185"/>
  <c r="FK185"/>
  <c r="FJ185"/>
  <c r="FI185"/>
  <c r="FH185"/>
  <c r="FM275" l="1"/>
  <c r="FN275" s="1"/>
  <c r="FO275" s="1"/>
  <c r="FP275" s="1"/>
  <c r="FQ275" s="1"/>
  <c r="FO185"/>
  <c r="FS185"/>
  <c r="EF209"/>
  <c r="GP209"/>
  <c r="GL209"/>
  <c r="ID209"/>
  <c r="HE209"/>
  <c r="GL275"/>
  <c r="GP275"/>
  <c r="FR209"/>
  <c r="ID275"/>
  <c r="HE275"/>
  <c r="HI275"/>
  <c r="HV185"/>
  <c r="EU209"/>
  <c r="FB209"/>
  <c r="HK185"/>
  <c r="GL185"/>
  <c r="FG185"/>
  <c r="FF185"/>
  <c r="FE185"/>
  <c r="FD185"/>
  <c r="FB185"/>
  <c r="FA185"/>
  <c r="EY185" s="1"/>
  <c r="EX185"/>
  <c r="EQ185"/>
  <c r="EN185"/>
  <c r="EM185"/>
  <c r="EL185"/>
  <c r="EK185"/>
  <c r="EI185"/>
  <c r="ED185"/>
  <c r="EC185"/>
  <c r="EA185"/>
  <c r="DZ185"/>
  <c r="DY185"/>
  <c r="DX185"/>
  <c r="DW185"/>
  <c r="DV185"/>
  <c r="FR275" l="1"/>
  <c r="FS275" s="1"/>
  <c r="FT275" s="1"/>
  <c r="FU275" s="1"/>
  <c r="FV275" s="1"/>
  <c r="FW275" s="1"/>
  <c r="FX209"/>
  <c r="FS209"/>
  <c r="FT209" s="1"/>
  <c r="FU209" s="1"/>
  <c r="FV209" s="1"/>
  <c r="FW209" s="1"/>
  <c r="EJ185"/>
  <c r="EP185"/>
  <c r="EW185"/>
  <c r="HO275"/>
  <c r="HJ275"/>
  <c r="JD275"/>
  <c r="IE275"/>
  <c r="IG275"/>
  <c r="GV275"/>
  <c r="GQ275"/>
  <c r="JD209"/>
  <c r="IE209"/>
  <c r="IF209" s="1"/>
  <c r="IG209"/>
  <c r="GQ209"/>
  <c r="GV209"/>
  <c r="EG209"/>
  <c r="DS185"/>
  <c r="DR185"/>
  <c r="DQ185"/>
  <c r="DP185"/>
  <c r="DO185"/>
  <c r="DN185"/>
  <c r="DM185"/>
  <c r="DL185"/>
  <c r="DK185"/>
  <c r="DJ185"/>
  <c r="DI185"/>
  <c r="DH185"/>
  <c r="DG185"/>
  <c r="DF185"/>
  <c r="DE185"/>
  <c r="DD185"/>
  <c r="DC185"/>
  <c r="DB185"/>
  <c r="DA185"/>
  <c r="CZ185"/>
  <c r="CX185"/>
  <c r="CW185"/>
  <c r="CV185"/>
  <c r="CU185"/>
  <c r="CT185"/>
  <c r="CS185"/>
  <c r="CQ185"/>
  <c r="CP185"/>
  <c r="CO185"/>
  <c r="CN185"/>
  <c r="CM185"/>
  <c r="CL185"/>
  <c r="CK185"/>
  <c r="CJ185"/>
  <c r="CI185"/>
  <c r="CH185"/>
  <c r="CG185"/>
  <c r="CF185"/>
  <c r="CE185"/>
  <c r="CC185"/>
  <c r="BX185"/>
  <c r="BW185"/>
  <c r="BU185"/>
  <c r="BS185"/>
  <c r="BR185"/>
  <c r="BQ185" s="1"/>
  <c r="BP185" s="1"/>
  <c r="BO185"/>
  <c r="BN185" s="1"/>
  <c r="BM185"/>
  <c r="BL185" s="1"/>
  <c r="BJ185"/>
  <c r="BG185"/>
  <c r="BF185"/>
  <c r="BE185"/>
  <c r="BD185"/>
  <c r="BB185"/>
  <c r="AZ185"/>
  <c r="AY185"/>
  <c r="AX185"/>
  <c r="AW185"/>
  <c r="AV185"/>
  <c r="AU185"/>
  <c r="AS185"/>
  <c r="AR185"/>
  <c r="AQ185"/>
  <c r="AO185"/>
  <c r="AN185"/>
  <c r="AM185"/>
  <c r="AL185"/>
  <c r="AK185"/>
  <c r="AJ185"/>
  <c r="AI185"/>
  <c r="AE185"/>
  <c r="Z185"/>
  <c r="Y185"/>
  <c r="X185"/>
  <c r="W185"/>
  <c r="V185"/>
  <c r="T185"/>
  <c r="S185"/>
  <c r="R185"/>
  <c r="Q185"/>
  <c r="P185"/>
  <c r="N185"/>
  <c r="M185"/>
  <c r="K185"/>
  <c r="E185"/>
  <c r="O183"/>
  <c r="J183"/>
  <c r="D183"/>
  <c r="DC167"/>
  <c r="DC166"/>
  <c r="FX275" l="1"/>
  <c r="FY275" s="1"/>
  <c r="FZ275" s="1"/>
  <c r="GA275" s="1"/>
  <c r="GB275" s="1"/>
  <c r="GC275" s="1"/>
  <c r="FY209"/>
  <c r="FZ209" s="1"/>
  <c r="GA209" s="1"/>
  <c r="GB209" s="1"/>
  <c r="GC209" s="1"/>
  <c r="GD209"/>
  <c r="JE209"/>
  <c r="JF209" s="1"/>
  <c r="JG209" s="1"/>
  <c r="JH209" s="1"/>
  <c r="JI209" s="1"/>
  <c r="JJ209"/>
  <c r="JP209" s="1"/>
  <c r="JV209" s="1"/>
  <c r="KC209" s="1"/>
  <c r="KD209"/>
  <c r="JE275"/>
  <c r="JF275" s="1"/>
  <c r="JG275" s="1"/>
  <c r="JH275" s="1"/>
  <c r="JI275" s="1"/>
  <c r="KD275"/>
  <c r="JJ275"/>
  <c r="JP275" s="1"/>
  <c r="JV275" s="1"/>
  <c r="KC275" s="1"/>
  <c r="AD185"/>
  <c r="BK185"/>
  <c r="BT185"/>
  <c r="CR185"/>
  <c r="GW209"/>
  <c r="HC209"/>
  <c r="EV185"/>
  <c r="AB183"/>
  <c r="BC185"/>
  <c r="BI185"/>
  <c r="BV185"/>
  <c r="CD185"/>
  <c r="IM209"/>
  <c r="IH209"/>
  <c r="GW275"/>
  <c r="HC275"/>
  <c r="IH275"/>
  <c r="IM275"/>
  <c r="HP275"/>
  <c r="HU275"/>
  <c r="GD275" l="1"/>
  <c r="JK209"/>
  <c r="JL209" s="1"/>
  <c r="JM209" s="1"/>
  <c r="JN209" s="1"/>
  <c r="JO209" s="1"/>
  <c r="JQ209" s="1"/>
  <c r="JR209" s="1"/>
  <c r="JS209" s="1"/>
  <c r="JT209" s="1"/>
  <c r="JU209" s="1"/>
  <c r="JW209" s="1"/>
  <c r="JX209" s="1"/>
  <c r="JY209" s="1"/>
  <c r="JZ209" s="1"/>
  <c r="KB209" s="1"/>
  <c r="KJ209"/>
  <c r="KP209" s="1"/>
  <c r="KV209" s="1"/>
  <c r="LB209" s="1"/>
  <c r="LF209" s="1"/>
  <c r="LG209"/>
  <c r="KE209"/>
  <c r="KF209" s="1"/>
  <c r="KG209" s="1"/>
  <c r="KH209" s="1"/>
  <c r="KI209" s="1"/>
  <c r="JK275"/>
  <c r="JL275" s="1"/>
  <c r="JM275" s="1"/>
  <c r="JN275" s="1"/>
  <c r="JO275" s="1"/>
  <c r="JQ275" s="1"/>
  <c r="JR275" s="1"/>
  <c r="JS275" s="1"/>
  <c r="JT275" s="1"/>
  <c r="JU275" s="1"/>
  <c r="JW275" s="1"/>
  <c r="JX275" s="1"/>
  <c r="JY275" s="1"/>
  <c r="JZ275" s="1"/>
  <c r="KB275" s="1"/>
  <c r="KE275" s="1"/>
  <c r="KF275" s="1"/>
  <c r="KG275" s="1"/>
  <c r="KH275" s="1"/>
  <c r="KI275" s="1"/>
  <c r="KJ275"/>
  <c r="KP275" s="1"/>
  <c r="KV275" s="1"/>
  <c r="LB275" s="1"/>
  <c r="LF275" s="1"/>
  <c r="LG275"/>
  <c r="IN275"/>
  <c r="IQ275"/>
  <c r="BH185"/>
  <c r="HY275"/>
  <c r="HV275"/>
  <c r="IQ209"/>
  <c r="IN209"/>
  <c r="EU185"/>
  <c r="KK209" l="1"/>
  <c r="KL209" s="1"/>
  <c r="KM209" s="1"/>
  <c r="KN209" s="1"/>
  <c r="KO209" s="1"/>
  <c r="KQ209" s="1"/>
  <c r="KR209" s="1"/>
  <c r="KS209" s="1"/>
  <c r="KT209" s="1"/>
  <c r="KU209" s="1"/>
  <c r="KW209" s="1"/>
  <c r="KX209" s="1"/>
  <c r="KY209" s="1"/>
  <c r="KZ209" s="1"/>
  <c r="LA209" s="1"/>
  <c r="LC209" s="1"/>
  <c r="LD209" s="1"/>
  <c r="LE209" s="1"/>
  <c r="KK275"/>
  <c r="KL275" s="1"/>
  <c r="KM275" s="1"/>
  <c r="KN275" s="1"/>
  <c r="KO275" s="1"/>
  <c r="KQ275" s="1"/>
  <c r="KR275" s="1"/>
  <c r="KS275" s="1"/>
  <c r="KT275" s="1"/>
  <c r="KU275" s="1"/>
  <c r="KW275" s="1"/>
  <c r="KX275" s="1"/>
  <c r="KY275" s="1"/>
  <c r="KZ275" s="1"/>
  <c r="LA275" s="1"/>
  <c r="LC275" s="1"/>
  <c r="LD275" s="1"/>
  <c r="LE275" s="1"/>
  <c r="HZ275"/>
  <c r="IA275" s="1"/>
  <c r="IB275" s="1"/>
  <c r="IC275"/>
  <c r="IR275"/>
  <c r="IW275"/>
  <c r="IW209"/>
  <c r="IR209"/>
  <c r="JC209" l="1"/>
  <c r="IX209"/>
  <c r="JC275"/>
  <c r="IX275"/>
  <c r="AB253" l="1"/>
  <c r="AA252"/>
  <c r="AA256" s="1"/>
  <c r="FJ252"/>
  <c r="FJ256" s="1"/>
  <c r="GE252" l="1"/>
  <c r="GE256" s="1"/>
  <c r="FM252"/>
  <c r="FM256" s="1"/>
  <c r="FX256" l="1"/>
  <c r="IW140"/>
  <c r="LG193"/>
  <c r="JB140"/>
  <c r="JB193" s="1"/>
  <c r="JA140"/>
  <c r="JA193" s="1"/>
  <c r="IZ140"/>
  <c r="IZ193" s="1"/>
  <c r="IY140"/>
  <c r="IY193" s="1"/>
  <c r="IX140"/>
  <c r="IX193" s="1"/>
  <c r="IV140"/>
  <c r="IV193" s="1"/>
  <c r="IU140"/>
  <c r="IU193" s="1"/>
  <c r="IT140"/>
  <c r="IT193" s="1"/>
  <c r="IS140"/>
  <c r="IS193" s="1"/>
  <c r="IR140"/>
  <c r="IR193" s="1"/>
  <c r="ID140" l="1"/>
  <c r="HD140"/>
  <c r="IQ140"/>
  <c r="IP140"/>
  <c r="IP193" s="1"/>
  <c r="IO140"/>
  <c r="IO193" s="1"/>
  <c r="IN140"/>
  <c r="IN193" s="1"/>
  <c r="IM140"/>
  <c r="IM193" s="1"/>
  <c r="IL140"/>
  <c r="IL193" s="1"/>
  <c r="IK140"/>
  <c r="IK193" s="1"/>
  <c r="IJ140"/>
  <c r="IJ193" s="1"/>
  <c r="II140"/>
  <c r="II193" s="1"/>
  <c r="IH140"/>
  <c r="IG140"/>
  <c r="IF140"/>
  <c r="IF193" s="1"/>
  <c r="IE140"/>
  <c r="IC140"/>
  <c r="HZ140"/>
  <c r="HZ193" s="1"/>
  <c r="HY140"/>
  <c r="HX140"/>
  <c r="HX193" s="1"/>
  <c r="HW140"/>
  <c r="HW193" s="1"/>
  <c r="HV140"/>
  <c r="HV193" s="1"/>
  <c r="HU140"/>
  <c r="HT140"/>
  <c r="HT193" s="1"/>
  <c r="HS140"/>
  <c r="HR140"/>
  <c r="HR193" s="1"/>
  <c r="HQ140"/>
  <c r="HQ193" s="1"/>
  <c r="HP140"/>
  <c r="HP193" s="1"/>
  <c r="HO140"/>
  <c r="HN140"/>
  <c r="HM140"/>
  <c r="HM193" s="1"/>
  <c r="HL140"/>
  <c r="HL193" s="1"/>
  <c r="HK140"/>
  <c r="HK193" s="1"/>
  <c r="HJ140"/>
  <c r="HI140"/>
  <c r="HH140"/>
  <c r="HG140"/>
  <c r="HF140"/>
  <c r="HE140"/>
  <c r="HE193" s="1"/>
  <c r="HC140"/>
  <c r="HB140"/>
  <c r="HA140"/>
  <c r="HA193" s="1"/>
  <c r="GY140"/>
  <c r="GY193" s="1"/>
  <c r="GX140"/>
  <c r="GX193" s="1"/>
  <c r="GW140"/>
  <c r="GW193" s="1"/>
  <c r="GV140"/>
  <c r="GU140"/>
  <c r="GT140"/>
  <c r="GS140"/>
  <c r="GR140"/>
  <c r="GQ140"/>
  <c r="GP140"/>
  <c r="GO140"/>
  <c r="GO193" s="1"/>
  <c r="GN140"/>
  <c r="GN193" s="1"/>
  <c r="GM140"/>
  <c r="GM193" s="1"/>
  <c r="GL140"/>
  <c r="GL193" s="1"/>
  <c r="GK140"/>
  <c r="GJ140"/>
  <c r="GJ193" s="1"/>
  <c r="GI140"/>
  <c r="GI193" s="1"/>
  <c r="GH140"/>
  <c r="GG140"/>
  <c r="GF140"/>
  <c r="GF193" s="1"/>
  <c r="FV140"/>
  <c r="FU140"/>
  <c r="FU193" s="1"/>
  <c r="FT140"/>
  <c r="FT193" s="1"/>
  <c r="FS140"/>
  <c r="FS193" s="1"/>
  <c r="FR140"/>
  <c r="FR193" s="1"/>
  <c r="FQ140"/>
  <c r="FP140"/>
  <c r="FP193" s="1"/>
  <c r="FO140"/>
  <c r="FO193" s="1"/>
  <c r="FN140"/>
  <c r="FN193" s="1"/>
  <c r="FM140"/>
  <c r="FL140"/>
  <c r="FL193" s="1"/>
  <c r="FK140"/>
  <c r="FK193" s="1"/>
  <c r="FJ140"/>
  <c r="FH140"/>
  <c r="FH193" s="1"/>
  <c r="FG140"/>
  <c r="FG193" s="1"/>
  <c r="FF140"/>
  <c r="FF193" s="1"/>
  <c r="FE140"/>
  <c r="FA140"/>
  <c r="EY140"/>
  <c r="EW140"/>
  <c r="EU140"/>
  <c r="EU193" s="1"/>
  <c r="ET140"/>
  <c r="ES140"/>
  <c r="ER140"/>
  <c r="EQ140"/>
  <c r="EQ193" s="1"/>
  <c r="EP140"/>
  <c r="EO140"/>
  <c r="EN140"/>
  <c r="EM140"/>
  <c r="EM193" s="1"/>
  <c r="EL140"/>
  <c r="EL193" s="1"/>
  <c r="EK140"/>
  <c r="EK193" s="1"/>
  <c r="EJ140"/>
  <c r="EJ193" s="1"/>
  <c r="EI140"/>
  <c r="EI193" s="1"/>
  <c r="EH140"/>
  <c r="EG140"/>
  <c r="EF140"/>
  <c r="EE140"/>
  <c r="ED140" s="1"/>
  <c r="ED193" s="1"/>
  <c r="EC140"/>
  <c r="EC193" s="1"/>
  <c r="DZ140"/>
  <c r="DZ193" s="1"/>
  <c r="DY140"/>
  <c r="DY193" s="1"/>
  <c r="DX140"/>
  <c r="DX193" s="1"/>
  <c r="DW140"/>
  <c r="DW193" s="1"/>
  <c r="DV140"/>
  <c r="DV193" s="1"/>
  <c r="DU140"/>
  <c r="DT140"/>
  <c r="DS140"/>
  <c r="DS193" s="1"/>
  <c r="DR140"/>
  <c r="DR193" s="1"/>
  <c r="DQ140"/>
  <c r="DQ193" s="1"/>
  <c r="DP140"/>
  <c r="DP193" s="1"/>
  <c r="DO140"/>
  <c r="DN140"/>
  <c r="DN193" s="1"/>
  <c r="DM140"/>
  <c r="DL140"/>
  <c r="DL193" s="1"/>
  <c r="DK140"/>
  <c r="DK193" s="1"/>
  <c r="DJ140"/>
  <c r="DI140"/>
  <c r="DH140"/>
  <c r="DH193" s="1"/>
  <c r="DG140"/>
  <c r="DG193" s="1"/>
  <c r="DF140"/>
  <c r="DF193" s="1"/>
  <c r="DE140"/>
  <c r="DE193" s="1"/>
  <c r="DD140"/>
  <c r="DD193" s="1"/>
  <c r="DA140"/>
  <c r="DA193" s="1"/>
  <c r="CZ140"/>
  <c r="CZ193" s="1"/>
  <c r="CX140"/>
  <c r="CX193" s="1"/>
  <c r="CW140"/>
  <c r="CW193" s="1"/>
  <c r="CV140"/>
  <c r="CV193" s="1"/>
  <c r="CU140"/>
  <c r="CU193" s="1"/>
  <c r="CT140"/>
  <c r="CT193" s="1"/>
  <c r="CS140"/>
  <c r="CS193" s="1"/>
  <c r="CR140"/>
  <c r="CR193" s="1"/>
  <c r="CQ140"/>
  <c r="CQ193" s="1"/>
  <c r="CP140"/>
  <c r="CP193" s="1"/>
  <c r="CO140"/>
  <c r="CO193" s="1"/>
  <c r="CN140"/>
  <c r="CN193" s="1"/>
  <c r="CM140"/>
  <c r="CM193" s="1"/>
  <c r="CL140"/>
  <c r="CL193" s="1"/>
  <c r="CK140"/>
  <c r="CK193" s="1"/>
  <c r="CJ140"/>
  <c r="CJ193" s="1"/>
  <c r="CI140"/>
  <c r="CI193" s="1"/>
  <c r="CH140"/>
  <c r="CH193" s="1"/>
  <c r="CG140"/>
  <c r="CG193" s="1"/>
  <c r="CF140"/>
  <c r="CE140"/>
  <c r="CE193" s="1"/>
  <c r="CD140"/>
  <c r="CD193" s="1"/>
  <c r="CC140"/>
  <c r="CA140"/>
  <c r="BX140"/>
  <c r="BW140"/>
  <c r="BW193" s="1"/>
  <c r="BV140"/>
  <c r="BT140"/>
  <c r="BT193" s="1"/>
  <c r="BS140"/>
  <c r="BS193" s="1"/>
  <c r="BR140"/>
  <c r="BQ140"/>
  <c r="BP140"/>
  <c r="BP193" s="1"/>
  <c r="BO140"/>
  <c r="BN140"/>
  <c r="BN193" s="1"/>
  <c r="BM140"/>
  <c r="BL140"/>
  <c r="BL193" s="1"/>
  <c r="BK140"/>
  <c r="BK193" s="1"/>
  <c r="BJ140"/>
  <c r="BJ193" s="1"/>
  <c r="BI140"/>
  <c r="BI193" s="1"/>
  <c r="BH140"/>
  <c r="BH193" s="1"/>
  <c r="BG140"/>
  <c r="BF140"/>
  <c r="BF193" s="1"/>
  <c r="BE140"/>
  <c r="BE193" s="1"/>
  <c r="BD140"/>
  <c r="BD193" s="1"/>
  <c r="BC140"/>
  <c r="BC193" s="1"/>
  <c r="BB140"/>
  <c r="AZ140"/>
  <c r="AY140"/>
  <c r="AY193" s="1"/>
  <c r="AX140"/>
  <c r="AW140"/>
  <c r="AW193" s="1"/>
  <c r="AV140"/>
  <c r="AV193" s="1"/>
  <c r="AU140"/>
  <c r="AU193" s="1"/>
  <c r="AS140"/>
  <c r="AS193" s="1"/>
  <c r="AR140"/>
  <c r="AR193" s="1"/>
  <c r="AQ140"/>
  <c r="AQ193" s="1"/>
  <c r="AP140"/>
  <c r="AO140"/>
  <c r="AO193" s="1"/>
  <c r="AN140"/>
  <c r="AN193" s="1"/>
  <c r="AM140"/>
  <c r="AM193" s="1"/>
  <c r="AL140"/>
  <c r="AK140"/>
  <c r="AK193" s="1"/>
  <c r="AJ140"/>
  <c r="AJ193" s="1"/>
  <c r="AI140"/>
  <c r="AI193" s="1"/>
  <c r="AG140"/>
  <c r="AF140"/>
  <c r="AE140"/>
  <c r="AE193" s="1"/>
  <c r="AD140"/>
  <c r="AD193" s="1"/>
  <c r="Z140"/>
  <c r="Z193" s="1"/>
  <c r="Y140"/>
  <c r="Y193" s="1"/>
  <c r="X140"/>
  <c r="X193" s="1"/>
  <c r="W140"/>
  <c r="W193" s="1"/>
  <c r="V140"/>
  <c r="V193" s="1"/>
  <c r="U140"/>
  <c r="T140"/>
  <c r="T193" s="1"/>
  <c r="S140"/>
  <c r="S193" s="1"/>
  <c r="R140"/>
  <c r="R193" s="1"/>
  <c r="Q140"/>
  <c r="Q193" s="1"/>
  <c r="P140"/>
  <c r="P193" s="1"/>
  <c r="O140"/>
  <c r="N140"/>
  <c r="N193" s="1"/>
  <c r="M140"/>
  <c r="M193" s="1"/>
  <c r="K140"/>
  <c r="K193" s="1"/>
  <c r="J140"/>
  <c r="I140"/>
  <c r="H140"/>
  <c r="G140"/>
  <c r="F140"/>
  <c r="E140"/>
  <c r="E193" s="1"/>
  <c r="D140"/>
  <c r="CB140" l="1"/>
  <c r="AL193"/>
  <c r="BM193"/>
  <c r="BO193"/>
  <c r="DM193"/>
  <c r="EP193"/>
  <c r="IH193"/>
  <c r="BR193"/>
  <c r="BQ193" s="1"/>
  <c r="BU140"/>
  <c r="BU193" s="1"/>
  <c r="BV193"/>
  <c r="DJ193"/>
  <c r="EV140"/>
  <c r="EV193" s="1"/>
  <c r="EW193"/>
  <c r="FI140"/>
  <c r="FI193" s="1"/>
  <c r="FJ193"/>
  <c r="FM193"/>
  <c r="HO193"/>
  <c r="HY193"/>
  <c r="CC193"/>
  <c r="CF193"/>
  <c r="FQ193"/>
  <c r="GH193"/>
  <c r="AX193"/>
  <c r="BA140"/>
  <c r="BB193"/>
  <c r="BG193"/>
  <c r="DO193"/>
  <c r="EX140"/>
  <c r="EX193" s="1"/>
  <c r="EY193"/>
  <c r="FD140"/>
  <c r="FD193" s="1"/>
  <c r="FE193"/>
  <c r="HJ193"/>
  <c r="HN193" l="1"/>
  <c r="DI193"/>
  <c r="JC133" l="1"/>
  <c r="IW133"/>
  <c r="IQ133"/>
  <c r="IM133"/>
  <c r="IG133"/>
  <c r="HY133"/>
  <c r="HU133"/>
  <c r="HO133"/>
  <c r="HI133"/>
  <c r="GP133"/>
  <c r="GK133"/>
  <c r="FR133"/>
  <c r="FM133"/>
  <c r="FG133"/>
  <c r="GE133" l="1"/>
  <c r="HD133"/>
  <c r="ID133"/>
  <c r="ET133"/>
  <c r="EN133"/>
  <c r="EH133"/>
  <c r="DI133"/>
  <c r="DC133"/>
  <c r="BR133"/>
  <c r="BG133"/>
  <c r="AK133"/>
  <c r="FC133" l="1"/>
  <c r="FC132" s="1"/>
  <c r="BA133"/>
  <c r="BA132" s="1"/>
  <c r="CB133"/>
  <c r="CB132" s="1"/>
  <c r="EB133"/>
  <c r="JC132"/>
  <c r="JB132"/>
  <c r="JA132"/>
  <c r="IZ132"/>
  <c r="IY132"/>
  <c r="IX132"/>
  <c r="IW132"/>
  <c r="IV132"/>
  <c r="IU132"/>
  <c r="IT132"/>
  <c r="IS132"/>
  <c r="IR132"/>
  <c r="IQ132"/>
  <c r="IP132"/>
  <c r="IO132"/>
  <c r="IN132"/>
  <c r="IM132"/>
  <c r="IL132"/>
  <c r="IK132"/>
  <c r="IJ132"/>
  <c r="II132"/>
  <c r="IH132"/>
  <c r="IG132"/>
  <c r="IF132"/>
  <c r="IE132"/>
  <c r="ID132"/>
  <c r="IC132"/>
  <c r="HZ132"/>
  <c r="HY132"/>
  <c r="HX132"/>
  <c r="HW132"/>
  <c r="HV132"/>
  <c r="HU132"/>
  <c r="HT132"/>
  <c r="HS132"/>
  <c r="HR132"/>
  <c r="HQ132"/>
  <c r="HP132"/>
  <c r="HO132"/>
  <c r="HN132"/>
  <c r="HM132"/>
  <c r="HL132"/>
  <c r="HK132"/>
  <c r="HJ132"/>
  <c r="HI132"/>
  <c r="HH132"/>
  <c r="HG132"/>
  <c r="HF132"/>
  <c r="HE132"/>
  <c r="HD132"/>
  <c r="HC132"/>
  <c r="HB132"/>
  <c r="GY132"/>
  <c r="GX132"/>
  <c r="GW132"/>
  <c r="GV132"/>
  <c r="GU132"/>
  <c r="GT132"/>
  <c r="GS132"/>
  <c r="GR132"/>
  <c r="GQ132"/>
  <c r="GP132"/>
  <c r="GO132"/>
  <c r="GN132"/>
  <c r="GM132"/>
  <c r="GL132"/>
  <c r="GK132"/>
  <c r="GJ132"/>
  <c r="GI132"/>
  <c r="GH132"/>
  <c r="GG132"/>
  <c r="GF132"/>
  <c r="GE132"/>
  <c r="FX132"/>
  <c r="FW132"/>
  <c r="FV132"/>
  <c r="FU132"/>
  <c r="FT132"/>
  <c r="FS132"/>
  <c r="FR132"/>
  <c r="FQ132"/>
  <c r="FP132"/>
  <c r="FO132"/>
  <c r="FN132"/>
  <c r="FM132"/>
  <c r="FL132"/>
  <c r="FK132"/>
  <c r="FJ132"/>
  <c r="FI132"/>
  <c r="FH132"/>
  <c r="FG132"/>
  <c r="FF132"/>
  <c r="FE132"/>
  <c r="FD132"/>
  <c r="FB132"/>
  <c r="FA132"/>
  <c r="EY132"/>
  <c r="EX132"/>
  <c r="EW132"/>
  <c r="EV132"/>
  <c r="EU132"/>
  <c r="ET132"/>
  <c r="ES132"/>
  <c r="ER132"/>
  <c r="EQ132"/>
  <c r="EP132"/>
  <c r="EO132"/>
  <c r="EN132"/>
  <c r="EM132"/>
  <c r="EL132"/>
  <c r="EK132"/>
  <c r="EJ132"/>
  <c r="EI132"/>
  <c r="EH132"/>
  <c r="EG132"/>
  <c r="EF132"/>
  <c r="EE132"/>
  <c r="ED132"/>
  <c r="EC132"/>
  <c r="EA132"/>
  <c r="DZ132"/>
  <c r="DY132"/>
  <c r="DX132"/>
  <c r="DW132"/>
  <c r="DV132"/>
  <c r="DU132"/>
  <c r="DT132"/>
  <c r="DS132"/>
  <c r="DR132"/>
  <c r="DQ132"/>
  <c r="DP132"/>
  <c r="DO132"/>
  <c r="DN132"/>
  <c r="DM132"/>
  <c r="DL132"/>
  <c r="DK132"/>
  <c r="DJ132"/>
  <c r="DI132"/>
  <c r="DH132"/>
  <c r="DG132"/>
  <c r="DF132"/>
  <c r="DE132"/>
  <c r="DD132"/>
  <c r="DC132"/>
  <c r="DB132"/>
  <c r="DA132"/>
  <c r="CZ132"/>
  <c r="CX132"/>
  <c r="CW132"/>
  <c r="CV132"/>
  <c r="CU132"/>
  <c r="CT132"/>
  <c r="CS132"/>
  <c r="CR132"/>
  <c r="CQ132"/>
  <c r="CP132"/>
  <c r="CO132"/>
  <c r="CN132"/>
  <c r="CM132"/>
  <c r="CL132"/>
  <c r="CK132"/>
  <c r="CJ132"/>
  <c r="CI132"/>
  <c r="CH132"/>
  <c r="CG132"/>
  <c r="CF132"/>
  <c r="CE132"/>
  <c r="CD132"/>
  <c r="CC132"/>
  <c r="CA132"/>
  <c r="BX132"/>
  <c r="BW132"/>
  <c r="BV132"/>
  <c r="BU132"/>
  <c r="BT132"/>
  <c r="BS132"/>
  <c r="BR132"/>
  <c r="BQ132"/>
  <c r="BP132"/>
  <c r="BO132"/>
  <c r="BN132"/>
  <c r="BM132"/>
  <c r="BL132"/>
  <c r="BK132"/>
  <c r="BJ132"/>
  <c r="BI132"/>
  <c r="BH132"/>
  <c r="BG132"/>
  <c r="BF132"/>
  <c r="BE132"/>
  <c r="BD132"/>
  <c r="BC132"/>
  <c r="BB132"/>
  <c r="AZ132"/>
  <c r="AY132"/>
  <c r="AX132"/>
  <c r="AW132"/>
  <c r="AV132"/>
  <c r="AU132"/>
  <c r="AT132"/>
  <c r="AS132"/>
  <c r="AR132"/>
  <c r="AQ132"/>
  <c r="AP132"/>
  <c r="AO132"/>
  <c r="AN132"/>
  <c r="AM132"/>
  <c r="AL132"/>
  <c r="AJ132"/>
  <c r="AI132"/>
  <c r="AH132"/>
  <c r="AG132"/>
  <c r="AF132"/>
  <c r="AE132"/>
  <c r="AD132"/>
  <c r="AC132"/>
  <c r="AA132"/>
  <c r="Z132"/>
  <c r="Y132"/>
  <c r="X132"/>
  <c r="W132"/>
  <c r="V132"/>
  <c r="U132"/>
  <c r="T132"/>
  <c r="S132"/>
  <c r="R132"/>
  <c r="Q132"/>
  <c r="P132"/>
  <c r="O132"/>
  <c r="N132"/>
  <c r="M132"/>
  <c r="K132"/>
  <c r="J132"/>
  <c r="I132"/>
  <c r="H132"/>
  <c r="G132"/>
  <c r="F132"/>
  <c r="E132"/>
  <c r="D132"/>
  <c r="JC130"/>
  <c r="IW130"/>
  <c r="IQ130"/>
  <c r="IM130"/>
  <c r="IG130"/>
  <c r="HY130"/>
  <c r="HU130"/>
  <c r="HO130"/>
  <c r="HI130"/>
  <c r="GP130"/>
  <c r="GK130"/>
  <c r="ET130"/>
  <c r="EN130"/>
  <c r="EH130"/>
  <c r="DI130"/>
  <c r="DC130"/>
  <c r="BX130"/>
  <c r="BR130"/>
  <c r="BM130"/>
  <c r="BG130"/>
  <c r="AT130"/>
  <c r="AN130"/>
  <c r="JC129"/>
  <c r="IW129"/>
  <c r="IQ129"/>
  <c r="IM129"/>
  <c r="IG129"/>
  <c r="HY129"/>
  <c r="HU129"/>
  <c r="HO129"/>
  <c r="HI129"/>
  <c r="GP129"/>
  <c r="GK129"/>
  <c r="ET129"/>
  <c r="EN129"/>
  <c r="EH129"/>
  <c r="DI129"/>
  <c r="DC129"/>
  <c r="BX129"/>
  <c r="BR129"/>
  <c r="BG129"/>
  <c r="AN129"/>
  <c r="JC128"/>
  <c r="IW128"/>
  <c r="IQ128"/>
  <c r="IM128"/>
  <c r="IG128"/>
  <c r="HY128"/>
  <c r="HU128"/>
  <c r="HO128"/>
  <c r="HI128"/>
  <c r="GP128"/>
  <c r="GK128"/>
  <c r="ET128"/>
  <c r="EN128"/>
  <c r="EH128"/>
  <c r="DI128"/>
  <c r="DC128"/>
  <c r="BX128"/>
  <c r="BR128"/>
  <c r="BG128"/>
  <c r="AT128"/>
  <c r="AN128"/>
  <c r="JC127"/>
  <c r="IW127"/>
  <c r="IQ127"/>
  <c r="IM127"/>
  <c r="IG127"/>
  <c r="IC127"/>
  <c r="HY127"/>
  <c r="HU127"/>
  <c r="HO127"/>
  <c r="HI127"/>
  <c r="GP127"/>
  <c r="GK127"/>
  <c r="FX127"/>
  <c r="FX126" s="1"/>
  <c r="FR127"/>
  <c r="FM127"/>
  <c r="FG127"/>
  <c r="ET127"/>
  <c r="EN127"/>
  <c r="EH127"/>
  <c r="DU127"/>
  <c r="DI127"/>
  <c r="DB127"/>
  <c r="DC127" s="1"/>
  <c r="BX127"/>
  <c r="BR127"/>
  <c r="BG127"/>
  <c r="AN127"/>
  <c r="LG126"/>
  <c r="JB126"/>
  <c r="JA126"/>
  <c r="IZ126"/>
  <c r="IY126"/>
  <c r="IX126"/>
  <c r="IV126"/>
  <c r="IU126"/>
  <c r="IT126"/>
  <c r="IS126"/>
  <c r="IR126"/>
  <c r="IP126"/>
  <c r="IO126"/>
  <c r="IN126"/>
  <c r="IL126"/>
  <c r="IK126"/>
  <c r="IJ126"/>
  <c r="II126"/>
  <c r="IH126"/>
  <c r="IF126"/>
  <c r="IE126"/>
  <c r="HZ126"/>
  <c r="HX126"/>
  <c r="HW126"/>
  <c r="HV126"/>
  <c r="HT126"/>
  <c r="HS126"/>
  <c r="HR126"/>
  <c r="HQ126"/>
  <c r="HP126"/>
  <c r="HN126"/>
  <c r="HM126"/>
  <c r="HL126"/>
  <c r="HK126"/>
  <c r="HJ126"/>
  <c r="HH126"/>
  <c r="HG126"/>
  <c r="HF126"/>
  <c r="HE126"/>
  <c r="HC126"/>
  <c r="HB126"/>
  <c r="GY126"/>
  <c r="GX126"/>
  <c r="GW126"/>
  <c r="GU126"/>
  <c r="GT126"/>
  <c r="GS126"/>
  <c r="GR126"/>
  <c r="GQ126"/>
  <c r="GO126"/>
  <c r="GN126"/>
  <c r="GM126"/>
  <c r="GL126"/>
  <c r="GJ126"/>
  <c r="GI126"/>
  <c r="GH126"/>
  <c r="GG126"/>
  <c r="GF126"/>
  <c r="FW126"/>
  <c r="FV126"/>
  <c r="FU126"/>
  <c r="FT126"/>
  <c r="FS126"/>
  <c r="FR126"/>
  <c r="FQ126"/>
  <c r="FP126"/>
  <c r="FO126"/>
  <c r="FN126"/>
  <c r="FM126"/>
  <c r="FL126"/>
  <c r="FK126"/>
  <c r="FJ126"/>
  <c r="FI126"/>
  <c r="FH126"/>
  <c r="FG126"/>
  <c r="FF126"/>
  <c r="FE126"/>
  <c r="FD126"/>
  <c r="FB126"/>
  <c r="FA126"/>
  <c r="EY126"/>
  <c r="EX126"/>
  <c r="EW126"/>
  <c r="EV126"/>
  <c r="EU126"/>
  <c r="ET126"/>
  <c r="ES126"/>
  <c r="ER126"/>
  <c r="EQ126"/>
  <c r="EP126"/>
  <c r="EO126"/>
  <c r="EM126"/>
  <c r="EL126"/>
  <c r="EK126"/>
  <c r="EJ126"/>
  <c r="EI126"/>
  <c r="EG126"/>
  <c r="EF126"/>
  <c r="EE126"/>
  <c r="ED126"/>
  <c r="EC126"/>
  <c r="EA126"/>
  <c r="DZ126"/>
  <c r="DY126"/>
  <c r="DX126"/>
  <c r="DW126"/>
  <c r="DV126"/>
  <c r="DT126"/>
  <c r="EN126" l="1"/>
  <c r="FC127"/>
  <c r="HO126"/>
  <c r="IG126"/>
  <c r="JC126"/>
  <c r="EH126"/>
  <c r="GP126"/>
  <c r="HY126"/>
  <c r="IQ126"/>
  <c r="GE127"/>
  <c r="IC126"/>
  <c r="IM126"/>
  <c r="IM135" s="1"/>
  <c r="IL135" s="1"/>
  <c r="IK135" s="1"/>
  <c r="IJ135" s="1"/>
  <c r="II135" s="1"/>
  <c r="HI126"/>
  <c r="HI135" s="1"/>
  <c r="HU126"/>
  <c r="HU135" s="1"/>
  <c r="HT135" s="1"/>
  <c r="IW126"/>
  <c r="BA127"/>
  <c r="ID128"/>
  <c r="BA130"/>
  <c r="BA129"/>
  <c r="CB128"/>
  <c r="CB130"/>
  <c r="CB127"/>
  <c r="CB129"/>
  <c r="HD128"/>
  <c r="GK126"/>
  <c r="AB132"/>
  <c r="AK132"/>
  <c r="ID127"/>
  <c r="FC128"/>
  <c r="FC129"/>
  <c r="FC130"/>
  <c r="DW135"/>
  <c r="DY135"/>
  <c r="ED135"/>
  <c r="EF135"/>
  <c r="EJ135"/>
  <c r="EI135" s="1"/>
  <c r="EH135" s="1"/>
  <c r="EL135"/>
  <c r="EK135" s="1"/>
  <c r="EN135"/>
  <c r="EM135" s="1"/>
  <c r="EP135"/>
  <c r="ER135"/>
  <c r="EQ135" s="1"/>
  <c r="ET135"/>
  <c r="EV135"/>
  <c r="EX135"/>
  <c r="FA135"/>
  <c r="FF135"/>
  <c r="FH135"/>
  <c r="FG135" s="1"/>
  <c r="FJ135"/>
  <c r="FL135"/>
  <c r="FN135"/>
  <c r="FP135"/>
  <c r="FS135"/>
  <c r="FX135"/>
  <c r="FW135" s="1"/>
  <c r="GF135"/>
  <c r="GH135"/>
  <c r="GJ135"/>
  <c r="HK135"/>
  <c r="HM135"/>
  <c r="HO135"/>
  <c r="HS135"/>
  <c r="HR135" s="1"/>
  <c r="HQ135" s="1"/>
  <c r="HP135" s="1"/>
  <c r="HW135"/>
  <c r="HY135"/>
  <c r="IE135"/>
  <c r="IG135"/>
  <c r="IF135" s="1"/>
  <c r="IO135"/>
  <c r="IP135"/>
  <c r="IR135"/>
  <c r="IQ135" s="1"/>
  <c r="IT135"/>
  <c r="IV135"/>
  <c r="IX135"/>
  <c r="IZ135"/>
  <c r="JB135"/>
  <c r="LG135"/>
  <c r="EB132"/>
  <c r="EC135"/>
  <c r="EB127"/>
  <c r="BA128"/>
  <c r="EB128"/>
  <c r="ID129"/>
  <c r="EB130"/>
  <c r="ID130"/>
  <c r="DT135"/>
  <c r="DV135"/>
  <c r="DX135"/>
  <c r="DZ135"/>
  <c r="EE135"/>
  <c r="EG135"/>
  <c r="EO135"/>
  <c r="ES135"/>
  <c r="EU135"/>
  <c r="EW135"/>
  <c r="EY135"/>
  <c r="FB135"/>
  <c r="FD135"/>
  <c r="FE135"/>
  <c r="FI135"/>
  <c r="FK135"/>
  <c r="FM135"/>
  <c r="FO135"/>
  <c r="FQ135"/>
  <c r="FR135"/>
  <c r="FT135"/>
  <c r="FV135"/>
  <c r="FU135" s="1"/>
  <c r="GG135"/>
  <c r="GI135"/>
  <c r="GR135"/>
  <c r="GQ135" s="1"/>
  <c r="GT135"/>
  <c r="GS135" s="1"/>
  <c r="GY135"/>
  <c r="GX135" s="1"/>
  <c r="GW135" s="1"/>
  <c r="HE135"/>
  <c r="HG135"/>
  <c r="HF135" s="1"/>
  <c r="HH135"/>
  <c r="HJ135"/>
  <c r="HL135"/>
  <c r="HN135"/>
  <c r="HV135"/>
  <c r="HX135"/>
  <c r="HZ135"/>
  <c r="IH135"/>
  <c r="IN135"/>
  <c r="IS135"/>
  <c r="IU135"/>
  <c r="IY135"/>
  <c r="JA135"/>
  <c r="DS126"/>
  <c r="DS135" s="1"/>
  <c r="DR126"/>
  <c r="DR135" s="1"/>
  <c r="DQ126"/>
  <c r="DQ135" s="1"/>
  <c r="DP126"/>
  <c r="DP135" s="1"/>
  <c r="DN126"/>
  <c r="DN135" s="1"/>
  <c r="DM126"/>
  <c r="DM135" s="1"/>
  <c r="DL126"/>
  <c r="DL135" s="1"/>
  <c r="DK126"/>
  <c r="DK135" s="1"/>
  <c r="DJ126"/>
  <c r="DJ135" s="1"/>
  <c r="DI126"/>
  <c r="DI135" s="1"/>
  <c r="DH126"/>
  <c r="DG126"/>
  <c r="DG135" s="1"/>
  <c r="DF126"/>
  <c r="DF135" s="1"/>
  <c r="DE126"/>
  <c r="DE135" s="1"/>
  <c r="DD126"/>
  <c r="DD135" s="1"/>
  <c r="DC126"/>
  <c r="DC135" s="1"/>
  <c r="DB126"/>
  <c r="DB135" s="1"/>
  <c r="DA126"/>
  <c r="DA135" s="1"/>
  <c r="CZ126"/>
  <c r="CZ135" s="1"/>
  <c r="CX126"/>
  <c r="CX135" s="1"/>
  <c r="CW126"/>
  <c r="CW135" s="1"/>
  <c r="CV126"/>
  <c r="CV135" s="1"/>
  <c r="CU126"/>
  <c r="CU135" s="1"/>
  <c r="CT126"/>
  <c r="CT135" s="1"/>
  <c r="CS126"/>
  <c r="CS135" s="1"/>
  <c r="CR126"/>
  <c r="CR135" s="1"/>
  <c r="CQ126"/>
  <c r="CQ135" s="1"/>
  <c r="CP126"/>
  <c r="CP135" s="1"/>
  <c r="CO126"/>
  <c r="CO135" s="1"/>
  <c r="CN126"/>
  <c r="CN135" s="1"/>
  <c r="CM126"/>
  <c r="CM135" s="1"/>
  <c r="CL126"/>
  <c r="CL135" s="1"/>
  <c r="CK126"/>
  <c r="CK135" s="1"/>
  <c r="CJ126"/>
  <c r="CJ135" s="1"/>
  <c r="CI126"/>
  <c r="CI135" s="1"/>
  <c r="CH126"/>
  <c r="CH135" s="1"/>
  <c r="CG126"/>
  <c r="CG135" s="1"/>
  <c r="CF126"/>
  <c r="CE126"/>
  <c r="CE135" s="1"/>
  <c r="CD126"/>
  <c r="CD135" s="1"/>
  <c r="CC126"/>
  <c r="CC135" s="1"/>
  <c r="CA126"/>
  <c r="CA135" s="1"/>
  <c r="BX126"/>
  <c r="BX135" s="1"/>
  <c r="BW126"/>
  <c r="BW135" s="1"/>
  <c r="BV126"/>
  <c r="BV135" s="1"/>
  <c r="BU126"/>
  <c r="BU135" s="1"/>
  <c r="BT126"/>
  <c r="BT135" s="1"/>
  <c r="BS126"/>
  <c r="BS135" s="1"/>
  <c r="BR126"/>
  <c r="BR135" s="1"/>
  <c r="BQ126"/>
  <c r="BQ135" s="1"/>
  <c r="BP126"/>
  <c r="BP135" s="1"/>
  <c r="BO126"/>
  <c r="BO135" s="1"/>
  <c r="BN126"/>
  <c r="BN135" s="1"/>
  <c r="BM126"/>
  <c r="BM135" s="1"/>
  <c r="BL126"/>
  <c r="BL135" s="1"/>
  <c r="BK126"/>
  <c r="BK135" s="1"/>
  <c r="BJ126"/>
  <c r="BJ135" s="1"/>
  <c r="BI126"/>
  <c r="BI135" s="1"/>
  <c r="BH126"/>
  <c r="BH135" s="1"/>
  <c r="BG126"/>
  <c r="BG135" s="1"/>
  <c r="BF126"/>
  <c r="BF135" s="1"/>
  <c r="BE126"/>
  <c r="BE135" s="1"/>
  <c r="BD126"/>
  <c r="BD135" s="1"/>
  <c r="BC126"/>
  <c r="BC135" s="1"/>
  <c r="BB126"/>
  <c r="BB135" s="1"/>
  <c r="AZ126"/>
  <c r="AZ135" s="1"/>
  <c r="AY126"/>
  <c r="AY135" s="1"/>
  <c r="AX126"/>
  <c r="AX135" s="1"/>
  <c r="AW126"/>
  <c r="AW135" s="1"/>
  <c r="AV126"/>
  <c r="AV135" s="1"/>
  <c r="AU126"/>
  <c r="AU135" s="1"/>
  <c r="AT126"/>
  <c r="AS126"/>
  <c r="AS135" s="1"/>
  <c r="AR126"/>
  <c r="AR135" s="1"/>
  <c r="AQ126"/>
  <c r="AQ135" s="1"/>
  <c r="AP126"/>
  <c r="AP135" s="1"/>
  <c r="AO126"/>
  <c r="AO135" s="1"/>
  <c r="AN126"/>
  <c r="AM126"/>
  <c r="AM135" s="1"/>
  <c r="AL126"/>
  <c r="AL135" s="1"/>
  <c r="AK126"/>
  <c r="AJ126"/>
  <c r="AJ135" s="1"/>
  <c r="AI126"/>
  <c r="AI135" s="1"/>
  <c r="AH126"/>
  <c r="AH135" s="1"/>
  <c r="AG126"/>
  <c r="AG135" s="1"/>
  <c r="AF126"/>
  <c r="AF135" s="1"/>
  <c r="AE126"/>
  <c r="AE135" s="1"/>
  <c r="AD126"/>
  <c r="AD135" s="1"/>
  <c r="AC126"/>
  <c r="AC135" s="1"/>
  <c r="AB126"/>
  <c r="AA126"/>
  <c r="AA135" s="1"/>
  <c r="Z126"/>
  <c r="Y126"/>
  <c r="Y135" s="1"/>
  <c r="X126"/>
  <c r="W126"/>
  <c r="W135" s="1"/>
  <c r="V126"/>
  <c r="U126"/>
  <c r="U135" s="1"/>
  <c r="T126"/>
  <c r="T135" s="1"/>
  <c r="S126"/>
  <c r="S135" s="1"/>
  <c r="R126"/>
  <c r="R135" s="1"/>
  <c r="Q126"/>
  <c r="Q135" s="1"/>
  <c r="P126"/>
  <c r="P135" s="1"/>
  <c r="O126"/>
  <c r="O135" s="1"/>
  <c r="N126"/>
  <c r="N135" s="1"/>
  <c r="M126"/>
  <c r="M135" s="1"/>
  <c r="K126"/>
  <c r="K135" s="1"/>
  <c r="J126"/>
  <c r="I126"/>
  <c r="H126"/>
  <c r="H135" s="1"/>
  <c r="G126"/>
  <c r="F126"/>
  <c r="F135" s="1"/>
  <c r="E126"/>
  <c r="D126"/>
  <c r="D135" s="1"/>
  <c r="GP135" l="1"/>
  <c r="GO135" s="1"/>
  <c r="GN135" s="1"/>
  <c r="GM135" s="1"/>
  <c r="GL135" s="1"/>
  <c r="GK135"/>
  <c r="JD126"/>
  <c r="IW135"/>
  <c r="CB126"/>
  <c r="CB135" s="1"/>
  <c r="G135"/>
  <c r="X135"/>
  <c r="Z135"/>
  <c r="AN135"/>
  <c r="BA126"/>
  <c r="BA135" s="1"/>
  <c r="AT135"/>
  <c r="V135"/>
  <c r="E135"/>
  <c r="DH135"/>
  <c r="J135"/>
  <c r="I135" s="1"/>
  <c r="CF135"/>
  <c r="FC126"/>
  <c r="FC135" s="1"/>
  <c r="D280"/>
  <c r="D137"/>
  <c r="JD132"/>
  <c r="ID126"/>
  <c r="ID135" s="1"/>
  <c r="IC135" s="1"/>
  <c r="AK135"/>
  <c r="AB135"/>
  <c r="GE126"/>
  <c r="GE135" s="1"/>
  <c r="JD135" l="1"/>
  <c r="JC135" s="1"/>
  <c r="AB280"/>
  <c r="AB137"/>
  <c r="BA137" s="1"/>
  <c r="J137"/>
  <c r="E137"/>
  <c r="O137" l="1"/>
  <c r="K137"/>
  <c r="L137" s="1"/>
  <c r="M137" s="1"/>
  <c r="BG137"/>
  <c r="CB137"/>
  <c r="BB137"/>
  <c r="BA280"/>
  <c r="AH280"/>
  <c r="AI280" l="1"/>
  <c r="DC137"/>
  <c r="CF137"/>
  <c r="CB280"/>
  <c r="BG280"/>
  <c r="BH137"/>
  <c r="BM137"/>
  <c r="U137"/>
  <c r="P137"/>
  <c r="AA137" l="1"/>
  <c r="V137"/>
  <c r="BH280"/>
  <c r="DD137"/>
  <c r="DI137"/>
  <c r="BN137"/>
  <c r="BR137"/>
  <c r="DC280"/>
  <c r="CF280"/>
  <c r="CG137"/>
  <c r="CK137"/>
  <c r="CQ137" l="1"/>
  <c r="CL137"/>
  <c r="DI280"/>
  <c r="BX137"/>
  <c r="BY137" s="1"/>
  <c r="BZ137" s="1"/>
  <c r="BS137"/>
  <c r="CG280"/>
  <c r="DJ137"/>
  <c r="CA137" l="1"/>
  <c r="CR137"/>
  <c r="CW137"/>
  <c r="DJ280"/>
  <c r="CX137" l="1"/>
  <c r="CY137" s="1"/>
  <c r="CZ137" s="1"/>
  <c r="DA137" s="1"/>
  <c r="DB137"/>
  <c r="JC119" l="1"/>
  <c r="IW119"/>
  <c r="IQ119"/>
  <c r="IM119"/>
  <c r="IG119"/>
  <c r="HU119"/>
  <c r="HO119"/>
  <c r="HI119"/>
  <c r="GK119"/>
  <c r="FR119"/>
  <c r="FM119"/>
  <c r="FG119"/>
  <c r="EN119"/>
  <c r="EH119"/>
  <c r="DO119"/>
  <c r="DI119"/>
  <c r="DC119"/>
  <c r="GE119" l="1"/>
  <c r="GE118" s="1"/>
  <c r="EB119"/>
  <c r="FC119"/>
  <c r="ID119"/>
  <c r="ID118" s="1"/>
  <c r="BX118"/>
  <c r="BM118"/>
  <c r="BG119"/>
  <c r="BG118" s="1"/>
  <c r="AZ118"/>
  <c r="AN118"/>
  <c r="AH119"/>
  <c r="AH118" s="1"/>
  <c r="D119"/>
  <c r="D118" s="1"/>
  <c r="JC118"/>
  <c r="JB118"/>
  <c r="JA118"/>
  <c r="IZ118"/>
  <c r="IY118"/>
  <c r="IX118"/>
  <c r="IW118"/>
  <c r="IV118"/>
  <c r="IU118"/>
  <c r="IT118"/>
  <c r="IS118"/>
  <c r="IR118"/>
  <c r="IQ118"/>
  <c r="IP118"/>
  <c r="IO118"/>
  <c r="IN118"/>
  <c r="IM118"/>
  <c r="IL118"/>
  <c r="IK118"/>
  <c r="IJ118"/>
  <c r="II118"/>
  <c r="IH118"/>
  <c r="IG118"/>
  <c r="IF118"/>
  <c r="IE118"/>
  <c r="IC118"/>
  <c r="HZ118"/>
  <c r="HY118"/>
  <c r="HX118"/>
  <c r="HW118"/>
  <c r="HV118"/>
  <c r="HU118"/>
  <c r="HT118"/>
  <c r="HS118"/>
  <c r="HR118"/>
  <c r="HQ118"/>
  <c r="HP118"/>
  <c r="HO118"/>
  <c r="HN118"/>
  <c r="HM118"/>
  <c r="HL118"/>
  <c r="HK118"/>
  <c r="HJ118"/>
  <c r="HI118"/>
  <c r="HH118"/>
  <c r="HG118"/>
  <c r="HF118"/>
  <c r="HE118"/>
  <c r="HC118"/>
  <c r="HB118"/>
  <c r="GY118"/>
  <c r="GX118"/>
  <c r="GW118"/>
  <c r="GU118"/>
  <c r="GT118"/>
  <c r="GS118"/>
  <c r="GR118"/>
  <c r="GQ118"/>
  <c r="GP118"/>
  <c r="GO118"/>
  <c r="GN118"/>
  <c r="GM118"/>
  <c r="GL118"/>
  <c r="GK118"/>
  <c r="GJ118"/>
  <c r="GI118"/>
  <c r="GH118"/>
  <c r="GG118"/>
  <c r="GF118"/>
  <c r="FX118"/>
  <c r="FW118"/>
  <c r="FV118"/>
  <c r="FU118"/>
  <c r="FT118"/>
  <c r="FS118"/>
  <c r="FR118"/>
  <c r="FQ118"/>
  <c r="FP118"/>
  <c r="FO118"/>
  <c r="FN118"/>
  <c r="FM118"/>
  <c r="FL118"/>
  <c r="FK118"/>
  <c r="FJ118"/>
  <c r="FI118"/>
  <c r="FH118"/>
  <c r="FG118"/>
  <c r="FF118"/>
  <c r="FE118"/>
  <c r="FD118"/>
  <c r="FC118"/>
  <c r="FB118"/>
  <c r="FA118"/>
  <c r="EY118"/>
  <c r="EX118"/>
  <c r="EW118"/>
  <c r="EV118"/>
  <c r="EU118"/>
  <c r="ET118"/>
  <c r="ES118"/>
  <c r="ER118"/>
  <c r="EQ118"/>
  <c r="EP118"/>
  <c r="EO118"/>
  <c r="EN118"/>
  <c r="EM118"/>
  <c r="EL118"/>
  <c r="EK118"/>
  <c r="EJ118"/>
  <c r="EI118"/>
  <c r="EH118"/>
  <c r="EG118"/>
  <c r="EF118"/>
  <c r="EE118"/>
  <c r="ED118"/>
  <c r="EC118"/>
  <c r="EA118"/>
  <c r="DZ118"/>
  <c r="DY118"/>
  <c r="DX118"/>
  <c r="DW118"/>
  <c r="DV118"/>
  <c r="DU118"/>
  <c r="DT118"/>
  <c r="DS118"/>
  <c r="DR118"/>
  <c r="DQ118"/>
  <c r="DP118"/>
  <c r="DO118"/>
  <c r="DN118"/>
  <c r="DM118"/>
  <c r="DL118"/>
  <c r="DK118"/>
  <c r="DJ118"/>
  <c r="DI118"/>
  <c r="DH118"/>
  <c r="DG118"/>
  <c r="DF118"/>
  <c r="DE118"/>
  <c r="DD118"/>
  <c r="DC118"/>
  <c r="DB118"/>
  <c r="DA118"/>
  <c r="CZ118"/>
  <c r="CX118"/>
  <c r="CW118"/>
  <c r="CV118"/>
  <c r="CU118"/>
  <c r="CT118"/>
  <c r="CS118"/>
  <c r="CR118"/>
  <c r="CQ118"/>
  <c r="CP118"/>
  <c r="CO118"/>
  <c r="CN118"/>
  <c r="CM118"/>
  <c r="CL118"/>
  <c r="CK118"/>
  <c r="CJ118"/>
  <c r="CI118"/>
  <c r="CH118"/>
  <c r="CG118"/>
  <c r="CF118"/>
  <c r="CE118"/>
  <c r="CD118"/>
  <c r="CC118"/>
  <c r="CA118"/>
  <c r="BW118"/>
  <c r="BV118"/>
  <c r="BU118"/>
  <c r="BT118"/>
  <c r="BS118"/>
  <c r="BR118"/>
  <c r="BQ118"/>
  <c r="BP118"/>
  <c r="BO118"/>
  <c r="BN118"/>
  <c r="BL118"/>
  <c r="BK118"/>
  <c r="BJ118"/>
  <c r="BI118"/>
  <c r="BH118"/>
  <c r="BF118"/>
  <c r="BE118"/>
  <c r="BD118"/>
  <c r="BC118"/>
  <c r="BB118"/>
  <c r="AY118"/>
  <c r="AX118"/>
  <c r="AW118"/>
  <c r="AV118"/>
  <c r="AU118"/>
  <c r="AT118"/>
  <c r="AS118"/>
  <c r="AR118"/>
  <c r="AQ118"/>
  <c r="AP118"/>
  <c r="AO118"/>
  <c r="AM118"/>
  <c r="AL118"/>
  <c r="AK118"/>
  <c r="AJ118"/>
  <c r="AI118"/>
  <c r="AG118"/>
  <c r="AF118"/>
  <c r="AE118"/>
  <c r="AD118"/>
  <c r="AC118"/>
  <c r="AA118"/>
  <c r="Z118"/>
  <c r="Y118"/>
  <c r="X118"/>
  <c r="W118"/>
  <c r="V118"/>
  <c r="U118"/>
  <c r="T118"/>
  <c r="S118"/>
  <c r="R118"/>
  <c r="Q118"/>
  <c r="P118"/>
  <c r="O118"/>
  <c r="N118"/>
  <c r="M118"/>
  <c r="K118"/>
  <c r="J118"/>
  <c r="I118"/>
  <c r="H118"/>
  <c r="G118"/>
  <c r="F118"/>
  <c r="E118"/>
  <c r="JC116"/>
  <c r="IW116"/>
  <c r="IQ116"/>
  <c r="IM116"/>
  <c r="IG116"/>
  <c r="IC116"/>
  <c r="HY116"/>
  <c r="HU116"/>
  <c r="HO116"/>
  <c r="HI116"/>
  <c r="GP116"/>
  <c r="GK116"/>
  <c r="EN116"/>
  <c r="EH116"/>
  <c r="DU116"/>
  <c r="DU112" s="1"/>
  <c r="DO116"/>
  <c r="DI116"/>
  <c r="DC116"/>
  <c r="BR116"/>
  <c r="BG116"/>
  <c r="AZ116"/>
  <c r="AT116"/>
  <c r="AN116"/>
  <c r="AH116"/>
  <c r="O116"/>
  <c r="D116"/>
  <c r="JC115"/>
  <c r="IW115"/>
  <c r="IQ115"/>
  <c r="IM115"/>
  <c r="IG115"/>
  <c r="HY115"/>
  <c r="HU115"/>
  <c r="HO115"/>
  <c r="HI115"/>
  <c r="GK115"/>
  <c r="EN115"/>
  <c r="EH115"/>
  <c r="DO115"/>
  <c r="DO126" s="1"/>
  <c r="DO135" s="1"/>
  <c r="DO137" s="1"/>
  <c r="DI115"/>
  <c r="DC115"/>
  <c r="BR115"/>
  <c r="BG115"/>
  <c r="AN115"/>
  <c r="AH115"/>
  <c r="O115"/>
  <c r="D115"/>
  <c r="JC114"/>
  <c r="JD114" s="1"/>
  <c r="IW114"/>
  <c r="IQ114"/>
  <c r="IM114"/>
  <c r="IG114"/>
  <c r="HY114"/>
  <c r="HU114"/>
  <c r="HO114"/>
  <c r="HI114"/>
  <c r="GK114"/>
  <c r="EN114"/>
  <c r="EH114"/>
  <c r="DO114"/>
  <c r="DC114"/>
  <c r="BR114"/>
  <c r="BG114"/>
  <c r="AN114"/>
  <c r="AH114"/>
  <c r="O114"/>
  <c r="D114"/>
  <c r="JC113"/>
  <c r="IW113"/>
  <c r="IQ113"/>
  <c r="IM113"/>
  <c r="IG113"/>
  <c r="HY113"/>
  <c r="HU113"/>
  <c r="HO113"/>
  <c r="HI113"/>
  <c r="GV113"/>
  <c r="GK113"/>
  <c r="FX113"/>
  <c r="FR113"/>
  <c r="FM113"/>
  <c r="FG113"/>
  <c r="EN113"/>
  <c r="EN112" s="1"/>
  <c r="EH113"/>
  <c r="DI113"/>
  <c r="CW113"/>
  <c r="CW112" s="1"/>
  <c r="BX113"/>
  <c r="BG113"/>
  <c r="AN113"/>
  <c r="AH113"/>
  <c r="O113"/>
  <c r="D113"/>
  <c r="LG112"/>
  <c r="JB112"/>
  <c r="JA112"/>
  <c r="IZ112"/>
  <c r="IY112"/>
  <c r="IX112"/>
  <c r="IV112"/>
  <c r="IU112"/>
  <c r="IT112"/>
  <c r="IS112"/>
  <c r="IR112"/>
  <c r="IP112"/>
  <c r="IO112"/>
  <c r="IN112"/>
  <c r="IL112"/>
  <c r="IK112"/>
  <c r="IJ112"/>
  <c r="II112"/>
  <c r="IH112"/>
  <c r="IF112"/>
  <c r="IE112"/>
  <c r="HZ112"/>
  <c r="HX112"/>
  <c r="HW112"/>
  <c r="HV112"/>
  <c r="HT112"/>
  <c r="HS112"/>
  <c r="HR112"/>
  <c r="HQ112"/>
  <c r="HP112"/>
  <c r="HN112"/>
  <c r="HM112"/>
  <c r="HL112"/>
  <c r="HK112"/>
  <c r="HJ112"/>
  <c r="HH112"/>
  <c r="HG112"/>
  <c r="HF112"/>
  <c r="HE112"/>
  <c r="HC112"/>
  <c r="HB112"/>
  <c r="GY112"/>
  <c r="GX112"/>
  <c r="GW112"/>
  <c r="GU112"/>
  <c r="GT112"/>
  <c r="GS112"/>
  <c r="GR112"/>
  <c r="GQ112"/>
  <c r="GO112"/>
  <c r="GN112"/>
  <c r="GM112"/>
  <c r="GL112"/>
  <c r="GJ112"/>
  <c r="GI112"/>
  <c r="GH112"/>
  <c r="GG112"/>
  <c r="GF112"/>
  <c r="FW112"/>
  <c r="FV112"/>
  <c r="FU112"/>
  <c r="FT112"/>
  <c r="FS112"/>
  <c r="FR112"/>
  <c r="FQ112"/>
  <c r="FP112"/>
  <c r="FO112"/>
  <c r="FN112"/>
  <c r="FM112"/>
  <c r="FL112"/>
  <c r="FK112"/>
  <c r="FJ112"/>
  <c r="FI112"/>
  <c r="FH112"/>
  <c r="FG112"/>
  <c r="FF112"/>
  <c r="FE112"/>
  <c r="FD112"/>
  <c r="FB112"/>
  <c r="FA112"/>
  <c r="EY112"/>
  <c r="EX112"/>
  <c r="EW112"/>
  <c r="EV112"/>
  <c r="EU112"/>
  <c r="ET112"/>
  <c r="ES112"/>
  <c r="ER112"/>
  <c r="EQ112"/>
  <c r="EP112"/>
  <c r="EO112"/>
  <c r="EM112"/>
  <c r="EL112"/>
  <c r="EK112"/>
  <c r="EJ112"/>
  <c r="EI112"/>
  <c r="EG112"/>
  <c r="EF112"/>
  <c r="EE112"/>
  <c r="ED112"/>
  <c r="EC112"/>
  <c r="EA112"/>
  <c r="DZ112"/>
  <c r="DY112"/>
  <c r="DX112"/>
  <c r="DW112"/>
  <c r="DV112"/>
  <c r="DT112"/>
  <c r="DS112"/>
  <c r="DR112"/>
  <c r="DQ112"/>
  <c r="DP112"/>
  <c r="DN112"/>
  <c r="DM112"/>
  <c r="DL112"/>
  <c r="DK112"/>
  <c r="DJ112"/>
  <c r="DH112"/>
  <c r="DG112"/>
  <c r="DF112"/>
  <c r="DE112"/>
  <c r="DD112"/>
  <c r="DB112"/>
  <c r="DA112"/>
  <c r="CZ112"/>
  <c r="CX112"/>
  <c r="CV112"/>
  <c r="CU112"/>
  <c r="CT112"/>
  <c r="CS112"/>
  <c r="CR112"/>
  <c r="CQ112"/>
  <c r="CP112"/>
  <c r="CO112"/>
  <c r="CN112"/>
  <c r="CM112"/>
  <c r="CL112"/>
  <c r="CJ112"/>
  <c r="CI112"/>
  <c r="CH112"/>
  <c r="CG112"/>
  <c r="CF112"/>
  <c r="CE112"/>
  <c r="CD112"/>
  <c r="CC112"/>
  <c r="CA112"/>
  <c r="BW112"/>
  <c r="BV112"/>
  <c r="BU112"/>
  <c r="BT112"/>
  <c r="BS112"/>
  <c r="BQ112"/>
  <c r="BP112"/>
  <c r="BO112"/>
  <c r="BN112"/>
  <c r="BL112"/>
  <c r="BK112"/>
  <c r="BJ112"/>
  <c r="BI112"/>
  <c r="BH112"/>
  <c r="BF112"/>
  <c r="BE112"/>
  <c r="BD112"/>
  <c r="BC112"/>
  <c r="BB112"/>
  <c r="AY112"/>
  <c r="AX112"/>
  <c r="AW112"/>
  <c r="AV112"/>
  <c r="AU112"/>
  <c r="AS112"/>
  <c r="AR112"/>
  <c r="AQ112"/>
  <c r="AP112"/>
  <c r="AO112"/>
  <c r="AM112"/>
  <c r="AL112"/>
  <c r="AK112"/>
  <c r="AJ112"/>
  <c r="AI112"/>
  <c r="AG112"/>
  <c r="AF112"/>
  <c r="AE112"/>
  <c r="AD112"/>
  <c r="AC112"/>
  <c r="AA112"/>
  <c r="Z112"/>
  <c r="Y112"/>
  <c r="X112"/>
  <c r="W112"/>
  <c r="V112"/>
  <c r="U112"/>
  <c r="T112"/>
  <c r="S112"/>
  <c r="R112"/>
  <c r="Q112"/>
  <c r="P112"/>
  <c r="N112"/>
  <c r="M112"/>
  <c r="K112"/>
  <c r="J112"/>
  <c r="I112"/>
  <c r="H112"/>
  <c r="G112"/>
  <c r="F112"/>
  <c r="E112"/>
  <c r="DO112" l="1"/>
  <c r="BR112"/>
  <c r="GE113"/>
  <c r="GK112"/>
  <c r="IG112"/>
  <c r="EH112"/>
  <c r="IM112"/>
  <c r="HI112"/>
  <c r="IC112"/>
  <c r="IC121" s="1"/>
  <c r="IW112"/>
  <c r="O112"/>
  <c r="BG112"/>
  <c r="AN112"/>
  <c r="AN121" s="1"/>
  <c r="AM121" s="1"/>
  <c r="AZ112"/>
  <c r="AZ121" s="1"/>
  <c r="BM112"/>
  <c r="BM121" s="1"/>
  <c r="D112"/>
  <c r="AH112"/>
  <c r="AH121" s="1"/>
  <c r="AT112"/>
  <c r="BX112"/>
  <c r="BX121" s="1"/>
  <c r="FX112"/>
  <c r="GP112"/>
  <c r="GP121" s="1"/>
  <c r="GO121" s="1"/>
  <c r="GN121" s="1"/>
  <c r="GM121" s="1"/>
  <c r="GL121" s="1"/>
  <c r="HU112"/>
  <c r="HY112"/>
  <c r="HY121" s="1"/>
  <c r="GV112"/>
  <c r="IQ112"/>
  <c r="IQ121" s="1"/>
  <c r="JC112"/>
  <c r="HO112"/>
  <c r="HO121" s="1"/>
  <c r="HD114"/>
  <c r="EB113"/>
  <c r="FC115"/>
  <c r="ID115"/>
  <c r="ID116"/>
  <c r="AB113"/>
  <c r="CB113"/>
  <c r="FC113"/>
  <c r="CB114"/>
  <c r="DI114"/>
  <c r="DI112" s="1"/>
  <c r="FC114"/>
  <c r="ID114"/>
  <c r="CB115"/>
  <c r="CB116"/>
  <c r="EB116"/>
  <c r="CB119"/>
  <c r="CB118" s="1"/>
  <c r="BA114"/>
  <c r="EB114"/>
  <c r="BA115"/>
  <c r="BA116"/>
  <c r="FC116"/>
  <c r="HD116"/>
  <c r="DP137"/>
  <c r="BA113"/>
  <c r="HD113"/>
  <c r="ID113"/>
  <c r="AB114"/>
  <c r="EB115"/>
  <c r="AB116"/>
  <c r="E121"/>
  <c r="D121" s="1"/>
  <c r="G121"/>
  <c r="I121"/>
  <c r="K121"/>
  <c r="N121"/>
  <c r="P121"/>
  <c r="R121"/>
  <c r="T121"/>
  <c r="V121"/>
  <c r="X121"/>
  <c r="Z121"/>
  <c r="AD121"/>
  <c r="AF121"/>
  <c r="AJ121"/>
  <c r="AL121"/>
  <c r="AK121" s="1"/>
  <c r="AP121"/>
  <c r="AR121"/>
  <c r="AT121"/>
  <c r="AV121"/>
  <c r="AX121"/>
  <c r="BB121"/>
  <c r="BD121"/>
  <c r="BF121"/>
  <c r="BH121"/>
  <c r="BJ121"/>
  <c r="BL121"/>
  <c r="BN121"/>
  <c r="BP121"/>
  <c r="BR121"/>
  <c r="BT121"/>
  <c r="BV121"/>
  <c r="CD121"/>
  <c r="CG121"/>
  <c r="CI121"/>
  <c r="CM121"/>
  <c r="CO121"/>
  <c r="CQ121"/>
  <c r="CS121"/>
  <c r="CR121" s="1"/>
  <c r="CU121"/>
  <c r="CW121"/>
  <c r="CZ121"/>
  <c r="DB121"/>
  <c r="DD121"/>
  <c r="DF121"/>
  <c r="DH121"/>
  <c r="DG121" s="1"/>
  <c r="DK121"/>
  <c r="DM121"/>
  <c r="DQ121"/>
  <c r="DS121"/>
  <c r="DU121"/>
  <c r="DW121"/>
  <c r="DY121"/>
  <c r="EA121"/>
  <c r="ED121"/>
  <c r="EF121"/>
  <c r="EJ121"/>
  <c r="EL121"/>
  <c r="EP121"/>
  <c r="ER121"/>
  <c r="ET121"/>
  <c r="EV121"/>
  <c r="EX121"/>
  <c r="FA121"/>
  <c r="FE121"/>
  <c r="FF121"/>
  <c r="FH121"/>
  <c r="FJ121"/>
  <c r="FL121"/>
  <c r="FN121"/>
  <c r="FP121"/>
  <c r="FS121"/>
  <c r="FU121"/>
  <c r="FX121"/>
  <c r="GF121"/>
  <c r="GH121"/>
  <c r="GJ121"/>
  <c r="GK121"/>
  <c r="GQ121"/>
  <c r="GS121"/>
  <c r="GR121" s="1"/>
  <c r="GW121"/>
  <c r="HB121"/>
  <c r="GY121" s="1"/>
  <c r="GX121" s="1"/>
  <c r="HF121"/>
  <c r="HH121"/>
  <c r="HI121"/>
  <c r="HK121"/>
  <c r="HM121"/>
  <c r="HS121"/>
  <c r="HR121" s="1"/>
  <c r="HQ121" s="1"/>
  <c r="HP121" s="1"/>
  <c r="HU121"/>
  <c r="HT121" s="1"/>
  <c r="HW121"/>
  <c r="HZ121"/>
  <c r="IE121"/>
  <c r="IO121"/>
  <c r="IP121"/>
  <c r="IR121"/>
  <c r="IT121"/>
  <c r="IV121"/>
  <c r="IX121"/>
  <c r="IW121" s="1"/>
  <c r="IZ121"/>
  <c r="JB121"/>
  <c r="LG121"/>
  <c r="AB119"/>
  <c r="AB118" s="1"/>
  <c r="EB118"/>
  <c r="EC121"/>
  <c r="AB115"/>
  <c r="HD115"/>
  <c r="F121"/>
  <c r="H121"/>
  <c r="J121"/>
  <c r="M121"/>
  <c r="O121"/>
  <c r="Q121"/>
  <c r="S121"/>
  <c r="U121"/>
  <c r="W121"/>
  <c r="Y121"/>
  <c r="AA121"/>
  <c r="AC121"/>
  <c r="AE121"/>
  <c r="AG121"/>
  <c r="AI121"/>
  <c r="AO121"/>
  <c r="AQ121"/>
  <c r="AS121"/>
  <c r="AU121"/>
  <c r="AW121"/>
  <c r="AY121"/>
  <c r="BC121"/>
  <c r="BE121"/>
  <c r="BG121"/>
  <c r="BI121"/>
  <c r="BK121"/>
  <c r="BO121"/>
  <c r="BQ121"/>
  <c r="BS121"/>
  <c r="BU121"/>
  <c r="BW121"/>
  <c r="CA121"/>
  <c r="CC121"/>
  <c r="CE121"/>
  <c r="CF121"/>
  <c r="CH121"/>
  <c r="CJ121"/>
  <c r="CL121"/>
  <c r="CN121"/>
  <c r="CP121"/>
  <c r="CT121"/>
  <c r="CV121"/>
  <c r="CX121"/>
  <c r="DA121"/>
  <c r="DE121"/>
  <c r="DJ121"/>
  <c r="DL121"/>
  <c r="DN121"/>
  <c r="DP121"/>
  <c r="DO121" s="1"/>
  <c r="DR121"/>
  <c r="DT121"/>
  <c r="DV121"/>
  <c r="DX121"/>
  <c r="DZ121"/>
  <c r="EE121"/>
  <c r="EG121"/>
  <c r="EI121"/>
  <c r="EH121" s="1"/>
  <c r="EK121"/>
  <c r="EM121"/>
  <c r="EO121"/>
  <c r="EN121" s="1"/>
  <c r="EQ121"/>
  <c r="ES121"/>
  <c r="EU121"/>
  <c r="EW121"/>
  <c r="EY121"/>
  <c r="FB121"/>
  <c r="FD121"/>
  <c r="FG121"/>
  <c r="FI121"/>
  <c r="FK121"/>
  <c r="FM121"/>
  <c r="FO121"/>
  <c r="FQ121"/>
  <c r="FR121"/>
  <c r="FT121"/>
  <c r="FV121"/>
  <c r="FW121"/>
  <c r="GG121"/>
  <c r="GI121"/>
  <c r="HE121"/>
  <c r="HG121"/>
  <c r="HJ121"/>
  <c r="HL121"/>
  <c r="HN121"/>
  <c r="HV121"/>
  <c r="HX121"/>
  <c r="IH121"/>
  <c r="IN121"/>
  <c r="IS121"/>
  <c r="IU121"/>
  <c r="IY121"/>
  <c r="JA121"/>
  <c r="BA119"/>
  <c r="BA118" s="1"/>
  <c r="IG121" l="1"/>
  <c r="IF121" s="1"/>
  <c r="IM121"/>
  <c r="IL121" s="1"/>
  <c r="IK121" s="1"/>
  <c r="IJ121" s="1"/>
  <c r="II121" s="1"/>
  <c r="FC112"/>
  <c r="FC121" s="1"/>
  <c r="ID112"/>
  <c r="ID121" s="1"/>
  <c r="EB112"/>
  <c r="EB121" s="1"/>
  <c r="BA112"/>
  <c r="BA121" s="1"/>
  <c r="DI121"/>
  <c r="AB112"/>
  <c r="AB121" s="1"/>
  <c r="CB112"/>
  <c r="CB121" s="1"/>
  <c r="HD112"/>
  <c r="JD118"/>
  <c r="D273"/>
  <c r="D123"/>
  <c r="JD112"/>
  <c r="GE112"/>
  <c r="GE121" s="1"/>
  <c r="AB273" l="1"/>
  <c r="AH273" s="1"/>
  <c r="AB123"/>
  <c r="E273"/>
  <c r="J273"/>
  <c r="E123"/>
  <c r="F123" s="1"/>
  <c r="G123" s="1"/>
  <c r="H123" s="1"/>
  <c r="I123" s="1"/>
  <c r="J123"/>
  <c r="O123" s="1"/>
  <c r="JD121"/>
  <c r="JC121" s="1"/>
  <c r="U123" l="1"/>
  <c r="V123" s="1"/>
  <c r="W123" s="1"/>
  <c r="X123" s="1"/>
  <c r="Y123" s="1"/>
  <c r="Z123" s="1"/>
  <c r="P123"/>
  <c r="Q123" s="1"/>
  <c r="R123" s="1"/>
  <c r="S123" s="1"/>
  <c r="T123" s="1"/>
  <c r="K123"/>
  <c r="L123" s="1"/>
  <c r="M123" s="1"/>
  <c r="N123" s="1"/>
  <c r="BA123"/>
  <c r="AC123"/>
  <c r="BA273"/>
  <c r="CB273" l="1"/>
  <c r="BG273"/>
  <c r="BB273"/>
  <c r="BG123"/>
  <c r="BB123"/>
  <c r="CF273" l="1"/>
  <c r="BH123"/>
  <c r="BM123"/>
  <c r="BH273"/>
  <c r="BN123" l="1"/>
  <c r="BR123"/>
  <c r="CG273"/>
  <c r="BS123" l="1"/>
  <c r="BX123"/>
  <c r="BY123" s="1"/>
  <c r="BZ123" s="1"/>
  <c r="AB105"/>
  <c r="IP103"/>
  <c r="IO103"/>
  <c r="IN103"/>
  <c r="IL103"/>
  <c r="II103"/>
  <c r="IH103"/>
  <c r="IF103"/>
  <c r="IE103"/>
  <c r="HG103" l="1"/>
  <c r="HF103"/>
  <c r="HE103"/>
  <c r="HI103" l="1"/>
  <c r="ID103" s="1"/>
  <c r="GO103"/>
  <c r="GN103"/>
  <c r="GM103"/>
  <c r="GL103"/>
  <c r="GJ103"/>
  <c r="GH103" l="1"/>
  <c r="GG103"/>
  <c r="GF103"/>
  <c r="FF103"/>
  <c r="FE103"/>
  <c r="FD103"/>
  <c r="FA103"/>
  <c r="EY103"/>
  <c r="EX103"/>
  <c r="EW103"/>
  <c r="EV103"/>
  <c r="EU103"/>
  <c r="GK103" l="1"/>
  <c r="HD103" s="1"/>
  <c r="FG103"/>
  <c r="GE103" s="1"/>
  <c r="FB103"/>
  <c r="ES103"/>
  <c r="EQ103"/>
  <c r="EP103"/>
  <c r="EO103"/>
  <c r="EM103"/>
  <c r="EL103"/>
  <c r="EK103"/>
  <c r="EJ103"/>
  <c r="EI103"/>
  <c r="EF103"/>
  <c r="EE103"/>
  <c r="ED103"/>
  <c r="EC103"/>
  <c r="DX103"/>
  <c r="DW103"/>
  <c r="DV103"/>
  <c r="EN103" l="1"/>
  <c r="EA103"/>
  <c r="DT103"/>
  <c r="DR103"/>
  <c r="DQ103"/>
  <c r="DP103"/>
  <c r="DN103"/>
  <c r="DM103"/>
  <c r="DK103"/>
  <c r="DJ103"/>
  <c r="DH103"/>
  <c r="DG103"/>
  <c r="DF103"/>
  <c r="DD103"/>
  <c r="CV103"/>
  <c r="CU103"/>
  <c r="CT103"/>
  <c r="CR103"/>
  <c r="CP103"/>
  <c r="CO103"/>
  <c r="CN103"/>
  <c r="CM103"/>
  <c r="CL103"/>
  <c r="CQ103" l="1"/>
  <c r="CW103"/>
  <c r="CJ103"/>
  <c r="CH103"/>
  <c r="CE103"/>
  <c r="CD103"/>
  <c r="CC103"/>
  <c r="BW103"/>
  <c r="BV103"/>
  <c r="BU103"/>
  <c r="BS103"/>
  <c r="BQ103"/>
  <c r="BP103"/>
  <c r="BO103"/>
  <c r="BN103"/>
  <c r="BL103"/>
  <c r="BK103"/>
  <c r="BJ103"/>
  <c r="BH103"/>
  <c r="BF103"/>
  <c r="BE103"/>
  <c r="BD103"/>
  <c r="BC103"/>
  <c r="BB103"/>
  <c r="BM103" l="1"/>
  <c r="BR103"/>
  <c r="CF103"/>
  <c r="BG103"/>
  <c r="AY103"/>
  <c r="AX103"/>
  <c r="AW103"/>
  <c r="CB103" l="1"/>
  <c r="AV103"/>
  <c r="AU103"/>
  <c r="AS103"/>
  <c r="AR103"/>
  <c r="AQ103"/>
  <c r="AP103"/>
  <c r="AO103"/>
  <c r="AG103"/>
  <c r="AF103"/>
  <c r="AE103"/>
  <c r="AD103"/>
  <c r="AC103"/>
  <c r="Z103"/>
  <c r="Y103"/>
  <c r="X103"/>
  <c r="W103"/>
  <c r="AZ103" l="1"/>
  <c r="AH103"/>
  <c r="AT103"/>
  <c r="AA103"/>
  <c r="D101"/>
  <c r="CF100"/>
  <c r="DC100" s="1"/>
  <c r="BA103" l="1"/>
  <c r="O101"/>
  <c r="AB101" s="1"/>
  <c r="J103"/>
  <c r="O100"/>
  <c r="D100"/>
  <c r="JC99"/>
  <c r="IW99"/>
  <c r="IQ99"/>
  <c r="IM99"/>
  <c r="IG99"/>
  <c r="HU99"/>
  <c r="HO99"/>
  <c r="HI99"/>
  <c r="HC99"/>
  <c r="GK99"/>
  <c r="FX99"/>
  <c r="FR99"/>
  <c r="FM99"/>
  <c r="FG99"/>
  <c r="ET99"/>
  <c r="EN99"/>
  <c r="EH99"/>
  <c r="CW99"/>
  <c r="CQ99"/>
  <c r="CK99"/>
  <c r="CF99"/>
  <c r="BG99"/>
  <c r="AH99"/>
  <c r="GE99" l="1"/>
  <c r="GE98" s="1"/>
  <c r="AB100"/>
  <c r="CB99"/>
  <c r="DI99"/>
  <c r="BA99"/>
  <c r="DC99"/>
  <c r="FC99"/>
  <c r="DO99"/>
  <c r="HD99"/>
  <c r="ID99"/>
  <c r="O99"/>
  <c r="O98" s="1"/>
  <c r="D99"/>
  <c r="JC98"/>
  <c r="JB98"/>
  <c r="JA98"/>
  <c r="IZ98"/>
  <c r="IY98"/>
  <c r="IX98"/>
  <c r="IW98"/>
  <c r="IV98"/>
  <c r="IU98"/>
  <c r="IT98"/>
  <c r="IS98"/>
  <c r="IR98"/>
  <c r="IQ98"/>
  <c r="IP98"/>
  <c r="IO98"/>
  <c r="IN98"/>
  <c r="IL98"/>
  <c r="IK98"/>
  <c r="II98"/>
  <c r="IH98"/>
  <c r="IG98"/>
  <c r="IF98"/>
  <c r="IE98"/>
  <c r="IC98"/>
  <c r="IB98" s="1"/>
  <c r="HY98"/>
  <c r="HW98"/>
  <c r="HV98"/>
  <c r="HT98"/>
  <c r="HR98"/>
  <c r="HQ98"/>
  <c r="HP98"/>
  <c r="HJ98"/>
  <c r="HC98"/>
  <c r="HB98"/>
  <c r="HA98"/>
  <c r="HA107" s="1"/>
  <c r="GY98"/>
  <c r="GX98"/>
  <c r="GW98"/>
  <c r="GV98"/>
  <c r="GU98"/>
  <c r="GT98"/>
  <c r="GR98"/>
  <c r="GQ98"/>
  <c r="GP98"/>
  <c r="GO98" s="1"/>
  <c r="GN98" s="1"/>
  <c r="GL98"/>
  <c r="GK98"/>
  <c r="GJ98"/>
  <c r="GI98"/>
  <c r="GH98"/>
  <c r="GG98"/>
  <c r="FX98"/>
  <c r="FW98"/>
  <c r="FV98"/>
  <c r="FU98"/>
  <c r="FT98"/>
  <c r="FS98"/>
  <c r="FR98"/>
  <c r="FQ98"/>
  <c r="FP98"/>
  <c r="FO98"/>
  <c r="FN98"/>
  <c r="FM98"/>
  <c r="FL98"/>
  <c r="FK98"/>
  <c r="FJ98" s="1"/>
  <c r="FI98"/>
  <c r="FH98"/>
  <c r="FG98"/>
  <c r="FF98"/>
  <c r="FE98"/>
  <c r="FD98"/>
  <c r="FB98"/>
  <c r="FA98"/>
  <c r="EY98" s="1"/>
  <c r="EX98"/>
  <c r="EV98"/>
  <c r="ES98"/>
  <c r="EQ98"/>
  <c r="EP98"/>
  <c r="EO98"/>
  <c r="EN98"/>
  <c r="EM98"/>
  <c r="EL98"/>
  <c r="EK98"/>
  <c r="EJ98"/>
  <c r="EI98"/>
  <c r="ED98"/>
  <c r="EA98"/>
  <c r="DZ98"/>
  <c r="DY98"/>
  <c r="DX98"/>
  <c r="DW98"/>
  <c r="DV98"/>
  <c r="DR98"/>
  <c r="DP98"/>
  <c r="DJ98"/>
  <c r="DG98"/>
  <c r="DF98" s="1"/>
  <c r="DB98"/>
  <c r="DA98"/>
  <c r="CX98"/>
  <c r="CW98"/>
  <c r="CV98"/>
  <c r="CT98"/>
  <c r="CS98"/>
  <c r="CQ98"/>
  <c r="CP98"/>
  <c r="CN98"/>
  <c r="CF98"/>
  <c r="CE98"/>
  <c r="CD98"/>
  <c r="CC98"/>
  <c r="BX98"/>
  <c r="BW98"/>
  <c r="BV98"/>
  <c r="BU98"/>
  <c r="BT98"/>
  <c r="BR98"/>
  <c r="BP98"/>
  <c r="BN98"/>
  <c r="BM98"/>
  <c r="BK98"/>
  <c r="BI98"/>
  <c r="BH98"/>
  <c r="BG98"/>
  <c r="BF98"/>
  <c r="BD98"/>
  <c r="BB98"/>
  <c r="AZ98"/>
  <c r="AY98"/>
  <c r="AX98"/>
  <c r="AW98"/>
  <c r="AV98"/>
  <c r="AU98"/>
  <c r="AT98"/>
  <c r="AS98"/>
  <c r="AR98"/>
  <c r="AQ98"/>
  <c r="AP98"/>
  <c r="AO98"/>
  <c r="AN98"/>
  <c r="AM98"/>
  <c r="AL98"/>
  <c r="AK98"/>
  <c r="AJ98"/>
  <c r="AI98"/>
  <c r="AH98"/>
  <c r="AG98"/>
  <c r="AF98"/>
  <c r="AE98"/>
  <c r="AD98"/>
  <c r="AC98"/>
  <c r="AA98"/>
  <c r="Z98"/>
  <c r="Y98"/>
  <c r="X98"/>
  <c r="W98"/>
  <c r="V98"/>
  <c r="T98"/>
  <c r="S98"/>
  <c r="R98"/>
  <c r="Q98"/>
  <c r="P98"/>
  <c r="N98"/>
  <c r="M98"/>
  <c r="K98"/>
  <c r="I98"/>
  <c r="G98"/>
  <c r="EB99" l="1"/>
  <c r="BA98"/>
  <c r="AB99"/>
  <c r="H98"/>
  <c r="F98"/>
  <c r="J98"/>
  <c r="BE98"/>
  <c r="BJ98"/>
  <c r="BQ98"/>
  <c r="CM98"/>
  <c r="EC98"/>
  <c r="EW98"/>
  <c r="GF98"/>
  <c r="GM98"/>
  <c r="HX98"/>
  <c r="HZ98"/>
  <c r="BC98"/>
  <c r="BL98"/>
  <c r="BO98"/>
  <c r="BS98"/>
  <c r="CO98"/>
  <c r="CR98"/>
  <c r="CU98"/>
  <c r="DQ98"/>
  <c r="EU98"/>
  <c r="GS98"/>
  <c r="E98"/>
  <c r="GK96"/>
  <c r="HD96" s="1"/>
  <c r="CL98" l="1"/>
  <c r="D98"/>
  <c r="JC252" l="1"/>
  <c r="JC256" s="1"/>
  <c r="IW252"/>
  <c r="IW256" s="1"/>
  <c r="IQ252"/>
  <c r="IQ256" s="1"/>
  <c r="DU252"/>
  <c r="DU256" s="1"/>
  <c r="CW254"/>
  <c r="CQ254"/>
  <c r="CQ252" s="1"/>
  <c r="CQ256" s="1"/>
  <c r="BR252"/>
  <c r="BR256" s="1"/>
  <c r="U254"/>
  <c r="DC254" l="1"/>
  <c r="DC252" s="1"/>
  <c r="DC256" s="1"/>
  <c r="AB254"/>
  <c r="AB252" s="1"/>
  <c r="AB256" s="1"/>
  <c r="U252"/>
  <c r="U256" s="1"/>
  <c r="CB254"/>
  <c r="CB252" s="1"/>
  <c r="CB256" s="1"/>
  <c r="BX252"/>
  <c r="BX256" s="1"/>
  <c r="CP256"/>
  <c r="CO256" s="1"/>
  <c r="CN256" s="1"/>
  <c r="CW252"/>
  <c r="CW256" s="1"/>
  <c r="EB252"/>
  <c r="EB256" s="1"/>
  <c r="EA256" s="1"/>
  <c r="DO252"/>
  <c r="DO256" s="1"/>
  <c r="JD254"/>
  <c r="JD252" s="1"/>
  <c r="JD256" s="1"/>
  <c r="IM252"/>
  <c r="IM256" s="1"/>
  <c r="AB268" l="1"/>
  <c r="AB258"/>
  <c r="AC258" s="1"/>
  <c r="AC268" l="1"/>
  <c r="AH268"/>
  <c r="AI268" s="1"/>
  <c r="DB55" l="1"/>
  <c r="CK55"/>
  <c r="CF55"/>
  <c r="AH55"/>
  <c r="O55"/>
  <c r="D55"/>
  <c r="JC54"/>
  <c r="IW54"/>
  <c r="IW53" s="1"/>
  <c r="IQ54"/>
  <c r="IM54"/>
  <c r="IG54"/>
  <c r="IC54"/>
  <c r="HY54"/>
  <c r="HU54"/>
  <c r="HO54"/>
  <c r="HI54"/>
  <c r="HC54"/>
  <c r="GV54"/>
  <c r="GV53" s="1"/>
  <c r="FR54"/>
  <c r="FM54"/>
  <c r="FG54"/>
  <c r="FB54"/>
  <c r="ET54"/>
  <c r="EN54"/>
  <c r="DI54"/>
  <c r="EB54" s="1"/>
  <c r="DB54"/>
  <c r="CW54"/>
  <c r="CK54"/>
  <c r="BX54"/>
  <c r="BR54"/>
  <c r="BG54"/>
  <c r="BG53" s="1"/>
  <c r="AN54"/>
  <c r="AH54"/>
  <c r="D54"/>
  <c r="LG53"/>
  <c r="LG107" s="1"/>
  <c r="JB53"/>
  <c r="JB107" s="1"/>
  <c r="JA53"/>
  <c r="JA107" s="1"/>
  <c r="IZ53"/>
  <c r="IZ107" s="1"/>
  <c r="IY53"/>
  <c r="IY107" s="1"/>
  <c r="IX53"/>
  <c r="IX107" s="1"/>
  <c r="IV53"/>
  <c r="IV107" s="1"/>
  <c r="IU53"/>
  <c r="IU107" s="1"/>
  <c r="IT53"/>
  <c r="IT107" s="1"/>
  <c r="IS53"/>
  <c r="IS107" s="1"/>
  <c r="IR53"/>
  <c r="IR107" s="1"/>
  <c r="IP53"/>
  <c r="IP107" s="1"/>
  <c r="IO53"/>
  <c r="IO107" s="1"/>
  <c r="IN53"/>
  <c r="IN107" s="1"/>
  <c r="IL53"/>
  <c r="IL107" s="1"/>
  <c r="IK53"/>
  <c r="IK107" s="1"/>
  <c r="IJ53"/>
  <c r="II53"/>
  <c r="II107" s="1"/>
  <c r="IH53"/>
  <c r="IF53"/>
  <c r="IF107" s="1"/>
  <c r="IE53"/>
  <c r="IE107" s="1"/>
  <c r="IB53"/>
  <c r="IB107" s="1"/>
  <c r="IB260" s="1"/>
  <c r="HZ53"/>
  <c r="HZ107" s="1"/>
  <c r="HX53"/>
  <c r="HX107" s="1"/>
  <c r="HW53"/>
  <c r="HW107" s="1"/>
  <c r="HV53"/>
  <c r="HV107" s="1"/>
  <c r="HT53"/>
  <c r="HT107" s="1"/>
  <c r="HS53"/>
  <c r="HR53"/>
  <c r="HR107" s="1"/>
  <c r="HQ53"/>
  <c r="HQ107" s="1"/>
  <c r="HP53"/>
  <c r="HP107" s="1"/>
  <c r="HO53"/>
  <c r="HN53"/>
  <c r="HM53"/>
  <c r="HL53"/>
  <c r="HK53"/>
  <c r="HJ53"/>
  <c r="HI53"/>
  <c r="HH53"/>
  <c r="HG53"/>
  <c r="HF53"/>
  <c r="HE53"/>
  <c r="HB53"/>
  <c r="HB107" s="1"/>
  <c r="GY53"/>
  <c r="GY107" s="1"/>
  <c r="GX53"/>
  <c r="GX107" s="1"/>
  <c r="GW53"/>
  <c r="GW107" s="1"/>
  <c r="GU53"/>
  <c r="GU107" s="1"/>
  <c r="GT53"/>
  <c r="GT107" s="1"/>
  <c r="GS53"/>
  <c r="GS107" s="1"/>
  <c r="GR53"/>
  <c r="GR107" s="1"/>
  <c r="GQ53"/>
  <c r="GQ107" s="1"/>
  <c r="GO53"/>
  <c r="GN53"/>
  <c r="GN107" s="1"/>
  <c r="GM53"/>
  <c r="GM107" s="1"/>
  <c r="GL53"/>
  <c r="GJ53"/>
  <c r="GJ107" s="1"/>
  <c r="GI53"/>
  <c r="GI107" s="1"/>
  <c r="GH53"/>
  <c r="GH107" s="1"/>
  <c r="GG53"/>
  <c r="GG107" s="1"/>
  <c r="GF53"/>
  <c r="GF107" s="1"/>
  <c r="HU53" l="1"/>
  <c r="GP53"/>
  <c r="GP107" s="1"/>
  <c r="GO107" s="1"/>
  <c r="GE54"/>
  <c r="HD54"/>
  <c r="DC55"/>
  <c r="CB54"/>
  <c r="HY53"/>
  <c r="HY107" s="1"/>
  <c r="IG53"/>
  <c r="IQ53"/>
  <c r="IQ107" s="1"/>
  <c r="GK53"/>
  <c r="DC54"/>
  <c r="HC53"/>
  <c r="BA54"/>
  <c r="ID54"/>
  <c r="BA55"/>
  <c r="IC53"/>
  <c r="GL107"/>
  <c r="GV107"/>
  <c r="IH107"/>
  <c r="IW107"/>
  <c r="AB54"/>
  <c r="JD54"/>
  <c r="J55"/>
  <c r="AB55" s="1"/>
  <c r="EB55"/>
  <c r="IM53"/>
  <c r="FC54"/>
  <c r="FW53"/>
  <c r="FV53"/>
  <c r="FU53"/>
  <c r="FT53" s="1"/>
  <c r="FS53"/>
  <c r="FR53"/>
  <c r="FQ53"/>
  <c r="FO53"/>
  <c r="FN53"/>
  <c r="FN107" s="1"/>
  <c r="FM53"/>
  <c r="FL53"/>
  <c r="FL107" s="1"/>
  <c r="FK53"/>
  <c r="FJ53"/>
  <c r="FJ107" s="1"/>
  <c r="FI53"/>
  <c r="FH53"/>
  <c r="FH107" s="1"/>
  <c r="FG53"/>
  <c r="FF53"/>
  <c r="FF107" s="1"/>
  <c r="FE53"/>
  <c r="FE107" s="1"/>
  <c r="FD53"/>
  <c r="FD107" s="1"/>
  <c r="BA53" l="1"/>
  <c r="ID53"/>
  <c r="HD53"/>
  <c r="FM107"/>
  <c r="FP53"/>
  <c r="FP107" s="1"/>
  <c r="FQ107"/>
  <c r="IG107"/>
  <c r="FG107"/>
  <c r="FI107"/>
  <c r="FK107"/>
  <c r="GK107"/>
  <c r="FA53"/>
  <c r="EY53"/>
  <c r="EY107" s="1"/>
  <c r="EX53"/>
  <c r="EX107" s="1"/>
  <c r="EW53"/>
  <c r="EW107" s="1"/>
  <c r="EV53"/>
  <c r="EV107" s="1"/>
  <c r="EU53"/>
  <c r="EU107" s="1"/>
  <c r="ET53"/>
  <c r="ES53"/>
  <c r="ES107" s="1"/>
  <c r="ER53"/>
  <c r="EQ53"/>
  <c r="EQ107" s="1"/>
  <c r="EP53"/>
  <c r="EP107" s="1"/>
  <c r="EO53"/>
  <c r="EO107" s="1"/>
  <c r="EN53"/>
  <c r="EM53"/>
  <c r="EM107" s="1"/>
  <c r="EL53"/>
  <c r="EL107" s="1"/>
  <c r="EK53"/>
  <c r="EK107" s="1"/>
  <c r="EJ53"/>
  <c r="EJ107" s="1"/>
  <c r="EI53"/>
  <c r="EI107" s="1"/>
  <c r="EH53"/>
  <c r="EG53" s="1"/>
  <c r="EF53"/>
  <c r="EE53"/>
  <c r="ED53"/>
  <c r="ED107" s="1"/>
  <c r="EC53"/>
  <c r="EC107" s="1"/>
  <c r="DZ53"/>
  <c r="DZ107" s="1"/>
  <c r="DY53"/>
  <c r="DY107" s="1"/>
  <c r="DX53"/>
  <c r="DX107" s="1"/>
  <c r="DW53"/>
  <c r="DW107" s="1"/>
  <c r="DV53"/>
  <c r="DV107" s="1"/>
  <c r="DU53"/>
  <c r="DT53"/>
  <c r="DS53"/>
  <c r="DR53"/>
  <c r="DR107" s="1"/>
  <c r="DQ53"/>
  <c r="DQ107" s="1"/>
  <c r="DP53"/>
  <c r="DP107" s="1"/>
  <c r="DO53"/>
  <c r="DN53" s="1"/>
  <c r="DM53"/>
  <c r="DL53"/>
  <c r="DK53"/>
  <c r="DJ53"/>
  <c r="DI53"/>
  <c r="DH53"/>
  <c r="DG53"/>
  <c r="DF53"/>
  <c r="DF107" s="1"/>
  <c r="DE53"/>
  <c r="DD53"/>
  <c r="DA53"/>
  <c r="CZ53"/>
  <c r="CX53"/>
  <c r="CW53"/>
  <c r="CW107" s="1"/>
  <c r="CV53"/>
  <c r="CV107" s="1"/>
  <c r="CU53"/>
  <c r="CU107" s="1"/>
  <c r="CT53"/>
  <c r="CT107" s="1"/>
  <c r="CS53"/>
  <c r="CS107" s="1"/>
  <c r="CR53"/>
  <c r="CR107" s="1"/>
  <c r="CQ53"/>
  <c r="CQ107" s="1"/>
  <c r="CP53"/>
  <c r="CP107" s="1"/>
  <c r="CO53"/>
  <c r="CO107" s="1"/>
  <c r="CN53"/>
  <c r="CN107" s="1"/>
  <c r="CM53"/>
  <c r="CM107" s="1"/>
  <c r="CL53"/>
  <c r="CL107" s="1"/>
  <c r="CK53"/>
  <c r="CJ53"/>
  <c r="FO107" l="1"/>
  <c r="CX107"/>
  <c r="EN107"/>
  <c r="CI53"/>
  <c r="CH53"/>
  <c r="CG53" s="1"/>
  <c r="CF53"/>
  <c r="CF107" s="1"/>
  <c r="CE53"/>
  <c r="CE107" s="1"/>
  <c r="CD53"/>
  <c r="CD107" s="1"/>
  <c r="CC53"/>
  <c r="CC107" s="1"/>
  <c r="CB53"/>
  <c r="CA53"/>
  <c r="BX53"/>
  <c r="BX107" s="1"/>
  <c r="BW53"/>
  <c r="BW107" s="1"/>
  <c r="BV53"/>
  <c r="BV107" s="1"/>
  <c r="BU53"/>
  <c r="BU107" s="1"/>
  <c r="BT53"/>
  <c r="BR53"/>
  <c r="BR107" s="1"/>
  <c r="BQ53"/>
  <c r="BQ107" s="1"/>
  <c r="BP53"/>
  <c r="BP107" s="1"/>
  <c r="BO53"/>
  <c r="BO107" s="1"/>
  <c r="BN53"/>
  <c r="BN107" s="1"/>
  <c r="BM53"/>
  <c r="BM107" s="1"/>
  <c r="BL53"/>
  <c r="BL107" s="1"/>
  <c r="BK53"/>
  <c r="BK107" s="1"/>
  <c r="BJ53"/>
  <c r="BJ107" s="1"/>
  <c r="BI53"/>
  <c r="BI107" s="1"/>
  <c r="BH53"/>
  <c r="BG107"/>
  <c r="BF53"/>
  <c r="BF107" s="1"/>
  <c r="BE53"/>
  <c r="BE107" s="1"/>
  <c r="BD53"/>
  <c r="BD107" s="1"/>
  <c r="BC53"/>
  <c r="BC107" s="1"/>
  <c r="BB53"/>
  <c r="AY53"/>
  <c r="AY107" s="1"/>
  <c r="AX107"/>
  <c r="AW53"/>
  <c r="AW107" s="1"/>
  <c r="AV53"/>
  <c r="AV107" s="1"/>
  <c r="AU107"/>
  <c r="AT53"/>
  <c r="AS53"/>
  <c r="AS107" s="1"/>
  <c r="AR53"/>
  <c r="AR107" s="1"/>
  <c r="AQ53"/>
  <c r="AQ107" s="1"/>
  <c r="AP53"/>
  <c r="AP107" s="1"/>
  <c r="AO53"/>
  <c r="AO107" s="1"/>
  <c r="AN53"/>
  <c r="AM53"/>
  <c r="AM107" s="1"/>
  <c r="AL53"/>
  <c r="AL107" s="1"/>
  <c r="AK53"/>
  <c r="AK107" s="1"/>
  <c r="AJ53"/>
  <c r="AJ107" s="1"/>
  <c r="AI53"/>
  <c r="AI107" s="1"/>
  <c r="AH53"/>
  <c r="AG53"/>
  <c r="AG107" s="1"/>
  <c r="AF53"/>
  <c r="AF107" s="1"/>
  <c r="AE53"/>
  <c r="AE107" s="1"/>
  <c r="AD53"/>
  <c r="AD107" s="1"/>
  <c r="AC107"/>
  <c r="AB53"/>
  <c r="BB107" l="1"/>
  <c r="AH107"/>
  <c r="AN107"/>
  <c r="AT107"/>
  <c r="BA107"/>
  <c r="AZ107" s="1"/>
  <c r="BH107"/>
  <c r="BS53"/>
  <c r="BS107" s="1"/>
  <c r="BT107"/>
  <c r="AA53"/>
  <c r="AA107" s="1"/>
  <c r="Z53"/>
  <c r="Z107" s="1"/>
  <c r="Y53"/>
  <c r="Y107" s="1"/>
  <c r="X53"/>
  <c r="X107" s="1"/>
  <c r="W53"/>
  <c r="W107" s="1"/>
  <c r="V53"/>
  <c r="V107" s="1"/>
  <c r="U53"/>
  <c r="T53"/>
  <c r="T107" s="1"/>
  <c r="S53"/>
  <c r="S107" s="1"/>
  <c r="R53"/>
  <c r="R107" s="1"/>
  <c r="Q53"/>
  <c r="Q107" s="1"/>
  <c r="P53"/>
  <c r="P107" s="1"/>
  <c r="O53"/>
  <c r="N53"/>
  <c r="N107" s="1"/>
  <c r="M53"/>
  <c r="M107" s="1"/>
  <c r="K53"/>
  <c r="K107" s="1"/>
  <c r="J53"/>
  <c r="I53"/>
  <c r="I107" s="1"/>
  <c r="H53"/>
  <c r="H107" s="1"/>
  <c r="G53"/>
  <c r="G107" s="1"/>
  <c r="F53"/>
  <c r="F107" s="1"/>
  <c r="E53"/>
  <c r="E107" s="1"/>
  <c r="D53"/>
  <c r="D107" s="1"/>
  <c r="D109" l="1"/>
  <c r="E109" s="1"/>
  <c r="D264"/>
  <c r="O107"/>
  <c r="J107"/>
  <c r="J264" l="1"/>
  <c r="HD45" l="1"/>
  <c r="ID45"/>
  <c r="FC45" l="1"/>
  <c r="EB45" l="1"/>
  <c r="DC45" l="1"/>
  <c r="CB45" l="1"/>
  <c r="BA45" l="1"/>
  <c r="AB45"/>
  <c r="AB44"/>
  <c r="BA44" l="1"/>
  <c r="EB44"/>
  <c r="FC44"/>
  <c r="HD44"/>
  <c r="ID44"/>
  <c r="CB44"/>
  <c r="DC44"/>
  <c r="CK41"/>
  <c r="KD39"/>
  <c r="JC40"/>
  <c r="IW40"/>
  <c r="IW39" s="1"/>
  <c r="IQ40"/>
  <c r="IM40"/>
  <c r="IM39" s="1"/>
  <c r="IG40"/>
  <c r="IC40"/>
  <c r="HY40"/>
  <c r="HU40"/>
  <c r="HO40"/>
  <c r="HI40"/>
  <c r="GK40"/>
  <c r="FM40"/>
  <c r="FG40"/>
  <c r="DO39"/>
  <c r="DI40"/>
  <c r="CK40"/>
  <c r="AH40"/>
  <c r="AH39" s="1"/>
  <c r="AA39"/>
  <c r="U39"/>
  <c r="O40"/>
  <c r="O39" s="1"/>
  <c r="J40"/>
  <c r="J39" s="1"/>
  <c r="LG39"/>
  <c r="KC39"/>
  <c r="JV39"/>
  <c r="JP39"/>
  <c r="JJ39"/>
  <c r="JB39"/>
  <c r="JA39"/>
  <c r="IZ39"/>
  <c r="IY39"/>
  <c r="IX39"/>
  <c r="IV39"/>
  <c r="IU39"/>
  <c r="IT39"/>
  <c r="IS39"/>
  <c r="IR39"/>
  <c r="IP39"/>
  <c r="IO39"/>
  <c r="IN39"/>
  <c r="IL39"/>
  <c r="IK39"/>
  <c r="IJ39"/>
  <c r="II39"/>
  <c r="IH39"/>
  <c r="IF39"/>
  <c r="IE39"/>
  <c r="HZ39"/>
  <c r="HY39"/>
  <c r="HX39"/>
  <c r="HW39"/>
  <c r="HV39"/>
  <c r="HT39"/>
  <c r="HS39"/>
  <c r="HR39"/>
  <c r="HQ39"/>
  <c r="HP39"/>
  <c r="HN39"/>
  <c r="HM39"/>
  <c r="HL39"/>
  <c r="HK39"/>
  <c r="HJ39"/>
  <c r="HH39"/>
  <c r="HG39"/>
  <c r="HF39"/>
  <c r="HE39"/>
  <c r="GY39"/>
  <c r="GX39"/>
  <c r="GW39"/>
  <c r="GV39"/>
  <c r="GU39"/>
  <c r="GT39"/>
  <c r="GS39"/>
  <c r="GQ39"/>
  <c r="GP39"/>
  <c r="GO39"/>
  <c r="GN39"/>
  <c r="GM39"/>
  <c r="GL39"/>
  <c r="GJ39"/>
  <c r="GI39"/>
  <c r="GH39"/>
  <c r="GG39"/>
  <c r="GF39" s="1"/>
  <c r="FW39"/>
  <c r="FV39"/>
  <c r="FU39"/>
  <c r="FT39"/>
  <c r="FS39"/>
  <c r="FQ39"/>
  <c r="FP39"/>
  <c r="FO39"/>
  <c r="FN39"/>
  <c r="FL39"/>
  <c r="FK39"/>
  <c r="FJ39"/>
  <c r="FI39"/>
  <c r="FH39"/>
  <c r="FF39"/>
  <c r="FE39"/>
  <c r="FD39"/>
  <c r="FB39"/>
  <c r="FA39"/>
  <c r="EY39"/>
  <c r="EX39"/>
  <c r="EW39" s="1"/>
  <c r="EV39"/>
  <c r="EU39"/>
  <c r="ET39"/>
  <c r="ES39"/>
  <c r="EQ39"/>
  <c r="EO39"/>
  <c r="EM39"/>
  <c r="EL39"/>
  <c r="EK39"/>
  <c r="EJ39"/>
  <c r="EI39"/>
  <c r="EH39"/>
  <c r="EF39"/>
  <c r="EE39"/>
  <c r="EA39"/>
  <c r="DZ39"/>
  <c r="DY39"/>
  <c r="DX39"/>
  <c r="DW39"/>
  <c r="DV39"/>
  <c r="DU39"/>
  <c r="DT39"/>
  <c r="DS39"/>
  <c r="DR39"/>
  <c r="DQ39"/>
  <c r="DP39"/>
  <c r="DN39"/>
  <c r="DM39"/>
  <c r="DL39"/>
  <c r="DK39"/>
  <c r="DJ39"/>
  <c r="DG39"/>
  <c r="DF39"/>
  <c r="DE39"/>
  <c r="DD39"/>
  <c r="DB39"/>
  <c r="DA39"/>
  <c r="CZ39"/>
  <c r="CX39"/>
  <c r="CW39"/>
  <c r="CV39"/>
  <c r="CU39"/>
  <c r="CT39" s="1"/>
  <c r="CS39"/>
  <c r="CR39"/>
  <c r="CP39"/>
  <c r="CO39"/>
  <c r="CN39"/>
  <c r="CM39"/>
  <c r="JD40" l="1"/>
  <c r="GK39"/>
  <c r="HD40"/>
  <c r="GE40"/>
  <c r="FG39"/>
  <c r="IQ39"/>
  <c r="FC41"/>
  <c r="ID40"/>
  <c r="IC39"/>
  <c r="BA40"/>
  <c r="DC40"/>
  <c r="FR39"/>
  <c r="HU39"/>
  <c r="CB40"/>
  <c r="EB40"/>
  <c r="FC40"/>
  <c r="CB41"/>
  <c r="FM39"/>
  <c r="HO39"/>
  <c r="EB41"/>
  <c r="DI39"/>
  <c r="HI39"/>
  <c r="ID41"/>
  <c r="ER39"/>
  <c r="GR39"/>
  <c r="ED39"/>
  <c r="EG39"/>
  <c r="EP39"/>
  <c r="BA41"/>
  <c r="CQ39"/>
  <c r="HD41"/>
  <c r="IG39"/>
  <c r="AB40"/>
  <c r="AB39" s="1"/>
  <c r="CL39"/>
  <c r="CK39"/>
  <c r="CJ39"/>
  <c r="CI39"/>
  <c r="CH39"/>
  <c r="CG39"/>
  <c r="CF39"/>
  <c r="CE39"/>
  <c r="ID39" l="1"/>
  <c r="HD39"/>
  <c r="FC39"/>
  <c r="EB39"/>
  <c r="DC41"/>
  <c r="DC39" s="1"/>
  <c r="CD39"/>
  <c r="EC39"/>
  <c r="CC39"/>
  <c r="CB39"/>
  <c r="CA39"/>
  <c r="BX39"/>
  <c r="BW39"/>
  <c r="BV39"/>
  <c r="BT39"/>
  <c r="BR39"/>
  <c r="BO39"/>
  <c r="BN39"/>
  <c r="BM39"/>
  <c r="BL39"/>
  <c r="BK39" s="1"/>
  <c r="BJ39"/>
  <c r="BI39"/>
  <c r="BH39"/>
  <c r="BG39"/>
  <c r="BF39" s="1"/>
  <c r="BE39"/>
  <c r="BD39"/>
  <c r="BB39"/>
  <c r="BA39"/>
  <c r="BC39" l="1"/>
  <c r="BS39"/>
  <c r="DH39"/>
  <c r="BQ39"/>
  <c r="BU39"/>
  <c r="BP39" l="1"/>
  <c r="ID30" l="1"/>
  <c r="FC30" l="1"/>
  <c r="HD30"/>
  <c r="CB30" l="1"/>
  <c r="EB30"/>
  <c r="DC30"/>
  <c r="EB27" l="1"/>
  <c r="FC27"/>
  <c r="HD27"/>
  <c r="ID27"/>
  <c r="EB28"/>
  <c r="FC28"/>
  <c r="BA27"/>
  <c r="HD28"/>
  <c r="CB27"/>
  <c r="BA28"/>
  <c r="CB28"/>
  <c r="ID28"/>
  <c r="DC27"/>
  <c r="DC28"/>
  <c r="ID26" l="1"/>
  <c r="HD26" l="1"/>
  <c r="FC26"/>
  <c r="EB26"/>
  <c r="BA26"/>
  <c r="EB25"/>
  <c r="FC25" l="1"/>
  <c r="EB21"/>
  <c r="FC21"/>
  <c r="HD25"/>
  <c r="EB24"/>
  <c r="BA21"/>
  <c r="CB21"/>
  <c r="HD21"/>
  <c r="ID21"/>
  <c r="DC24"/>
  <c r="BA25"/>
  <c r="CB25"/>
  <c r="ID25"/>
  <c r="ID20"/>
  <c r="DC21"/>
  <c r="BA24"/>
  <c r="CB24"/>
  <c r="FC24"/>
  <c r="HD24"/>
  <c r="ID24"/>
  <c r="DC25"/>
  <c r="EB20" l="1"/>
  <c r="FC20"/>
  <c r="HD20"/>
  <c r="AB17"/>
  <c r="AB16"/>
  <c r="EB14"/>
  <c r="AB14"/>
  <c r="O13"/>
  <c r="KD98"/>
  <c r="KD107" s="1"/>
  <c r="IJ103"/>
  <c r="HO98"/>
  <c r="HI98"/>
  <c r="ER103"/>
  <c r="ET103" s="1"/>
  <c r="EG103"/>
  <c r="DS103"/>
  <c r="DU103" s="1"/>
  <c r="DL103"/>
  <c r="DE103"/>
  <c r="DI103" s="1"/>
  <c r="CG103"/>
  <c r="CK103" s="1"/>
  <c r="DC103" s="1"/>
  <c r="AB103"/>
  <c r="JC185"/>
  <c r="IW185"/>
  <c r="IW193" s="1"/>
  <c r="IQ185"/>
  <c r="IQ193" s="1"/>
  <c r="HH185"/>
  <c r="HH193" s="1"/>
  <c r="HF189"/>
  <c r="HI189" s="1"/>
  <c r="ID189" s="1"/>
  <c r="HD14" l="1"/>
  <c r="EH103"/>
  <c r="EH98" s="1"/>
  <c r="EH107" s="1"/>
  <c r="ID14"/>
  <c r="DO103"/>
  <c r="EB103" s="1"/>
  <c r="EB98" s="1"/>
  <c r="FC14"/>
  <c r="EB19"/>
  <c r="FC19"/>
  <c r="HD19"/>
  <c r="ID19"/>
  <c r="HD11"/>
  <c r="EB12"/>
  <c r="FC12"/>
  <c r="HD12"/>
  <c r="ID12"/>
  <c r="EB16"/>
  <c r="FC16"/>
  <c r="HD16"/>
  <c r="ID16"/>
  <c r="EB17"/>
  <c r="FC17"/>
  <c r="HD17"/>
  <c r="ID17"/>
  <c r="EB10"/>
  <c r="FC10"/>
  <c r="HD10"/>
  <c r="ID10"/>
  <c r="DC20"/>
  <c r="DC10"/>
  <c r="DC12"/>
  <c r="ID13"/>
  <c r="DC14"/>
  <c r="BA15"/>
  <c r="CB15"/>
  <c r="EB15"/>
  <c r="FC15"/>
  <c r="HD15"/>
  <c r="DC16"/>
  <c r="DC17"/>
  <c r="BA18"/>
  <c r="CB18"/>
  <c r="EB18"/>
  <c r="FC18"/>
  <c r="HD18"/>
  <c r="ID18"/>
  <c r="DC19"/>
  <c r="BA20"/>
  <c r="BA10"/>
  <c r="CB10"/>
  <c r="BA11"/>
  <c r="CB11"/>
  <c r="BA12"/>
  <c r="CB12"/>
  <c r="BA13"/>
  <c r="CB13"/>
  <c r="BA14"/>
  <c r="CB14"/>
  <c r="DC15"/>
  <c r="BA16"/>
  <c r="CB16"/>
  <c r="BA17"/>
  <c r="CB17"/>
  <c r="DC18"/>
  <c r="BA19"/>
  <c r="CB19"/>
  <c r="CB20"/>
  <c r="AB13"/>
  <c r="O4"/>
  <c r="J4"/>
  <c r="AB15"/>
  <c r="HG193"/>
  <c r="IE185"/>
  <c r="IE193" s="1"/>
  <c r="HI185"/>
  <c r="HI193" s="1"/>
  <c r="HF185"/>
  <c r="HF193" s="1"/>
  <c r="HS185"/>
  <c r="HS193" s="1"/>
  <c r="CB98"/>
  <c r="CB107" s="1"/>
  <c r="CA98"/>
  <c r="CA107" s="1"/>
  <c r="DI98"/>
  <c r="DE98"/>
  <c r="DN98"/>
  <c r="DU98"/>
  <c r="EG98"/>
  <c r="DC11"/>
  <c r="FC11"/>
  <c r="EB13"/>
  <c r="ID15"/>
  <c r="AB98"/>
  <c r="AB107" s="1"/>
  <c r="AB109" s="1"/>
  <c r="U98"/>
  <c r="U107" s="1"/>
  <c r="CG98"/>
  <c r="ER98"/>
  <c r="ER107" s="1"/>
  <c r="HH98"/>
  <c r="HN98"/>
  <c r="HM98" s="1"/>
  <c r="HL98" s="1"/>
  <c r="HO107"/>
  <c r="HS98"/>
  <c r="HS107" s="1"/>
  <c r="IJ98"/>
  <c r="IJ107" s="1"/>
  <c r="CB185"/>
  <c r="AP189"/>
  <c r="AT189" s="1"/>
  <c r="U185"/>
  <c r="U193" s="1"/>
  <c r="J189"/>
  <c r="FC103" l="1"/>
  <c r="DO98"/>
  <c r="DO107" s="1"/>
  <c r="J185"/>
  <c r="EB9"/>
  <c r="ID9"/>
  <c r="EB11"/>
  <c r="DC13"/>
  <c r="CB7"/>
  <c r="ID11"/>
  <c r="EH185"/>
  <c r="CB9"/>
  <c r="DC9"/>
  <c r="EB7"/>
  <c r="FC7"/>
  <c r="O185"/>
  <c r="O193" s="1"/>
  <c r="FC6"/>
  <c r="ID6"/>
  <c r="DC7"/>
  <c r="ID7"/>
  <c r="AC189"/>
  <c r="AP185"/>
  <c r="AP193" s="1"/>
  <c r="DT185"/>
  <c r="FV185"/>
  <c r="FV193" s="1"/>
  <c r="GG189"/>
  <c r="GK189" s="1"/>
  <c r="HD189" s="1"/>
  <c r="HD9"/>
  <c r="HN107"/>
  <c r="EF98"/>
  <c r="EG107"/>
  <c r="DM98"/>
  <c r="DN107"/>
  <c r="DI107"/>
  <c r="ID185"/>
  <c r="ID193" s="1"/>
  <c r="IC193" s="1"/>
  <c r="HU185"/>
  <c r="HU193" s="1"/>
  <c r="IG185"/>
  <c r="IG193" s="1"/>
  <c r="HD6"/>
  <c r="BA9"/>
  <c r="FC9"/>
  <c r="D189"/>
  <c r="AB189" s="1"/>
  <c r="I185"/>
  <c r="H185" s="1"/>
  <c r="J193"/>
  <c r="CA185"/>
  <c r="CB193"/>
  <c r="EO185"/>
  <c r="EO193" s="1"/>
  <c r="EN193" s="1"/>
  <c r="JD98"/>
  <c r="IM98"/>
  <c r="IM107" s="1"/>
  <c r="ID98"/>
  <c r="ID107" s="1"/>
  <c r="IC107" s="1"/>
  <c r="HU98"/>
  <c r="HU107" s="1"/>
  <c r="HK98"/>
  <c r="HK107" s="1"/>
  <c r="HL107"/>
  <c r="HG98"/>
  <c r="HF98" s="1"/>
  <c r="HH107"/>
  <c r="FC98"/>
  <c r="ET98"/>
  <c r="ET107" s="1"/>
  <c r="DC98"/>
  <c r="CK98"/>
  <c r="BA109"/>
  <c r="AH109"/>
  <c r="AC109"/>
  <c r="DT98"/>
  <c r="DU107"/>
  <c r="DD98"/>
  <c r="DD107" s="1"/>
  <c r="DE107"/>
  <c r="HD7"/>
  <c r="EB6"/>
  <c r="BG6"/>
  <c r="AH6"/>
  <c r="AB6"/>
  <c r="AB4" s="1"/>
  <c r="KD5"/>
  <c r="KD4" s="1"/>
  <c r="KD48" s="1"/>
  <c r="JC5"/>
  <c r="IW5"/>
  <c r="IQ5"/>
  <c r="IM5"/>
  <c r="IG5"/>
  <c r="IC5"/>
  <c r="HY5"/>
  <c r="HU5"/>
  <c r="HO5"/>
  <c r="HI5"/>
  <c r="HC5"/>
  <c r="GV5"/>
  <c r="GP5"/>
  <c r="GK5"/>
  <c r="FX5"/>
  <c r="FR5"/>
  <c r="FG5"/>
  <c r="ET5"/>
  <c r="EN5"/>
  <c r="EH5"/>
  <c r="DU5"/>
  <c r="DI5"/>
  <c r="CQ5"/>
  <c r="CK5"/>
  <c r="AZ5"/>
  <c r="AZ4" s="1"/>
  <c r="AH5"/>
  <c r="AH4" s="1"/>
  <c r="LG4"/>
  <c r="LG48" s="1"/>
  <c r="LG260" s="1"/>
  <c r="KC4"/>
  <c r="KC48" s="1"/>
  <c r="JV4"/>
  <c r="JV48" s="1"/>
  <c r="JV260" s="1"/>
  <c r="JP4"/>
  <c r="JP48" s="1"/>
  <c r="JP260" s="1"/>
  <c r="JJ4"/>
  <c r="JJ48" s="1"/>
  <c r="JJ260" s="1"/>
  <c r="JB4"/>
  <c r="JB48" s="1"/>
  <c r="JB260" s="1"/>
  <c r="JA4"/>
  <c r="JA48" s="1"/>
  <c r="JA260" s="1"/>
  <c r="IZ4"/>
  <c r="IZ48" s="1"/>
  <c r="IZ260" s="1"/>
  <c r="IY4"/>
  <c r="IY48" s="1"/>
  <c r="IY260" s="1"/>
  <c r="IX4"/>
  <c r="IX48" s="1"/>
  <c r="IX260" s="1"/>
  <c r="IW4"/>
  <c r="IU4"/>
  <c r="IT4" s="1"/>
  <c r="IS4"/>
  <c r="GE5" l="1"/>
  <c r="GE4" s="1"/>
  <c r="EB5"/>
  <c r="ID5"/>
  <c r="FC5"/>
  <c r="BA5"/>
  <c r="DC5"/>
  <c r="CB6"/>
  <c r="CB5"/>
  <c r="BA6"/>
  <c r="DC6"/>
  <c r="IV4"/>
  <c r="IW48"/>
  <c r="IW260" s="1"/>
  <c r="DS98"/>
  <c r="DT107"/>
  <c r="AN109"/>
  <c r="AI109"/>
  <c r="CJ98"/>
  <c r="CK107"/>
  <c r="HG107"/>
  <c r="EG185"/>
  <c r="EH193"/>
  <c r="CA193"/>
  <c r="DH98"/>
  <c r="DL98"/>
  <c r="DK98" s="1"/>
  <c r="DK107" s="1"/>
  <c r="DM107"/>
  <c r="EE98"/>
  <c r="EE107" s="1"/>
  <c r="EF107"/>
  <c r="HM107"/>
  <c r="GG185"/>
  <c r="GG193" s="1"/>
  <c r="AC185"/>
  <c r="AC193" s="1"/>
  <c r="HD5"/>
  <c r="I193"/>
  <c r="CB109"/>
  <c r="BG109"/>
  <c r="BB109"/>
  <c r="HE98"/>
  <c r="HF107"/>
  <c r="HJ107"/>
  <c r="FC185"/>
  <c r="ET185"/>
  <c r="G185"/>
  <c r="H193"/>
  <c r="D185"/>
  <c r="GE185"/>
  <c r="FX185"/>
  <c r="EB185"/>
  <c r="DU185"/>
  <c r="DU193" s="1"/>
  <c r="DT193" s="1"/>
  <c r="AT185"/>
  <c r="AT193" s="1"/>
  <c r="IR4"/>
  <c r="IQ4"/>
  <c r="IQ48" s="1"/>
  <c r="IQ260" s="1"/>
  <c r="IP4"/>
  <c r="IP48" s="1"/>
  <c r="IP260" s="1"/>
  <c r="IO4"/>
  <c r="IO48" s="1"/>
  <c r="IO260" s="1"/>
  <c r="IN4"/>
  <c r="IN48" s="1"/>
  <c r="IN260" s="1"/>
  <c r="IM4"/>
  <c r="IL4"/>
  <c r="IL48" s="1"/>
  <c r="IL260" s="1"/>
  <c r="IK4"/>
  <c r="IK48" s="1"/>
  <c r="IK260" s="1"/>
  <c r="IJ4"/>
  <c r="IJ48" s="1"/>
  <c r="IJ260" s="1"/>
  <c r="II4"/>
  <c r="II48" s="1"/>
  <c r="II260" s="1"/>
  <c r="IH4"/>
  <c r="IE4"/>
  <c r="IE48" s="1"/>
  <c r="IE260" s="1"/>
  <c r="ID4"/>
  <c r="ID48" s="1"/>
  <c r="IC4"/>
  <c r="HZ4"/>
  <c r="HZ48" s="1"/>
  <c r="HZ260" s="1"/>
  <c r="HY4"/>
  <c r="HY48" s="1"/>
  <c r="HY260" s="1"/>
  <c r="HX4"/>
  <c r="HX48" s="1"/>
  <c r="HX260" s="1"/>
  <c r="HW4"/>
  <c r="HW48" s="1"/>
  <c r="HW260" s="1"/>
  <c r="HV4"/>
  <c r="HV48" s="1"/>
  <c r="HV260" s="1"/>
  <c r="HU4"/>
  <c r="HU48" s="1"/>
  <c r="HU260" s="1"/>
  <c r="HT4"/>
  <c r="HT48" s="1"/>
  <c r="HT260" s="1"/>
  <c r="HS4"/>
  <c r="HS48" s="1"/>
  <c r="HS260" s="1"/>
  <c r="HR4"/>
  <c r="HR48" s="1"/>
  <c r="HR260" s="1"/>
  <c r="HQ4"/>
  <c r="HQ48" s="1"/>
  <c r="HQ260" s="1"/>
  <c r="HP4"/>
  <c r="HP48" s="1"/>
  <c r="HO4"/>
  <c r="HN4"/>
  <c r="HN48" s="1"/>
  <c r="HN260" s="1"/>
  <c r="HM4"/>
  <c r="HM48" s="1"/>
  <c r="HL4"/>
  <c r="HL48" s="1"/>
  <c r="HL260" s="1"/>
  <c r="HK4"/>
  <c r="HK48" s="1"/>
  <c r="HK260" s="1"/>
  <c r="HJ4"/>
  <c r="HJ48" s="1"/>
  <c r="HI4"/>
  <c r="HH4"/>
  <c r="HG4"/>
  <c r="HG48" s="1"/>
  <c r="HF4"/>
  <c r="HF48" s="1"/>
  <c r="HE4"/>
  <c r="HE48" s="1"/>
  <c r="HB4"/>
  <c r="GY4"/>
  <c r="GX4"/>
  <c r="GW4"/>
  <c r="GV4"/>
  <c r="GV48" s="1"/>
  <c r="GU4"/>
  <c r="GU48" s="1"/>
  <c r="GT4"/>
  <c r="GT48" s="1"/>
  <c r="GS4"/>
  <c r="GQ4"/>
  <c r="GQ48" s="1"/>
  <c r="GP4"/>
  <c r="GP48" s="1"/>
  <c r="GO4"/>
  <c r="GO48" s="1"/>
  <c r="GO260" s="1"/>
  <c r="GN4"/>
  <c r="GN48" s="1"/>
  <c r="GN260" s="1"/>
  <c r="GM4"/>
  <c r="GM48" s="1"/>
  <c r="GM260" s="1"/>
  <c r="GL4"/>
  <c r="GL48" s="1"/>
  <c r="GL260" s="1"/>
  <c r="GK4"/>
  <c r="GJ4"/>
  <c r="GJ48" s="1"/>
  <c r="GJ260" s="1"/>
  <c r="GI4"/>
  <c r="GH4"/>
  <c r="GG4"/>
  <c r="GF4"/>
  <c r="GF48" s="1"/>
  <c r="GF260" s="1"/>
  <c r="FW4"/>
  <c r="FV4"/>
  <c r="FU4"/>
  <c r="FT4"/>
  <c r="FT48" s="1"/>
  <c r="FS4"/>
  <c r="FS48" s="1"/>
  <c r="FR4"/>
  <c r="FR48" s="1"/>
  <c r="FQ4"/>
  <c r="FP4"/>
  <c r="FP48" s="1"/>
  <c r="FP260" s="1"/>
  <c r="FO4"/>
  <c r="FM4"/>
  <c r="FL4"/>
  <c r="FL48" s="1"/>
  <c r="FL260" s="1"/>
  <c r="FK4"/>
  <c r="FK48" s="1"/>
  <c r="FK260" s="1"/>
  <c r="FJ4"/>
  <c r="FJ48" s="1"/>
  <c r="FJ260" s="1"/>
  <c r="FI4"/>
  <c r="FI48" s="1"/>
  <c r="FI260" s="1"/>
  <c r="FH4"/>
  <c r="FH48" s="1"/>
  <c r="FH260" s="1"/>
  <c r="FG4"/>
  <c r="FG48" s="1"/>
  <c r="FF4"/>
  <c r="FF48" s="1"/>
  <c r="FF260" s="1"/>
  <c r="FE4"/>
  <c r="FE48" s="1"/>
  <c r="FE260" s="1"/>
  <c r="FD4"/>
  <c r="FD48" s="1"/>
  <c r="FA4"/>
  <c r="FA48" s="1"/>
  <c r="EY4"/>
  <c r="EY48" s="1"/>
  <c r="EX4"/>
  <c r="EW4" s="1"/>
  <c r="EU4"/>
  <c r="EU48" s="1"/>
  <c r="EU260" s="1"/>
  <c r="ET4"/>
  <c r="ER4"/>
  <c r="EP4"/>
  <c r="EP48" s="1"/>
  <c r="EO4"/>
  <c r="EO48" s="1"/>
  <c r="EN4"/>
  <c r="EN48" s="1"/>
  <c r="EN260" s="1"/>
  <c r="EM4"/>
  <c r="EK4"/>
  <c r="EK48" s="1"/>
  <c r="EK260" s="1"/>
  <c r="EJ4"/>
  <c r="EH4"/>
  <c r="EH48" s="1"/>
  <c r="EG4"/>
  <c r="EG48" s="1"/>
  <c r="EF4"/>
  <c r="EF48" s="1"/>
  <c r="EE4"/>
  <c r="EC4"/>
  <c r="EC48" s="1"/>
  <c r="EC260" s="1"/>
  <c r="EB4"/>
  <c r="EB48" s="1"/>
  <c r="EA4"/>
  <c r="EA48" s="1"/>
  <c r="DZ4"/>
  <c r="DZ48" s="1"/>
  <c r="DZ260" s="1"/>
  <c r="DY4"/>
  <c r="DY48" s="1"/>
  <c r="DY260" s="1"/>
  <c r="DX4"/>
  <c r="DX48" s="1"/>
  <c r="DW4"/>
  <c r="DW48" s="1"/>
  <c r="DW260" s="1"/>
  <c r="DV4"/>
  <c r="DV48" s="1"/>
  <c r="DV260" s="1"/>
  <c r="DU4"/>
  <c r="DU48" s="1"/>
  <c r="DT4"/>
  <c r="DT48" s="1"/>
  <c r="DS4"/>
  <c r="DS48" s="1"/>
  <c r="DR4"/>
  <c r="DR48" s="1"/>
  <c r="DQ4"/>
  <c r="DQ48" s="1"/>
  <c r="DP4"/>
  <c r="DP48" s="1"/>
  <c r="DP260" s="1"/>
  <c r="DO4"/>
  <c r="DO48" s="1"/>
  <c r="DN4"/>
  <c r="DN48" s="1"/>
  <c r="DM4"/>
  <c r="DM48" s="1"/>
  <c r="DL4"/>
  <c r="DL48" s="1"/>
  <c r="DK4"/>
  <c r="DK48" s="1"/>
  <c r="DJ4"/>
  <c r="DI4"/>
  <c r="DI48" s="1"/>
  <c r="DI260" s="1"/>
  <c r="DH4"/>
  <c r="DE4"/>
  <c r="DE48" s="1"/>
  <c r="HP260" l="1"/>
  <c r="HA48"/>
  <c r="HA260" s="1"/>
  <c r="HF260"/>
  <c r="HJ260"/>
  <c r="HM260"/>
  <c r="HG260"/>
  <c r="FG260"/>
  <c r="DJ48"/>
  <c r="DX260"/>
  <c r="IC48"/>
  <c r="DS107"/>
  <c r="IV48"/>
  <c r="IV260" s="1"/>
  <c r="DG4"/>
  <c r="DH48"/>
  <c r="ED4"/>
  <c r="ED48" s="1"/>
  <c r="ED260" s="1"/>
  <c r="EE48"/>
  <c r="EI4"/>
  <c r="EI48" s="1"/>
  <c r="EI260" s="1"/>
  <c r="EJ48"/>
  <c r="EJ260" s="1"/>
  <c r="EL4"/>
  <c r="EL48" s="1"/>
  <c r="EL260" s="1"/>
  <c r="EM48"/>
  <c r="EM260" s="1"/>
  <c r="EQ4"/>
  <c r="EQ48" s="1"/>
  <c r="ER48"/>
  <c r="EX48"/>
  <c r="EX260" s="1"/>
  <c r="EY260"/>
  <c r="FD260"/>
  <c r="GY48"/>
  <c r="GY260" s="1"/>
  <c r="HH48"/>
  <c r="HH260" s="1"/>
  <c r="HO48"/>
  <c r="HO260" s="1"/>
  <c r="IG4"/>
  <c r="IH48"/>
  <c r="IH260" s="1"/>
  <c r="IM48"/>
  <c r="IM260" s="1"/>
  <c r="D193"/>
  <c r="ES185"/>
  <c r="ER185" s="1"/>
  <c r="ER193" s="1"/>
  <c r="ET193"/>
  <c r="CF109"/>
  <c r="CC109"/>
  <c r="DL107"/>
  <c r="DL260" s="1"/>
  <c r="DM260"/>
  <c r="JD185"/>
  <c r="DO260"/>
  <c r="DN260" s="1"/>
  <c r="DU260"/>
  <c r="DT260" s="1"/>
  <c r="DS260" s="1"/>
  <c r="DR260" s="1"/>
  <c r="DQ260" s="1"/>
  <c r="FV48"/>
  <c r="FU48" s="1"/>
  <c r="GI48"/>
  <c r="HI48"/>
  <c r="DH107"/>
  <c r="DG107" s="1"/>
  <c r="EH260"/>
  <c r="ES4"/>
  <c r="ES48" s="1"/>
  <c r="ET48"/>
  <c r="EV4"/>
  <c r="EW48"/>
  <c r="FN4"/>
  <c r="FN48" s="1"/>
  <c r="FN260" s="1"/>
  <c r="FO48"/>
  <c r="FO260" s="1"/>
  <c r="FQ48"/>
  <c r="FQ260" s="1"/>
  <c r="GK48"/>
  <c r="GR4"/>
  <c r="GR48" s="1"/>
  <c r="GS48"/>
  <c r="F185"/>
  <c r="F193" s="1"/>
  <c r="G193"/>
  <c r="HI107"/>
  <c r="HD98"/>
  <c r="HD107" s="1"/>
  <c r="HC107" s="1"/>
  <c r="HE107"/>
  <c r="HE260" s="1"/>
  <c r="BM109"/>
  <c r="BH109"/>
  <c r="GK185"/>
  <c r="GK193" s="1"/>
  <c r="DJ107"/>
  <c r="DK260"/>
  <c r="BX193"/>
  <c r="EF185"/>
  <c r="EG193"/>
  <c r="EG260" s="1"/>
  <c r="CI98"/>
  <c r="CH98" s="1"/>
  <c r="CJ107"/>
  <c r="AT109"/>
  <c r="IU48"/>
  <c r="IU260" s="1"/>
  <c r="DD4"/>
  <c r="DD48" s="1"/>
  <c r="DD260" s="1"/>
  <c r="DA4"/>
  <c r="DA48" s="1"/>
  <c r="CZ4"/>
  <c r="CZ48" s="1"/>
  <c r="CX4"/>
  <c r="CX48" s="1"/>
  <c r="CX260" s="1"/>
  <c r="CW4"/>
  <c r="CW48" s="1"/>
  <c r="CW260" s="1"/>
  <c r="GK260" l="1"/>
  <c r="HI260"/>
  <c r="GH48"/>
  <c r="GH260" s="1"/>
  <c r="GI260"/>
  <c r="DJ260"/>
  <c r="AU109"/>
  <c r="AZ109"/>
  <c r="FM48"/>
  <c r="FM260" s="1"/>
  <c r="CK109"/>
  <c r="ES193"/>
  <c r="ET260"/>
  <c r="D266"/>
  <c r="D195"/>
  <c r="CI107"/>
  <c r="CH107" s="1"/>
  <c r="CG107" s="1"/>
  <c r="CG109" s="1"/>
  <c r="DH260"/>
  <c r="IT48"/>
  <c r="IT260" s="1"/>
  <c r="EE185"/>
  <c r="EE193" s="1"/>
  <c r="EE260" s="1"/>
  <c r="EF193"/>
  <c r="EF260" s="1"/>
  <c r="BR109"/>
  <c r="BN109"/>
  <c r="EV48"/>
  <c r="EV260" s="1"/>
  <c r="EW260"/>
  <c r="GG48"/>
  <c r="GG260" s="1"/>
  <c r="IF4"/>
  <c r="IF48" s="1"/>
  <c r="IF260" s="1"/>
  <c r="IG48"/>
  <c r="IG260" s="1"/>
  <c r="GX48"/>
  <c r="DF4"/>
  <c r="DF48" s="1"/>
  <c r="DG48"/>
  <c r="CV4"/>
  <c r="CS4"/>
  <c r="CS48" s="1"/>
  <c r="CS260" s="1"/>
  <c r="CR4"/>
  <c r="CR48" s="1"/>
  <c r="CR260" s="1"/>
  <c r="CQ4"/>
  <c r="CQ48" s="1"/>
  <c r="CQ260" s="1"/>
  <c r="CP4"/>
  <c r="CP48" s="1"/>
  <c r="CO4"/>
  <c r="CO48" s="1"/>
  <c r="CN4"/>
  <c r="CN48" s="1"/>
  <c r="CM4"/>
  <c r="CM48" s="1"/>
  <c r="CL4"/>
  <c r="CL48" s="1"/>
  <c r="CL260" s="1"/>
  <c r="CK4"/>
  <c r="CK48" s="1"/>
  <c r="CJ4"/>
  <c r="CJ48" s="1"/>
  <c r="CI4"/>
  <c r="CI48" s="1"/>
  <c r="CH4"/>
  <c r="CH48" s="1"/>
  <c r="CG4"/>
  <c r="CF4"/>
  <c r="CF48" s="1"/>
  <c r="CF260" s="1"/>
  <c r="CE4"/>
  <c r="CE48" s="1"/>
  <c r="CD4"/>
  <c r="CC4"/>
  <c r="CC48" s="1"/>
  <c r="CC260" s="1"/>
  <c r="CA4"/>
  <c r="BW4"/>
  <c r="BW48" s="1"/>
  <c r="BW260" s="1"/>
  <c r="BV4"/>
  <c r="BV48" s="1"/>
  <c r="BV260" s="1"/>
  <c r="BU4"/>
  <c r="BU48" s="1"/>
  <c r="BU260" s="1"/>
  <c r="GW48" l="1"/>
  <c r="GW260" s="1"/>
  <c r="GX260"/>
  <c r="CD48"/>
  <c r="CG48"/>
  <c r="CK260"/>
  <c r="ES260"/>
  <c r="ER260" s="1"/>
  <c r="EQ260" s="1"/>
  <c r="EP260" s="1"/>
  <c r="EO260" s="1"/>
  <c r="DG260"/>
  <c r="CJ260"/>
  <c r="CI260" s="1"/>
  <c r="CH260" s="1"/>
  <c r="IS48"/>
  <c r="E195"/>
  <c r="J195"/>
  <c r="E266"/>
  <c r="CQ109"/>
  <c r="CL109"/>
  <c r="CE260"/>
  <c r="CP260"/>
  <c r="CO260" s="1"/>
  <c r="CN260" s="1"/>
  <c r="CM260" s="1"/>
  <c r="CU4"/>
  <c r="CT4" s="1"/>
  <c r="CT48" s="1"/>
  <c r="CT260" s="1"/>
  <c r="CV48"/>
  <c r="BX109"/>
  <c r="BY109" s="1"/>
  <c r="BZ109" s="1"/>
  <c r="DF260"/>
  <c r="DE260" s="1"/>
  <c r="BT4"/>
  <c r="BT48" s="1"/>
  <c r="BT260" s="1"/>
  <c r="BS4"/>
  <c r="BS48" s="1"/>
  <c r="BS260" s="1"/>
  <c r="BR4"/>
  <c r="BR48" s="1"/>
  <c r="BR260" s="1"/>
  <c r="BQ4"/>
  <c r="BQ48" s="1"/>
  <c r="BP4"/>
  <c r="BP48" s="1"/>
  <c r="BO4"/>
  <c r="BO48" s="1"/>
  <c r="BN4"/>
  <c r="BN48" s="1"/>
  <c r="BM4"/>
  <c r="BM48" s="1"/>
  <c r="BL4"/>
  <c r="BK4"/>
  <c r="BI4"/>
  <c r="BH4"/>
  <c r="BG4"/>
  <c r="BF4"/>
  <c r="BF48" s="1"/>
  <c r="BE4"/>
  <c r="BE48" s="1"/>
  <c r="BD4"/>
  <c r="BD48" s="1"/>
  <c r="BC4"/>
  <c r="BC48" s="1"/>
  <c r="BB4"/>
  <c r="AY48"/>
  <c r="AY260" s="1"/>
  <c r="AX48"/>
  <c r="AW48"/>
  <c r="AW260" s="1"/>
  <c r="AV48"/>
  <c r="AV260" s="1"/>
  <c r="AU48"/>
  <c r="AU260" s="1"/>
  <c r="AT48"/>
  <c r="AT260" s="1"/>
  <c r="AS48"/>
  <c r="AR48"/>
  <c r="AN48"/>
  <c r="AN260" s="1"/>
  <c r="AM4"/>
  <c r="AM48" s="1"/>
  <c r="AL4"/>
  <c r="AL48" s="1"/>
  <c r="AK4"/>
  <c r="AK48" s="1"/>
  <c r="AJ4"/>
  <c r="AJ48" s="1"/>
  <c r="AI4"/>
  <c r="AI48" s="1"/>
  <c r="AG48"/>
  <c r="AF48"/>
  <c r="AE48"/>
  <c r="AE260" s="1"/>
  <c r="AD48"/>
  <c r="AD260" s="1"/>
  <c r="Z48"/>
  <c r="Y48"/>
  <c r="Y260" s="1"/>
  <c r="X48"/>
  <c r="W48"/>
  <c r="V48"/>
  <c r="V260" s="1"/>
  <c r="U48"/>
  <c r="Q48"/>
  <c r="O48"/>
  <c r="N48"/>
  <c r="N260" s="1"/>
  <c r="M48"/>
  <c r="M260" s="1"/>
  <c r="K48"/>
  <c r="J48"/>
  <c r="I48"/>
  <c r="H48"/>
  <c r="G48" s="1"/>
  <c r="D48"/>
  <c r="IR48" l="1"/>
  <c r="IR260" s="1"/>
  <c r="IS260"/>
  <c r="CG260"/>
  <c r="CD260"/>
  <c r="AX260"/>
  <c r="BQ260"/>
  <c r="BB48"/>
  <c r="BB260" s="1"/>
  <c r="AM260"/>
  <c r="P48"/>
  <c r="P260" s="1"/>
  <c r="F48"/>
  <c r="E48" s="1"/>
  <c r="X260"/>
  <c r="AC48"/>
  <c r="AC260" s="1"/>
  <c r="AH48"/>
  <c r="AI260"/>
  <c r="BJ4"/>
  <c r="BJ48" s="1"/>
  <c r="BK48"/>
  <c r="BK260" s="1"/>
  <c r="BL48"/>
  <c r="BL260" s="1"/>
  <c r="BM260"/>
  <c r="CA109"/>
  <c r="CU48"/>
  <c r="CU260" s="1"/>
  <c r="CV260"/>
  <c r="CW109"/>
  <c r="CR109"/>
  <c r="K195"/>
  <c r="AS260"/>
  <c r="AR260" s="1"/>
  <c r="D262"/>
  <c r="D50"/>
  <c r="D260"/>
  <c r="T48"/>
  <c r="S48" s="1"/>
  <c r="U260"/>
  <c r="AP48"/>
  <c r="AO48" s="1"/>
  <c r="AO260" s="1"/>
  <c r="AQ48"/>
  <c r="O260"/>
  <c r="K260" s="1"/>
  <c r="J260" s="1"/>
  <c r="I260" s="1"/>
  <c r="H260" s="1"/>
  <c r="G260" s="1"/>
  <c r="W260"/>
  <c r="AL260"/>
  <c r="AK260" s="1"/>
  <c r="AJ260" s="1"/>
  <c r="BP260"/>
  <c r="BO260" s="1"/>
  <c r="BN260" s="1"/>
  <c r="F260" l="1"/>
  <c r="E260" s="1"/>
  <c r="T260"/>
  <c r="R48"/>
  <c r="S260"/>
  <c r="E50"/>
  <c r="J50"/>
  <c r="E264"/>
  <c r="F264" s="1"/>
  <c r="G264" s="1"/>
  <c r="H264" s="1"/>
  <c r="I264" s="1"/>
  <c r="CX109"/>
  <c r="CY109" s="1"/>
  <c r="AQ260"/>
  <c r="AP260" s="1"/>
  <c r="J262"/>
  <c r="E262"/>
  <c r="BI48"/>
  <c r="BJ260"/>
  <c r="R260" l="1"/>
  <c r="Q260" s="1"/>
  <c r="K264"/>
  <c r="L264" s="1"/>
  <c r="M264" s="1"/>
  <c r="O264"/>
  <c r="BH48"/>
  <c r="BI260"/>
  <c r="O50"/>
  <c r="K50"/>
  <c r="L50" s="1"/>
  <c r="K262"/>
  <c r="L262" s="1"/>
  <c r="M262" s="1"/>
  <c r="BG48" l="1"/>
  <c r="BG260" s="1"/>
  <c r="BF260" s="1"/>
  <c r="BE260" s="1"/>
  <c r="BD260" s="1"/>
  <c r="BC260" s="1"/>
  <c r="BH260"/>
  <c r="P50"/>
  <c r="U50"/>
  <c r="V50" l="1"/>
  <c r="W50" s="1"/>
  <c r="X50" s="1"/>
  <c r="Y50" s="1"/>
  <c r="Z50" s="1"/>
  <c r="Q50"/>
  <c r="R50" s="1"/>
  <c r="S50" s="1"/>
  <c r="T50" s="1"/>
  <c r="N264"/>
  <c r="M50"/>
  <c r="N50" s="1"/>
  <c r="F50"/>
  <c r="G50" s="1"/>
  <c r="H50" s="1"/>
  <c r="I50" s="1"/>
  <c r="F262"/>
  <c r="G262" s="1"/>
  <c r="H262" s="1"/>
  <c r="I262" s="1"/>
  <c r="DB53"/>
  <c r="DB107" s="1"/>
  <c r="DB109" s="1"/>
  <c r="DA107"/>
  <c r="DA260" s="1"/>
  <c r="CS109"/>
  <c r="CT109" s="1"/>
  <c r="CU109" s="1"/>
  <c r="CV109" s="1"/>
  <c r="F195"/>
  <c r="G195" s="1"/>
  <c r="H195" s="1"/>
  <c r="I195" s="1"/>
  <c r="CM109"/>
  <c r="CN109" s="1"/>
  <c r="CO109" s="1"/>
  <c r="CP109" s="1"/>
  <c r="BS109"/>
  <c r="BT109" s="1"/>
  <c r="BU109" s="1"/>
  <c r="BV109" s="1"/>
  <c r="BW109" s="1"/>
  <c r="AV109"/>
  <c r="AW109" s="1"/>
  <c r="AX109" s="1"/>
  <c r="AY109" s="1"/>
  <c r="AZ48"/>
  <c r="GV185"/>
  <c r="GV193" s="1"/>
  <c r="GV260" s="1"/>
  <c r="BO109"/>
  <c r="BP109" s="1"/>
  <c r="BQ109" s="1"/>
  <c r="CH109"/>
  <c r="CI109" s="1"/>
  <c r="CJ109" s="1"/>
  <c r="JD140"/>
  <c r="JD193" s="1"/>
  <c r="BI109"/>
  <c r="BJ109" s="1"/>
  <c r="BK109" s="1"/>
  <c r="BL109" s="1"/>
  <c r="GE53"/>
  <c r="GE107" s="1"/>
  <c r="GE39"/>
  <c r="AO109"/>
  <c r="AP109" s="1"/>
  <c r="AQ109" s="1"/>
  <c r="AR109" s="1"/>
  <c r="AS109" s="1"/>
  <c r="BX4"/>
  <c r="BX48" s="1"/>
  <c r="BX260" s="1"/>
  <c r="CD109"/>
  <c r="CE109" s="1"/>
  <c r="FC140"/>
  <c r="FC193" s="1"/>
  <c r="CA48"/>
  <c r="CA260" s="1"/>
  <c r="BC109"/>
  <c r="BD109" s="1"/>
  <c r="BE109" s="1"/>
  <c r="BF109" s="1"/>
  <c r="AJ109"/>
  <c r="AK109" s="1"/>
  <c r="AL109" s="1"/>
  <c r="AM109" s="1"/>
  <c r="AD109"/>
  <c r="AE109" s="1"/>
  <c r="AF109" s="1"/>
  <c r="AG109" s="1"/>
  <c r="FC53"/>
  <c r="FC107" s="1"/>
  <c r="FA107"/>
  <c r="AG189"/>
  <c r="AH189" s="1"/>
  <c r="BA189" s="1"/>
  <c r="JC140"/>
  <c r="JC193" s="1"/>
  <c r="DB4"/>
  <c r="DB48" s="1"/>
  <c r="FX4"/>
  <c r="HB48"/>
  <c r="JD39"/>
  <c r="FW48"/>
  <c r="FW107"/>
  <c r="FV107"/>
  <c r="FV260" s="1"/>
  <c r="FU107"/>
  <c r="FU260" s="1"/>
  <c r="FT107"/>
  <c r="FT260" s="1"/>
  <c r="FS107"/>
  <c r="FS260" s="1"/>
  <c r="FR107"/>
  <c r="FR260" s="1"/>
  <c r="BT123"/>
  <c r="BU123" s="1"/>
  <c r="BV123" s="1"/>
  <c r="BW123" s="1"/>
  <c r="BO123"/>
  <c r="BP123" s="1"/>
  <c r="BQ123" s="1"/>
  <c r="CH273"/>
  <c r="CI273" s="1"/>
  <c r="CJ273" s="1"/>
  <c r="CC273"/>
  <c r="CD273" s="1"/>
  <c r="CE273" s="1"/>
  <c r="BI123"/>
  <c r="BJ123" s="1"/>
  <c r="BK123" s="1"/>
  <c r="BL123" s="1"/>
  <c r="BC123"/>
  <c r="BD123" s="1"/>
  <c r="BE123" s="1"/>
  <c r="BF123" s="1"/>
  <c r="BC273"/>
  <c r="BD273" s="1"/>
  <c r="BE273" s="1"/>
  <c r="BF273" s="1"/>
  <c r="BM273"/>
  <c r="BR273" s="1"/>
  <c r="BX273" s="1"/>
  <c r="BI273"/>
  <c r="BJ273" s="1"/>
  <c r="BK273" s="1"/>
  <c r="BL273" s="1"/>
  <c r="AC273"/>
  <c r="AD273" s="1"/>
  <c r="AE273" s="1"/>
  <c r="AF273" s="1"/>
  <c r="AG273" s="1"/>
  <c r="AN273"/>
  <c r="AT273" s="1"/>
  <c r="AZ273" s="1"/>
  <c r="AI273"/>
  <c r="AJ273" s="1"/>
  <c r="AK273" s="1"/>
  <c r="AL273" s="1"/>
  <c r="AM273" s="1"/>
  <c r="J109"/>
  <c r="F273"/>
  <c r="G273" s="1"/>
  <c r="H273" s="1"/>
  <c r="I273" s="1"/>
  <c r="F109"/>
  <c r="G109" s="1"/>
  <c r="H109" s="1"/>
  <c r="I109" s="1"/>
  <c r="O273"/>
  <c r="U273" s="1"/>
  <c r="K273"/>
  <c r="DU126"/>
  <c r="DU135" s="1"/>
  <c r="DU137" s="1"/>
  <c r="DK137"/>
  <c r="DL137" s="1"/>
  <c r="DM137" s="1"/>
  <c r="DN137" s="1"/>
  <c r="HD119"/>
  <c r="HD118" s="1"/>
  <c r="HD121" s="1"/>
  <c r="GU121"/>
  <c r="GT121"/>
  <c r="HC121"/>
  <c r="CS137"/>
  <c r="CT137" s="1"/>
  <c r="CU137" s="1"/>
  <c r="CV137" s="1"/>
  <c r="DD280"/>
  <c r="DE280" s="1"/>
  <c r="DF280" s="1"/>
  <c r="DG280" s="1"/>
  <c r="DH280" s="1"/>
  <c r="CM137"/>
  <c r="CN137" s="1"/>
  <c r="CO137" s="1"/>
  <c r="CP137" s="1"/>
  <c r="BT137"/>
  <c r="BU137" s="1"/>
  <c r="BV137" s="1"/>
  <c r="BW137" s="1"/>
  <c r="DE137"/>
  <c r="DF137" s="1"/>
  <c r="DG137" s="1"/>
  <c r="DH137" s="1"/>
  <c r="CC280"/>
  <c r="CD280" s="1"/>
  <c r="CE280" s="1"/>
  <c r="CK280"/>
  <c r="CQ280" s="1"/>
  <c r="CH280"/>
  <c r="CI280" s="1"/>
  <c r="CJ280" s="1"/>
  <c r="BO137"/>
  <c r="BP137" s="1"/>
  <c r="BQ137" s="1"/>
  <c r="CH137"/>
  <c r="CI137" s="1"/>
  <c r="CJ137" s="1"/>
  <c r="CC137"/>
  <c r="CD137" s="1"/>
  <c r="CE137" s="1"/>
  <c r="BI137"/>
  <c r="BJ137" s="1"/>
  <c r="BK137" s="1"/>
  <c r="BL137" s="1"/>
  <c r="EA135"/>
  <c r="Q137"/>
  <c r="R137" s="1"/>
  <c r="S137" s="1"/>
  <c r="T137" s="1"/>
  <c r="BM280"/>
  <c r="BR280" s="1"/>
  <c r="BI280"/>
  <c r="BJ280" s="1"/>
  <c r="BK280" s="1"/>
  <c r="BL280" s="1"/>
  <c r="BB280"/>
  <c r="BC280" s="1"/>
  <c r="BD280" s="1"/>
  <c r="BE280" s="1"/>
  <c r="BF280" s="1"/>
  <c r="N137"/>
  <c r="AN280"/>
  <c r="AT280" s="1"/>
  <c r="AJ280"/>
  <c r="AK280" s="1"/>
  <c r="AL280" s="1"/>
  <c r="AM280" s="1"/>
  <c r="BC137"/>
  <c r="BD137" s="1"/>
  <c r="BE137" s="1"/>
  <c r="BF137" s="1"/>
  <c r="AC280"/>
  <c r="AD280" s="1"/>
  <c r="AE280" s="1"/>
  <c r="AF280" s="1"/>
  <c r="AG280" s="1"/>
  <c r="AH123"/>
  <c r="AN123" s="1"/>
  <c r="AT123" s="1"/>
  <c r="CB123"/>
  <c r="CF123" s="1"/>
  <c r="J280"/>
  <c r="O280" s="1"/>
  <c r="U280" s="1"/>
  <c r="E280"/>
  <c r="F280" s="1"/>
  <c r="G280" s="1"/>
  <c r="H280" s="1"/>
  <c r="I280" s="1"/>
  <c r="F137"/>
  <c r="G137" s="1"/>
  <c r="H137" s="1"/>
  <c r="I137" s="1"/>
  <c r="AA123"/>
  <c r="AD123"/>
  <c r="AE123" s="1"/>
  <c r="AF123" s="1"/>
  <c r="AG123" s="1"/>
  <c r="CA123"/>
  <c r="GV127"/>
  <c r="HD129"/>
  <c r="HD130"/>
  <c r="GU135"/>
  <c r="HC135"/>
  <c r="HB135"/>
  <c r="W137"/>
  <c r="DQ137"/>
  <c r="DR137" s="1"/>
  <c r="DS137" s="1"/>
  <c r="DT137" s="1"/>
  <c r="AC137"/>
  <c r="AD137" s="1"/>
  <c r="AE137" s="1"/>
  <c r="AF137" s="1"/>
  <c r="AG137" s="1"/>
  <c r="AH137" s="1"/>
  <c r="AG185"/>
  <c r="DB140"/>
  <c r="DB193" s="1"/>
  <c r="IY275"/>
  <c r="IZ275" s="1"/>
  <c r="JA275" s="1"/>
  <c r="JB275" s="1"/>
  <c r="IY209"/>
  <c r="IZ209" s="1"/>
  <c r="JA209" s="1"/>
  <c r="JB209" s="1"/>
  <c r="IS209"/>
  <c r="IT209" s="1"/>
  <c r="IU209" s="1"/>
  <c r="IV209" s="1"/>
  <c r="IS275"/>
  <c r="IT275" s="1"/>
  <c r="IU275" s="1"/>
  <c r="IV275" s="1"/>
  <c r="IO209"/>
  <c r="IP209" s="1"/>
  <c r="HW275"/>
  <c r="HX275" s="1"/>
  <c r="IO275"/>
  <c r="IP275" s="1"/>
  <c r="FW140"/>
  <c r="FW193" s="1"/>
  <c r="GX275"/>
  <c r="GY275" s="1"/>
  <c r="II209"/>
  <c r="IJ209" s="1"/>
  <c r="IK209" s="1"/>
  <c r="IL209" s="1"/>
  <c r="GX209"/>
  <c r="GY209" s="1"/>
  <c r="II275"/>
  <c r="IJ275" s="1"/>
  <c r="IK275" s="1"/>
  <c r="IL275" s="1"/>
  <c r="HQ275"/>
  <c r="HR275" s="1"/>
  <c r="HS275" s="1"/>
  <c r="HT275" s="1"/>
  <c r="IF275"/>
  <c r="GR209"/>
  <c r="GS209" s="1"/>
  <c r="GT209" s="1"/>
  <c r="GU209" s="1"/>
  <c r="HK275"/>
  <c r="HL275" s="1"/>
  <c r="HM275" s="1"/>
  <c r="HN275" s="1"/>
  <c r="GR275"/>
  <c r="GS275" s="1"/>
  <c r="GT275" s="1"/>
  <c r="GU275" s="1"/>
  <c r="AB185"/>
  <c r="GM209"/>
  <c r="GN209" s="1"/>
  <c r="GO209" s="1"/>
  <c r="GM275"/>
  <c r="GN275" s="1"/>
  <c r="GO275" s="1"/>
  <c r="HF275"/>
  <c r="HG275" s="1"/>
  <c r="HH275" s="1"/>
  <c r="EV209"/>
  <c r="EW209" s="1"/>
  <c r="EX209" s="1"/>
  <c r="EY209" s="1"/>
  <c r="EZ209" s="1"/>
  <c r="FA209" s="1"/>
  <c r="FN209"/>
  <c r="FO209" s="1"/>
  <c r="FP209" s="1"/>
  <c r="FQ209" s="1"/>
  <c r="CZ209"/>
  <c r="DA209" s="1"/>
  <c r="EP209"/>
  <c r="EQ209" s="1"/>
  <c r="ER209" s="1"/>
  <c r="ES209" s="1"/>
  <c r="GG209"/>
  <c r="GH209" s="1"/>
  <c r="GI209" s="1"/>
  <c r="GJ209" s="1"/>
  <c r="DW209"/>
  <c r="DX209" s="1"/>
  <c r="DY209" s="1"/>
  <c r="DZ209" s="1"/>
  <c r="GF275"/>
  <c r="GG275" s="1"/>
  <c r="GH275" s="1"/>
  <c r="GI275" s="1"/>
  <c r="GJ275" s="1"/>
  <c r="DQ209"/>
  <c r="CS209"/>
  <c r="CT209" s="1"/>
  <c r="CU209" s="1"/>
  <c r="CV209" s="1"/>
  <c r="EJ209"/>
  <c r="EK209" s="1"/>
  <c r="EL209" s="1"/>
  <c r="EM209" s="1"/>
  <c r="EC275"/>
  <c r="ED275" s="1"/>
  <c r="EE275" s="1"/>
  <c r="EF275" s="1"/>
  <c r="EG275" s="1"/>
  <c r="DK209"/>
  <c r="DL209" s="1"/>
  <c r="DM209" s="1"/>
  <c r="DN209" s="1"/>
  <c r="BT209"/>
  <c r="BU209" s="1"/>
  <c r="BV209" s="1"/>
  <c r="BW209" s="1"/>
  <c r="CM209"/>
  <c r="CN209" s="1"/>
  <c r="CO209" s="1"/>
  <c r="CP209" s="1"/>
  <c r="DD275"/>
  <c r="DE275" s="1"/>
  <c r="DF275" s="1"/>
  <c r="DG275" s="1"/>
  <c r="DH275" s="1"/>
  <c r="BO209"/>
  <c r="BP209" s="1"/>
  <c r="BQ209" s="1"/>
  <c r="CH209"/>
  <c r="CI209" s="1"/>
  <c r="CJ209" s="1"/>
  <c r="DO275"/>
  <c r="DU275" s="1"/>
  <c r="DJ275"/>
  <c r="DK275" s="1"/>
  <c r="DL275" s="1"/>
  <c r="DM275" s="1"/>
  <c r="DN275" s="1"/>
  <c r="CH275"/>
  <c r="CI275" s="1"/>
  <c r="CJ275" s="1"/>
  <c r="DE209"/>
  <c r="DF209" s="1"/>
  <c r="DG209" s="1"/>
  <c r="DH209" s="1"/>
  <c r="W209"/>
  <c r="X209" s="1"/>
  <c r="Y209" s="1"/>
  <c r="Z209" s="1"/>
  <c r="BI209"/>
  <c r="BJ209" s="1"/>
  <c r="BK209" s="1"/>
  <c r="BL209" s="1"/>
  <c r="Q209"/>
  <c r="R209" s="1"/>
  <c r="S209" s="1"/>
  <c r="T209" s="1"/>
  <c r="CD209"/>
  <c r="CE209" s="1"/>
  <c r="BI275"/>
  <c r="BJ275" s="1"/>
  <c r="BK275" s="1"/>
  <c r="BL275" s="1"/>
  <c r="CC275"/>
  <c r="CD275" s="1"/>
  <c r="CE275" s="1"/>
  <c r="CQ275"/>
  <c r="CW275" s="1"/>
  <c r="CM275"/>
  <c r="CN275" s="1"/>
  <c r="CO275" s="1"/>
  <c r="CP275" s="1"/>
  <c r="N209"/>
  <c r="BC209"/>
  <c r="BD209" s="1"/>
  <c r="BE209" s="1"/>
  <c r="BF209" s="1"/>
  <c r="BR275"/>
  <c r="BX275" s="1"/>
  <c r="BO275"/>
  <c r="BP275" s="1"/>
  <c r="BQ275" s="1"/>
  <c r="BB275"/>
  <c r="BC275" s="1"/>
  <c r="BD275" s="1"/>
  <c r="BE275" s="1"/>
  <c r="BF275" s="1"/>
  <c r="AN275"/>
  <c r="AT275" s="1"/>
  <c r="AZ275" s="1"/>
  <c r="AJ275"/>
  <c r="AK275" s="1"/>
  <c r="AL275" s="1"/>
  <c r="AM275" s="1"/>
  <c r="F275"/>
  <c r="G275" s="1"/>
  <c r="H275" s="1"/>
  <c r="I275" s="1"/>
  <c r="F209"/>
  <c r="G209" s="1"/>
  <c r="H209" s="1"/>
  <c r="I209" s="1"/>
  <c r="AC275"/>
  <c r="AD275" s="1"/>
  <c r="AE275" s="1"/>
  <c r="AF275" s="1"/>
  <c r="AG275" s="1"/>
  <c r="AF185"/>
  <c r="AF193" s="1"/>
  <c r="AF260" s="1"/>
  <c r="AZ193"/>
  <c r="GT185"/>
  <c r="GT193" s="1"/>
  <c r="GT260" s="1"/>
  <c r="GS185"/>
  <c r="GS193" s="1"/>
  <c r="GS260" s="1"/>
  <c r="GR185"/>
  <c r="GR193" s="1"/>
  <c r="GR260" s="1"/>
  <c r="O195"/>
  <c r="U195" s="1"/>
  <c r="O275"/>
  <c r="U275" s="1"/>
  <c r="M275"/>
  <c r="N275" s="1"/>
  <c r="AG193"/>
  <c r="AG260" s="1"/>
  <c r="HB193"/>
  <c r="HB260" s="1"/>
  <c r="M195"/>
  <c r="N195" s="1"/>
  <c r="FA193"/>
  <c r="GP193"/>
  <c r="GP260" s="1"/>
  <c r="GQ193"/>
  <c r="GQ260" s="1"/>
  <c r="DO282"/>
  <c r="DU282" s="1"/>
  <c r="DJ282"/>
  <c r="DK282" s="1"/>
  <c r="DL282" s="1"/>
  <c r="DM282" s="1"/>
  <c r="DN282" s="1"/>
  <c r="DD282"/>
  <c r="DE282" s="1"/>
  <c r="DF282" s="1"/>
  <c r="DG282" s="1"/>
  <c r="DH282" s="1"/>
  <c r="CH282"/>
  <c r="CI282" s="1"/>
  <c r="CJ282" s="1"/>
  <c r="AV223"/>
  <c r="AW223" s="1"/>
  <c r="AX223" s="1"/>
  <c r="AY223" s="1"/>
  <c r="CQ282"/>
  <c r="CW282" s="1"/>
  <c r="CM282"/>
  <c r="CN282" s="1"/>
  <c r="CO282" s="1"/>
  <c r="CP282" s="1"/>
  <c r="CC282"/>
  <c r="CD282" s="1"/>
  <c r="CE282" s="1"/>
  <c r="BI282"/>
  <c r="BJ282" s="1"/>
  <c r="BK282" s="1"/>
  <c r="BL282" s="1"/>
  <c r="AP223"/>
  <c r="AQ223" s="1"/>
  <c r="AR223" s="1"/>
  <c r="AS223" s="1"/>
  <c r="AJ223"/>
  <c r="AK223" s="1"/>
  <c r="AL223" s="1"/>
  <c r="AM223" s="1"/>
  <c r="BR282"/>
  <c r="BX282" s="1"/>
  <c r="BN282"/>
  <c r="BO282" s="1"/>
  <c r="BP282" s="1"/>
  <c r="BQ282" s="1"/>
  <c r="M282"/>
  <c r="N282" s="1"/>
  <c r="BB282"/>
  <c r="BC282" s="1"/>
  <c r="BD282" s="1"/>
  <c r="BE282" s="1"/>
  <c r="BF282" s="1"/>
  <c r="AC282"/>
  <c r="AD282" s="1"/>
  <c r="AE282" s="1"/>
  <c r="AF282" s="1"/>
  <c r="AG282" s="1"/>
  <c r="E282"/>
  <c r="F282" s="1"/>
  <c r="G282" s="1"/>
  <c r="H282" s="1"/>
  <c r="I282" s="1"/>
  <c r="AH209"/>
  <c r="AN209" s="1"/>
  <c r="AD209"/>
  <c r="AE209" s="1"/>
  <c r="AF209" s="1"/>
  <c r="AG209" s="1"/>
  <c r="AN282"/>
  <c r="AT282" s="1"/>
  <c r="AI282"/>
  <c r="AJ282" s="1"/>
  <c r="AK282" s="1"/>
  <c r="AL282" s="1"/>
  <c r="AM282" s="1"/>
  <c r="AD223"/>
  <c r="AE223" s="1"/>
  <c r="AF223" s="1"/>
  <c r="AG223" s="1"/>
  <c r="H223"/>
  <c r="I223" s="1"/>
  <c r="HF209"/>
  <c r="HG209" s="1"/>
  <c r="HH209" s="1"/>
  <c r="HI209" s="1"/>
  <c r="U282"/>
  <c r="AA282" s="1"/>
  <c r="Q282"/>
  <c r="R282" s="1"/>
  <c r="S282" s="1"/>
  <c r="T282" s="1"/>
  <c r="F268"/>
  <c r="G268" s="1"/>
  <c r="H268" s="1"/>
  <c r="I268" s="1"/>
  <c r="AD268"/>
  <c r="AE268" s="1"/>
  <c r="AF268" s="1"/>
  <c r="AG268" s="1"/>
  <c r="U268"/>
  <c r="V268" s="1"/>
  <c r="W268" s="1"/>
  <c r="X268" s="1"/>
  <c r="Y268" s="1"/>
  <c r="Z268" s="1"/>
  <c r="AA268" s="1"/>
  <c r="P268"/>
  <c r="Q268" s="1"/>
  <c r="R268" s="1"/>
  <c r="S268" s="1"/>
  <c r="T268" s="1"/>
  <c r="BA223"/>
  <c r="BG223" s="1"/>
  <c r="O223"/>
  <c r="U223" s="1"/>
  <c r="V223" s="1"/>
  <c r="W223" s="1"/>
  <c r="X223" s="1"/>
  <c r="Y223" s="1"/>
  <c r="Z223" s="1"/>
  <c r="N223"/>
  <c r="HD226"/>
  <c r="HD256" s="1"/>
  <c r="Z260"/>
  <c r="HC226"/>
  <c r="HC256" s="1"/>
  <c r="ID252"/>
  <c r="ID256" s="1"/>
  <c r="ID260" s="1"/>
  <c r="J258"/>
  <c r="K258" s="1"/>
  <c r="L258" s="1"/>
  <c r="M258" s="1"/>
  <c r="N258" s="1"/>
  <c r="F258"/>
  <c r="G258" s="1"/>
  <c r="H258" s="1"/>
  <c r="I258" s="1"/>
  <c r="AH258"/>
  <c r="AI258" s="1"/>
  <c r="AJ258" s="1"/>
  <c r="AK258" s="1"/>
  <c r="AL258" s="1"/>
  <c r="AM258" s="1"/>
  <c r="AD258"/>
  <c r="AE258" s="1"/>
  <c r="AF258" s="1"/>
  <c r="AG258" s="1"/>
  <c r="O262"/>
  <c r="U262" s="1"/>
  <c r="V262" s="1"/>
  <c r="W262" s="1"/>
  <c r="X262" s="1"/>
  <c r="Y262" s="1"/>
  <c r="Z262" s="1"/>
  <c r="N262"/>
  <c r="U264"/>
  <c r="V264" s="1"/>
  <c r="W264" s="1"/>
  <c r="X264" s="1"/>
  <c r="Y264" s="1"/>
  <c r="Z264" s="1"/>
  <c r="AA264" s="1"/>
  <c r="P264"/>
  <c r="Q264" s="1"/>
  <c r="R264" s="1"/>
  <c r="S264" s="1"/>
  <c r="T264" s="1"/>
  <c r="AB264"/>
  <c r="BA264" s="1"/>
  <c r="J266"/>
  <c r="O266" s="1"/>
  <c r="U266" s="1"/>
  <c r="V266" s="1"/>
  <c r="W266" s="1"/>
  <c r="X266" s="1"/>
  <c r="Y266" s="1"/>
  <c r="Z266" s="1"/>
  <c r="F266"/>
  <c r="G266" s="1"/>
  <c r="H266" s="1"/>
  <c r="I266" s="1"/>
  <c r="AN268"/>
  <c r="AT268" s="1"/>
  <c r="AJ268"/>
  <c r="AK268" s="1"/>
  <c r="AL268" s="1"/>
  <c r="AM268" s="1"/>
  <c r="EN275"/>
  <c r="EO275" s="1"/>
  <c r="EP275" s="1"/>
  <c r="EQ275" s="1"/>
  <c r="ER275" s="1"/>
  <c r="ES275" s="1"/>
  <c r="EJ275"/>
  <c r="EK275" s="1"/>
  <c r="EL275" s="1"/>
  <c r="EM275" s="1"/>
  <c r="DO280"/>
  <c r="DK280"/>
  <c r="DL280" s="1"/>
  <c r="DM280" s="1"/>
  <c r="DN280" s="1"/>
  <c r="EH282"/>
  <c r="EN282" s="1"/>
  <c r="EC282"/>
  <c r="ED282" s="1"/>
  <c r="EE282" s="1"/>
  <c r="EF282" s="1"/>
  <c r="EG282" s="1"/>
  <c r="GZ275" l="1"/>
  <c r="HA275" s="1"/>
  <c r="HB275" s="1"/>
  <c r="GZ209"/>
  <c r="HA209" s="1"/>
  <c r="HB209" s="1"/>
  <c r="O258"/>
  <c r="P258" s="1"/>
  <c r="Q258" s="1"/>
  <c r="R258" s="1"/>
  <c r="S258" s="1"/>
  <c r="T258" s="1"/>
  <c r="FW260"/>
  <c r="FA260"/>
  <c r="GU185"/>
  <c r="GU193" s="1"/>
  <c r="GU260" s="1"/>
  <c r="FX39"/>
  <c r="FX48" s="1"/>
  <c r="P223"/>
  <c r="Q223" s="1"/>
  <c r="R223" s="1"/>
  <c r="S223" s="1"/>
  <c r="T223" s="1"/>
  <c r="JC39"/>
  <c r="CA273"/>
  <c r="BY273"/>
  <c r="BZ273" s="1"/>
  <c r="CA282"/>
  <c r="BY282"/>
  <c r="BZ282" s="1"/>
  <c r="CA275"/>
  <c r="BY275"/>
  <c r="BZ275" s="1"/>
  <c r="GV126"/>
  <c r="GV135" s="1"/>
  <c r="AA140"/>
  <c r="HD127"/>
  <c r="BA226"/>
  <c r="BA256" s="1"/>
  <c r="BA268" s="1"/>
  <c r="O109"/>
  <c r="U109" s="1"/>
  <c r="K109"/>
  <c r="L109" s="1"/>
  <c r="M109" s="1"/>
  <c r="N109" s="1"/>
  <c r="DC140"/>
  <c r="DC193" s="1"/>
  <c r="M273"/>
  <c r="N273" s="1"/>
  <c r="L273"/>
  <c r="DU280"/>
  <c r="DV280" s="1"/>
  <c r="DW280" s="1"/>
  <c r="DX280" s="1"/>
  <c r="DY280" s="1"/>
  <c r="DZ280" s="1"/>
  <c r="FB140"/>
  <c r="FB193" s="1"/>
  <c r="GE140"/>
  <c r="GE193" s="1"/>
  <c r="FX53"/>
  <c r="FX107" s="1"/>
  <c r="EA53"/>
  <c r="EA107" s="1"/>
  <c r="DB260"/>
  <c r="FC13"/>
  <c r="FC4" s="1"/>
  <c r="FC48" s="1"/>
  <c r="FC260" s="1"/>
  <c r="IC252"/>
  <c r="IC256" s="1"/>
  <c r="IC260" s="1"/>
  <c r="AZ226"/>
  <c r="AZ256" s="1"/>
  <c r="AZ260" s="1"/>
  <c r="HD13"/>
  <c r="HD4" s="1"/>
  <c r="HD48" s="1"/>
  <c r="DC26"/>
  <c r="DC4" s="1"/>
  <c r="DC48" s="1"/>
  <c r="CB26"/>
  <c r="CB4" s="1"/>
  <c r="CB48" s="1"/>
  <c r="CB260" s="1"/>
  <c r="BA30"/>
  <c r="FB4"/>
  <c r="FB48" s="1"/>
  <c r="CR282"/>
  <c r="CS282" s="1"/>
  <c r="CT282" s="1"/>
  <c r="CU282" s="1"/>
  <c r="CV282" s="1"/>
  <c r="HD185"/>
  <c r="HD193" s="1"/>
  <c r="FB53"/>
  <c r="FB107" s="1"/>
  <c r="BS282"/>
  <c r="BT282" s="1"/>
  <c r="BU282" s="1"/>
  <c r="BV282" s="1"/>
  <c r="BW282" s="1"/>
  <c r="AO275"/>
  <c r="AP275" s="1"/>
  <c r="AQ275" s="1"/>
  <c r="AR275" s="1"/>
  <c r="AS275" s="1"/>
  <c r="AA185"/>
  <c r="K280"/>
  <c r="CL280"/>
  <c r="CM280" s="1"/>
  <c r="CN280" s="1"/>
  <c r="CO280" s="1"/>
  <c r="CP280" s="1"/>
  <c r="GV118"/>
  <c r="GV121" s="1"/>
  <c r="AO273"/>
  <c r="AP273" s="1"/>
  <c r="AQ273" s="1"/>
  <c r="AR273" s="1"/>
  <c r="AS273" s="1"/>
  <c r="JC4"/>
  <c r="BM223"/>
  <c r="BN223" s="1"/>
  <c r="BO223" s="1"/>
  <c r="BP223" s="1"/>
  <c r="BQ223" s="1"/>
  <c r="BH223"/>
  <c r="BI223" s="1"/>
  <c r="BJ223" s="1"/>
  <c r="BK223" s="1"/>
  <c r="BL223" s="1"/>
  <c r="AH185"/>
  <c r="AH193" s="1"/>
  <c r="AH260" s="1"/>
  <c r="BA185"/>
  <c r="BA193" s="1"/>
  <c r="CB223"/>
  <c r="BB223"/>
  <c r="BC223" s="1"/>
  <c r="BD223" s="1"/>
  <c r="BE223" s="1"/>
  <c r="BF223" s="1"/>
  <c r="HC185"/>
  <c r="HC193" s="1"/>
  <c r="AO280"/>
  <c r="AP280" s="1"/>
  <c r="AQ280" s="1"/>
  <c r="AR280" s="1"/>
  <c r="AS280" s="1"/>
  <c r="EB129"/>
  <c r="EB126" s="1"/>
  <c r="EB135" s="1"/>
  <c r="EB280" s="1"/>
  <c r="HC4"/>
  <c r="HC48" s="1"/>
  <c r="EA140"/>
  <c r="EA193" s="1"/>
  <c r="DC53"/>
  <c r="DC107" s="1"/>
  <c r="DC109" s="1"/>
  <c r="DI109" s="1"/>
  <c r="DO109" s="1"/>
  <c r="DP109" s="1"/>
  <c r="DQ109" s="1"/>
  <c r="DR109" s="1"/>
  <c r="DS109" s="1"/>
  <c r="DT109" s="1"/>
  <c r="FX140"/>
  <c r="FX193" s="1"/>
  <c r="EB53"/>
  <c r="EB107" s="1"/>
  <c r="AA48"/>
  <c r="AA262" s="1"/>
  <c r="AI123"/>
  <c r="AJ123" s="1"/>
  <c r="AK123" s="1"/>
  <c r="AL123" s="1"/>
  <c r="AM123" s="1"/>
  <c r="P195"/>
  <c r="Q195" s="1"/>
  <c r="R195" s="1"/>
  <c r="S195" s="1"/>
  <c r="T195" s="1"/>
  <c r="AB48"/>
  <c r="AB50" s="1"/>
  <c r="K266"/>
  <c r="L266" s="1"/>
  <c r="M266" s="1"/>
  <c r="N266" s="1"/>
  <c r="P262"/>
  <c r="Q262" s="1"/>
  <c r="R262" s="1"/>
  <c r="S262" s="1"/>
  <c r="T262" s="1"/>
  <c r="V195"/>
  <c r="W195" s="1"/>
  <c r="X195" s="1"/>
  <c r="Y195" s="1"/>
  <c r="Z195" s="1"/>
  <c r="P280"/>
  <c r="Q280" s="1"/>
  <c r="R280" s="1"/>
  <c r="S280" s="1"/>
  <c r="T280" s="1"/>
  <c r="AA223"/>
  <c r="V282"/>
  <c r="W282" s="1"/>
  <c r="X282" s="1"/>
  <c r="Y282" s="1"/>
  <c r="Z282" s="1"/>
  <c r="X137"/>
  <c r="Y137" s="1"/>
  <c r="Z137" s="1"/>
  <c r="P109"/>
  <c r="Q109" s="1"/>
  <c r="R109" s="1"/>
  <c r="S109" s="1"/>
  <c r="T109" s="1"/>
  <c r="JD53"/>
  <c r="JD107" s="1"/>
  <c r="JD4"/>
  <c r="JD48" s="1"/>
  <c r="AA280"/>
  <c r="V280"/>
  <c r="W280" s="1"/>
  <c r="X280" s="1"/>
  <c r="Y280" s="1"/>
  <c r="Z280" s="1"/>
  <c r="EA137"/>
  <c r="DV137"/>
  <c r="DW137" s="1"/>
  <c r="DX137" s="1"/>
  <c r="DY137" s="1"/>
  <c r="DZ137" s="1"/>
  <c r="FC282"/>
  <c r="EI282"/>
  <c r="EJ282" s="1"/>
  <c r="EK282" s="1"/>
  <c r="EL282" s="1"/>
  <c r="EM282" s="1"/>
  <c r="AB140"/>
  <c r="AB193" s="1"/>
  <c r="EB140"/>
  <c r="EB193" s="1"/>
  <c r="GE48"/>
  <c r="AO282"/>
  <c r="AP282" s="1"/>
  <c r="AQ282" s="1"/>
  <c r="AR282" s="1"/>
  <c r="AS282" s="1"/>
  <c r="DP282"/>
  <c r="DQ282" s="1"/>
  <c r="DR282" s="1"/>
  <c r="DS282" s="1"/>
  <c r="DT282" s="1"/>
  <c r="JC53"/>
  <c r="JC107" s="1"/>
  <c r="AH264"/>
  <c r="AN264" s="1"/>
  <c r="AO264" s="1"/>
  <c r="AP264" s="1"/>
  <c r="AQ264" s="1"/>
  <c r="AR264" s="1"/>
  <c r="AS264" s="1"/>
  <c r="AC264"/>
  <c r="AD264" s="1"/>
  <c r="AE264" s="1"/>
  <c r="AF264" s="1"/>
  <c r="AG264" s="1"/>
  <c r="U258"/>
  <c r="AO268"/>
  <c r="AP268" s="1"/>
  <c r="AQ268" s="1"/>
  <c r="AR268" s="1"/>
  <c r="AS268" s="1"/>
  <c r="AN258"/>
  <c r="HD126"/>
  <c r="HD135" s="1"/>
  <c r="AO123"/>
  <c r="AP123" s="1"/>
  <c r="AQ123" s="1"/>
  <c r="AR123" s="1"/>
  <c r="AS123" s="1"/>
  <c r="CG123"/>
  <c r="CH123" s="1"/>
  <c r="CI123" s="1"/>
  <c r="CJ123" s="1"/>
  <c r="AZ123"/>
  <c r="AU123"/>
  <c r="AV123" s="1"/>
  <c r="AW123" s="1"/>
  <c r="AX123" s="1"/>
  <c r="AY123" s="1"/>
  <c r="CC123"/>
  <c r="CD123" s="1"/>
  <c r="CE123" s="1"/>
  <c r="DP280"/>
  <c r="DQ280" s="1"/>
  <c r="DR280" s="1"/>
  <c r="DS280" s="1"/>
  <c r="DT280" s="1"/>
  <c r="BX280"/>
  <c r="BS280"/>
  <c r="BT280" s="1"/>
  <c r="BU280" s="1"/>
  <c r="BV280" s="1"/>
  <c r="BW280" s="1"/>
  <c r="AN137"/>
  <c r="AI137"/>
  <c r="AJ137" s="1"/>
  <c r="AK137" s="1"/>
  <c r="AL137" s="1"/>
  <c r="AM137" s="1"/>
  <c r="AZ280"/>
  <c r="AU280"/>
  <c r="AV280" s="1"/>
  <c r="AW280" s="1"/>
  <c r="AX280" s="1"/>
  <c r="AY280" s="1"/>
  <c r="CW280"/>
  <c r="CR280"/>
  <c r="CS280" s="1"/>
  <c r="CT280" s="1"/>
  <c r="CU280" s="1"/>
  <c r="CV280" s="1"/>
  <c r="BN280"/>
  <c r="BO280" s="1"/>
  <c r="BP280" s="1"/>
  <c r="BQ280" s="1"/>
  <c r="AI209"/>
  <c r="AJ209" s="1"/>
  <c r="AK209" s="1"/>
  <c r="AL209" s="1"/>
  <c r="AM209" s="1"/>
  <c r="HJ209"/>
  <c r="HK209" s="1"/>
  <c r="HL209" s="1"/>
  <c r="HM209" s="1"/>
  <c r="HN209" s="1"/>
  <c r="HO209"/>
  <c r="AT209"/>
  <c r="AO209"/>
  <c r="AP209" s="1"/>
  <c r="AQ209" s="1"/>
  <c r="AR209" s="1"/>
  <c r="AS209" s="1"/>
  <c r="P275"/>
  <c r="Q275" s="1"/>
  <c r="R275" s="1"/>
  <c r="S275" s="1"/>
  <c r="T275" s="1"/>
  <c r="DV282"/>
  <c r="DW282" s="1"/>
  <c r="DX282" s="1"/>
  <c r="DY282" s="1"/>
  <c r="DZ282" s="1"/>
  <c r="EA282"/>
  <c r="ET282"/>
  <c r="EO282"/>
  <c r="EP282" s="1"/>
  <c r="EQ282" s="1"/>
  <c r="ER282" s="1"/>
  <c r="ES282" s="1"/>
  <c r="AU282"/>
  <c r="AV282" s="1"/>
  <c r="AW282" s="1"/>
  <c r="AX282" s="1"/>
  <c r="AY282" s="1"/>
  <c r="AZ282"/>
  <c r="DB282"/>
  <c r="CX282"/>
  <c r="ET275"/>
  <c r="EU275" s="1"/>
  <c r="EV275" s="1"/>
  <c r="EW275" s="1"/>
  <c r="EX275" s="1"/>
  <c r="EY275" s="1"/>
  <c r="EZ275" s="1"/>
  <c r="FA275" s="1"/>
  <c r="BS275"/>
  <c r="BT275" s="1"/>
  <c r="BU275" s="1"/>
  <c r="BV275" s="1"/>
  <c r="BW275" s="1"/>
  <c r="CR275"/>
  <c r="CS275" s="1"/>
  <c r="CT275" s="1"/>
  <c r="CU275" s="1"/>
  <c r="CV275" s="1"/>
  <c r="P273"/>
  <c r="Q273" s="1"/>
  <c r="R273" s="1"/>
  <c r="S273" s="1"/>
  <c r="T273" s="1"/>
  <c r="BN273"/>
  <c r="BO273" s="1"/>
  <c r="BP273" s="1"/>
  <c r="BQ273" s="1"/>
  <c r="AU275"/>
  <c r="AV275" s="1"/>
  <c r="AW275" s="1"/>
  <c r="AX275" s="1"/>
  <c r="AY275" s="1"/>
  <c r="DP275"/>
  <c r="DQ275" s="1"/>
  <c r="P266"/>
  <c r="Q266" s="1"/>
  <c r="R266" s="1"/>
  <c r="S266" s="1"/>
  <c r="T266" s="1"/>
  <c r="AU273"/>
  <c r="AV273" s="1"/>
  <c r="AW273" s="1"/>
  <c r="AX273" s="1"/>
  <c r="AY273" s="1"/>
  <c r="AU268"/>
  <c r="AV268" s="1"/>
  <c r="AW268" s="1"/>
  <c r="AX268" s="1"/>
  <c r="AY268" s="1"/>
  <c r="V275"/>
  <c r="W275" s="1"/>
  <c r="X275" s="1"/>
  <c r="Y275" s="1"/>
  <c r="Z275" s="1"/>
  <c r="AA275"/>
  <c r="DB275"/>
  <c r="CX275"/>
  <c r="CB264"/>
  <c r="BG264"/>
  <c r="BB264"/>
  <c r="BC264" s="1"/>
  <c r="BD264" s="1"/>
  <c r="BE264" s="1"/>
  <c r="BF264" s="1"/>
  <c r="DV275"/>
  <c r="DW275" s="1"/>
  <c r="DX275" s="1"/>
  <c r="DY275" s="1"/>
  <c r="DZ275" s="1"/>
  <c r="EA275"/>
  <c r="AA273"/>
  <c r="V273"/>
  <c r="W273" s="1"/>
  <c r="X273" s="1"/>
  <c r="Y273" s="1"/>
  <c r="Z273" s="1"/>
  <c r="BS273"/>
  <c r="BT273" s="1"/>
  <c r="BU273" s="1"/>
  <c r="BV273" s="1"/>
  <c r="BW273" s="1"/>
  <c r="JC48" l="1"/>
  <c r="JC260" s="1"/>
  <c r="JD260"/>
  <c r="HD260"/>
  <c r="HC260"/>
  <c r="FG282"/>
  <c r="GE282"/>
  <c r="FX260"/>
  <c r="GE260"/>
  <c r="CY275"/>
  <c r="CZ275" s="1"/>
  <c r="DA275" s="1"/>
  <c r="CY282"/>
  <c r="CZ282" s="1"/>
  <c r="DA282" s="1"/>
  <c r="EA260"/>
  <c r="EB137"/>
  <c r="EC137" s="1"/>
  <c r="ED137" s="1"/>
  <c r="EE137" s="1"/>
  <c r="EF137" s="1"/>
  <c r="EG137" s="1"/>
  <c r="EA280"/>
  <c r="EB109"/>
  <c r="FB275"/>
  <c r="EB260"/>
  <c r="CA280"/>
  <c r="BY280"/>
  <c r="BZ280" s="1"/>
  <c r="BA4"/>
  <c r="BA48" s="1"/>
  <c r="AA193"/>
  <c r="AA260" s="1"/>
  <c r="BA258"/>
  <c r="CB258" s="1"/>
  <c r="CF258" s="1"/>
  <c r="CG258" s="1"/>
  <c r="CH258" s="1"/>
  <c r="CI258" s="1"/>
  <c r="CJ258" s="1"/>
  <c r="BG268"/>
  <c r="BH268" s="1"/>
  <c r="BI268" s="1"/>
  <c r="BJ268" s="1"/>
  <c r="BK268" s="1"/>
  <c r="BL268" s="1"/>
  <c r="CB268"/>
  <c r="CF268" s="1"/>
  <c r="CK268" s="1"/>
  <c r="CL268" s="1"/>
  <c r="CM268" s="1"/>
  <c r="CN268" s="1"/>
  <c r="CO268" s="1"/>
  <c r="CP268" s="1"/>
  <c r="AZ268"/>
  <c r="AB262"/>
  <c r="BR223"/>
  <c r="BS223" s="1"/>
  <c r="BT223" s="1"/>
  <c r="BU223" s="1"/>
  <c r="BV223" s="1"/>
  <c r="BW223" s="1"/>
  <c r="DU109"/>
  <c r="DV109" s="1"/>
  <c r="DW109" s="1"/>
  <c r="DX109" s="1"/>
  <c r="DY109" s="1"/>
  <c r="DZ109" s="1"/>
  <c r="DD109"/>
  <c r="DE109" s="1"/>
  <c r="DF109" s="1"/>
  <c r="DG109" s="1"/>
  <c r="DH109" s="1"/>
  <c r="M280"/>
  <c r="N280" s="1"/>
  <c r="L280"/>
  <c r="FB260"/>
  <c r="DJ109"/>
  <c r="DK109" s="1"/>
  <c r="DL109" s="1"/>
  <c r="DM109" s="1"/>
  <c r="DN109" s="1"/>
  <c r="BB268"/>
  <c r="BC268" s="1"/>
  <c r="BD268" s="1"/>
  <c r="BE268" s="1"/>
  <c r="BF268" s="1"/>
  <c r="CF223"/>
  <c r="CC223"/>
  <c r="CD223" s="1"/>
  <c r="CE223" s="1"/>
  <c r="DC223"/>
  <c r="DC260"/>
  <c r="AA50"/>
  <c r="AB195"/>
  <c r="AB260"/>
  <c r="AB266"/>
  <c r="FD282"/>
  <c r="FE282" s="1"/>
  <c r="FF282" s="1"/>
  <c r="V109"/>
  <c r="W109" s="1"/>
  <c r="X109" s="1"/>
  <c r="Y109" s="1"/>
  <c r="Z109" s="1"/>
  <c r="AA109"/>
  <c r="AC50"/>
  <c r="AD50" s="1"/>
  <c r="AE50" s="1"/>
  <c r="AF50" s="1"/>
  <c r="AG50" s="1"/>
  <c r="AH50"/>
  <c r="AT264"/>
  <c r="AZ264" s="1"/>
  <c r="AI264"/>
  <c r="AJ264" s="1"/>
  <c r="AK264" s="1"/>
  <c r="AL264" s="1"/>
  <c r="AM264" s="1"/>
  <c r="V258"/>
  <c r="W258" s="1"/>
  <c r="X258" s="1"/>
  <c r="Y258" s="1"/>
  <c r="Z258" s="1"/>
  <c r="AA258"/>
  <c r="AT258"/>
  <c r="AO258"/>
  <c r="AP258" s="1"/>
  <c r="AQ258" s="1"/>
  <c r="AR258" s="1"/>
  <c r="AS258" s="1"/>
  <c r="CX280"/>
  <c r="DB280"/>
  <c r="AT137"/>
  <c r="AO137"/>
  <c r="AP137" s="1"/>
  <c r="AQ137" s="1"/>
  <c r="AR137" s="1"/>
  <c r="AS137" s="1"/>
  <c r="EH280"/>
  <c r="FC280"/>
  <c r="EC280"/>
  <c r="ED280" s="1"/>
  <c r="EE280" s="1"/>
  <c r="EF280" s="1"/>
  <c r="EG280" s="1"/>
  <c r="AZ209"/>
  <c r="AU209"/>
  <c r="AV209" s="1"/>
  <c r="AW209" s="1"/>
  <c r="AX209" s="1"/>
  <c r="AY209" s="1"/>
  <c r="HU209"/>
  <c r="HP209"/>
  <c r="HQ209" s="1"/>
  <c r="HR209" s="1"/>
  <c r="HS209" s="1"/>
  <c r="HT209" s="1"/>
  <c r="FB282"/>
  <c r="EU282"/>
  <c r="EV282" s="1"/>
  <c r="EW282" s="1"/>
  <c r="EX282" s="1"/>
  <c r="EY282" s="1"/>
  <c r="EZ282" s="1"/>
  <c r="FA282" s="1"/>
  <c r="CF264"/>
  <c r="DC264"/>
  <c r="CC264"/>
  <c r="CD264" s="1"/>
  <c r="CE264" s="1"/>
  <c r="BM264"/>
  <c r="BH264"/>
  <c r="BI264" s="1"/>
  <c r="BJ264" s="1"/>
  <c r="BK264" s="1"/>
  <c r="BL264" s="1"/>
  <c r="FG280" l="1"/>
  <c r="GE280"/>
  <c r="FM282"/>
  <c r="FH282"/>
  <c r="FI282" s="1"/>
  <c r="FJ282" s="1"/>
  <c r="FK282" s="1"/>
  <c r="FL282" s="1"/>
  <c r="CY280"/>
  <c r="CZ280" s="1"/>
  <c r="DA280" s="1"/>
  <c r="EC109"/>
  <c r="ED109" s="1"/>
  <c r="EE109" s="1"/>
  <c r="EF109" s="1"/>
  <c r="EG109" s="1"/>
  <c r="FC109"/>
  <c r="GE109" s="1"/>
  <c r="EH137"/>
  <c r="EI137" s="1"/>
  <c r="EJ137" s="1"/>
  <c r="EK137" s="1"/>
  <c r="EL137" s="1"/>
  <c r="EM137" s="1"/>
  <c r="FC137"/>
  <c r="GE137" s="1"/>
  <c r="EH109"/>
  <c r="EI109" s="1"/>
  <c r="EJ109" s="1"/>
  <c r="EK109" s="1"/>
  <c r="EL109" s="1"/>
  <c r="EM109" s="1"/>
  <c r="FD109"/>
  <c r="FE109" s="1"/>
  <c r="FF109" s="1"/>
  <c r="CQ268"/>
  <c r="CW268" s="1"/>
  <c r="BM268"/>
  <c r="BN268" s="1"/>
  <c r="BO268" s="1"/>
  <c r="BP268" s="1"/>
  <c r="BQ268" s="1"/>
  <c r="CC268"/>
  <c r="CD268" s="1"/>
  <c r="CE268" s="1"/>
  <c r="BB258"/>
  <c r="BC258" s="1"/>
  <c r="BD258" s="1"/>
  <c r="BE258" s="1"/>
  <c r="BF258" s="1"/>
  <c r="BX223"/>
  <c r="BA260"/>
  <c r="BA50"/>
  <c r="BB50" s="1"/>
  <c r="BC50" s="1"/>
  <c r="BD50" s="1"/>
  <c r="BE50" s="1"/>
  <c r="BF50" s="1"/>
  <c r="BA262"/>
  <c r="CB262" s="1"/>
  <c r="AA266"/>
  <c r="AA195"/>
  <c r="CG268"/>
  <c r="CH268" s="1"/>
  <c r="CI268" s="1"/>
  <c r="CJ268" s="1"/>
  <c r="CK258"/>
  <c r="CQ258" s="1"/>
  <c r="CC258"/>
  <c r="CD258" s="1"/>
  <c r="CE258" s="1"/>
  <c r="DC268"/>
  <c r="DI268" s="1"/>
  <c r="DO268" s="1"/>
  <c r="BG258"/>
  <c r="DC258"/>
  <c r="EB258" s="1"/>
  <c r="EH258" s="1"/>
  <c r="AH262"/>
  <c r="AN262" s="1"/>
  <c r="EA109"/>
  <c r="AC262"/>
  <c r="AD262" s="1"/>
  <c r="AE262" s="1"/>
  <c r="AF262" s="1"/>
  <c r="AG262" s="1"/>
  <c r="AU264"/>
  <c r="AV264" s="1"/>
  <c r="AW264" s="1"/>
  <c r="AX264" s="1"/>
  <c r="AY264" s="1"/>
  <c r="EB223"/>
  <c r="DI223"/>
  <c r="DD223"/>
  <c r="DE223" s="1"/>
  <c r="DF223" s="1"/>
  <c r="DG223" s="1"/>
  <c r="DH223" s="1"/>
  <c r="CG223"/>
  <c r="CH223" s="1"/>
  <c r="CI223" s="1"/>
  <c r="CJ223" s="1"/>
  <c r="CK223"/>
  <c r="AI50"/>
  <c r="AJ50" s="1"/>
  <c r="AK50" s="1"/>
  <c r="AL50" s="1"/>
  <c r="AM50" s="1"/>
  <c r="AN50"/>
  <c r="GF282"/>
  <c r="GG282" s="1"/>
  <c r="GH282" s="1"/>
  <c r="GI282" s="1"/>
  <c r="GJ282" s="1"/>
  <c r="HD282"/>
  <c r="GK282"/>
  <c r="BA266"/>
  <c r="AC266"/>
  <c r="AD266" s="1"/>
  <c r="AE266" s="1"/>
  <c r="AF266" s="1"/>
  <c r="AG266" s="1"/>
  <c r="AH266"/>
  <c r="AH195"/>
  <c r="AN195" s="1"/>
  <c r="AT195" s="1"/>
  <c r="AC195"/>
  <c r="AD195" s="1"/>
  <c r="AE195" s="1"/>
  <c r="AF195" s="1"/>
  <c r="AG195" s="1"/>
  <c r="BA195"/>
  <c r="BG262"/>
  <c r="AZ258"/>
  <c r="AU258"/>
  <c r="AV258" s="1"/>
  <c r="AW258" s="1"/>
  <c r="AX258" s="1"/>
  <c r="AY258" s="1"/>
  <c r="DJ268"/>
  <c r="DK268" s="1"/>
  <c r="DL268" s="1"/>
  <c r="DM268" s="1"/>
  <c r="DN268" s="1"/>
  <c r="FD280"/>
  <c r="FE280" s="1"/>
  <c r="FF280" s="1"/>
  <c r="FD137"/>
  <c r="FE137" s="1"/>
  <c r="FF137" s="1"/>
  <c r="AU137"/>
  <c r="AV137" s="1"/>
  <c r="AW137" s="1"/>
  <c r="AX137" s="1"/>
  <c r="AY137" s="1"/>
  <c r="AZ137"/>
  <c r="EN280"/>
  <c r="EI280"/>
  <c r="EJ280" s="1"/>
  <c r="EK280" s="1"/>
  <c r="EL280" s="1"/>
  <c r="EM280" s="1"/>
  <c r="EN137"/>
  <c r="HV209"/>
  <c r="HW209" s="1"/>
  <c r="HX209" s="1"/>
  <c r="HY209"/>
  <c r="BR264"/>
  <c r="BN264"/>
  <c r="BO264" s="1"/>
  <c r="BP264" s="1"/>
  <c r="BQ264" s="1"/>
  <c r="CG264"/>
  <c r="CH264" s="1"/>
  <c r="CI264" s="1"/>
  <c r="CJ264" s="1"/>
  <c r="CK264"/>
  <c r="DI264"/>
  <c r="DD264"/>
  <c r="DE264" s="1"/>
  <c r="DF264" s="1"/>
  <c r="DG264" s="1"/>
  <c r="DH264" s="1"/>
  <c r="EB264"/>
  <c r="FM280" l="1"/>
  <c r="FH280"/>
  <c r="FI280" s="1"/>
  <c r="FJ280" s="1"/>
  <c r="FK280" s="1"/>
  <c r="FL280" s="1"/>
  <c r="FN282"/>
  <c r="FO282" s="1"/>
  <c r="FP282" s="1"/>
  <c r="FQ282" s="1"/>
  <c r="FR282"/>
  <c r="FG137"/>
  <c r="EN109"/>
  <c r="EO109" s="1"/>
  <c r="EP109" s="1"/>
  <c r="EQ109" s="1"/>
  <c r="ER109" s="1"/>
  <c r="ES109" s="1"/>
  <c r="FG109"/>
  <c r="FM109" s="1"/>
  <c r="BM258"/>
  <c r="BN258" s="1"/>
  <c r="BO258" s="1"/>
  <c r="BP258" s="1"/>
  <c r="BQ258" s="1"/>
  <c r="BH258"/>
  <c r="BI258" s="1"/>
  <c r="BJ258" s="1"/>
  <c r="BK258" s="1"/>
  <c r="BL258" s="1"/>
  <c r="CR268"/>
  <c r="CS268" s="1"/>
  <c r="CT268" s="1"/>
  <c r="CU268" s="1"/>
  <c r="CV268" s="1"/>
  <c r="CL258"/>
  <c r="CM258" s="1"/>
  <c r="CN258" s="1"/>
  <c r="CO258" s="1"/>
  <c r="CP258" s="1"/>
  <c r="FC258"/>
  <c r="GF109"/>
  <c r="GG109" s="1"/>
  <c r="GH109" s="1"/>
  <c r="GI109" s="1"/>
  <c r="GJ109" s="1"/>
  <c r="AI262"/>
  <c r="AJ262" s="1"/>
  <c r="AK262" s="1"/>
  <c r="AL262" s="1"/>
  <c r="AM262" s="1"/>
  <c r="DD268"/>
  <c r="DE268" s="1"/>
  <c r="DF268" s="1"/>
  <c r="DG268" s="1"/>
  <c r="DH268" s="1"/>
  <c r="EB268"/>
  <c r="DD258"/>
  <c r="DE258" s="1"/>
  <c r="DF258" s="1"/>
  <c r="DG258" s="1"/>
  <c r="DH258" s="1"/>
  <c r="DI258"/>
  <c r="DO258" s="1"/>
  <c r="DU258" s="1"/>
  <c r="BR268"/>
  <c r="EC268"/>
  <c r="ED268" s="1"/>
  <c r="EE268" s="1"/>
  <c r="EF268" s="1"/>
  <c r="EG268" s="1"/>
  <c r="EC258"/>
  <c r="ED258" s="1"/>
  <c r="EE258" s="1"/>
  <c r="EF258" s="1"/>
  <c r="EG258" s="1"/>
  <c r="CA223"/>
  <c r="BY223"/>
  <c r="BZ223" s="1"/>
  <c r="CB50"/>
  <c r="DC50" s="1"/>
  <c r="BG50"/>
  <c r="BM50" s="1"/>
  <c r="BB262"/>
  <c r="BC262" s="1"/>
  <c r="BD262" s="1"/>
  <c r="BE262" s="1"/>
  <c r="BF262" s="1"/>
  <c r="CQ223"/>
  <c r="CL223"/>
  <c r="CM223" s="1"/>
  <c r="CN223" s="1"/>
  <c r="CO223" s="1"/>
  <c r="CP223" s="1"/>
  <c r="FC223"/>
  <c r="EC223"/>
  <c r="ED223" s="1"/>
  <c r="EE223" s="1"/>
  <c r="EF223" s="1"/>
  <c r="EG223" s="1"/>
  <c r="EH223"/>
  <c r="DO223"/>
  <c r="DJ223"/>
  <c r="DK223" s="1"/>
  <c r="DL223" s="1"/>
  <c r="DM223" s="1"/>
  <c r="DN223" s="1"/>
  <c r="DC262"/>
  <c r="CF262"/>
  <c r="CC262"/>
  <c r="CD262" s="1"/>
  <c r="CE262" s="1"/>
  <c r="AN266"/>
  <c r="AI266"/>
  <c r="AJ266" s="1"/>
  <c r="AK266" s="1"/>
  <c r="AL266" s="1"/>
  <c r="AM266" s="1"/>
  <c r="CB266"/>
  <c r="BG266"/>
  <c r="BB266"/>
  <c r="BC266" s="1"/>
  <c r="BD266" s="1"/>
  <c r="BE266" s="1"/>
  <c r="BF266" s="1"/>
  <c r="HI282"/>
  <c r="ID282"/>
  <c r="HE282"/>
  <c r="HF282" s="1"/>
  <c r="HG282" s="1"/>
  <c r="HH282" s="1"/>
  <c r="BH262"/>
  <c r="BI262" s="1"/>
  <c r="BJ262" s="1"/>
  <c r="BK262" s="1"/>
  <c r="BL262" s="1"/>
  <c r="BM262"/>
  <c r="BB195"/>
  <c r="BC195" s="1"/>
  <c r="BD195" s="1"/>
  <c r="BE195" s="1"/>
  <c r="BF195" s="1"/>
  <c r="CB195"/>
  <c r="BG195"/>
  <c r="AI195"/>
  <c r="AJ195" s="1"/>
  <c r="AK195" s="1"/>
  <c r="AL195" s="1"/>
  <c r="AM195" s="1"/>
  <c r="GL282"/>
  <c r="GM282" s="1"/>
  <c r="GN282" s="1"/>
  <c r="GO282" s="1"/>
  <c r="GP282"/>
  <c r="AO262"/>
  <c r="AP262" s="1"/>
  <c r="AQ262" s="1"/>
  <c r="AR262" s="1"/>
  <c r="AS262" s="1"/>
  <c r="AT262"/>
  <c r="AT50"/>
  <c r="AO50"/>
  <c r="AP50" s="1"/>
  <c r="AQ50" s="1"/>
  <c r="AR50" s="1"/>
  <c r="AS50" s="1"/>
  <c r="EI258"/>
  <c r="EJ258" s="1"/>
  <c r="EK258" s="1"/>
  <c r="EL258" s="1"/>
  <c r="EM258" s="1"/>
  <c r="EN258"/>
  <c r="CW258"/>
  <c r="CR258"/>
  <c r="CS258" s="1"/>
  <c r="CT258" s="1"/>
  <c r="CU258" s="1"/>
  <c r="CV258" s="1"/>
  <c r="DU268"/>
  <c r="DP268"/>
  <c r="DQ268" s="1"/>
  <c r="DR268" s="1"/>
  <c r="DS268" s="1"/>
  <c r="DT268" s="1"/>
  <c r="EO137"/>
  <c r="EP137" s="1"/>
  <c r="EQ137" s="1"/>
  <c r="ER137" s="1"/>
  <c r="ES137" s="1"/>
  <c r="ET137"/>
  <c r="EO280"/>
  <c r="EP280" s="1"/>
  <c r="EQ280" s="1"/>
  <c r="ER280" s="1"/>
  <c r="ES280" s="1"/>
  <c r="ET280"/>
  <c r="HD137"/>
  <c r="GK137"/>
  <c r="GF137"/>
  <c r="GG137" s="1"/>
  <c r="GH137" s="1"/>
  <c r="GI137" s="1"/>
  <c r="GJ137" s="1"/>
  <c r="GF280"/>
  <c r="GG280" s="1"/>
  <c r="GH280" s="1"/>
  <c r="GI280" s="1"/>
  <c r="GJ280" s="1"/>
  <c r="GK280"/>
  <c r="HD280"/>
  <c r="FH137"/>
  <c r="FI137" s="1"/>
  <c r="FJ137" s="1"/>
  <c r="FK137" s="1"/>
  <c r="FL137" s="1"/>
  <c r="FM137"/>
  <c r="HZ209"/>
  <c r="IA209" s="1"/>
  <c r="IB209" s="1"/>
  <c r="IC209"/>
  <c r="DB268"/>
  <c r="CX268"/>
  <c r="FC264"/>
  <c r="EH264"/>
  <c r="EC264"/>
  <c r="ED264" s="1"/>
  <c r="EE264" s="1"/>
  <c r="EF264" s="1"/>
  <c r="EG264" s="1"/>
  <c r="DJ264"/>
  <c r="DK264" s="1"/>
  <c r="DL264" s="1"/>
  <c r="DM264" s="1"/>
  <c r="DN264" s="1"/>
  <c r="DO264"/>
  <c r="CQ264"/>
  <c r="CL264"/>
  <c r="CM264" s="1"/>
  <c r="CN264" s="1"/>
  <c r="CO264" s="1"/>
  <c r="CP264" s="1"/>
  <c r="BX264"/>
  <c r="BS264"/>
  <c r="BT264" s="1"/>
  <c r="BU264" s="1"/>
  <c r="BV264" s="1"/>
  <c r="BW264" s="1"/>
  <c r="BR258" l="1"/>
  <c r="FG264"/>
  <c r="GE264"/>
  <c r="FN280"/>
  <c r="FO280" s="1"/>
  <c r="FP280" s="1"/>
  <c r="FQ280" s="1"/>
  <c r="FR280"/>
  <c r="FD223"/>
  <c r="FE223" s="1"/>
  <c r="FF223" s="1"/>
  <c r="FG223"/>
  <c r="GE223"/>
  <c r="FD258"/>
  <c r="FE258" s="1"/>
  <c r="FF258" s="1"/>
  <c r="FG258"/>
  <c r="GE258"/>
  <c r="HD258" s="1"/>
  <c r="FS282"/>
  <c r="FT282" s="1"/>
  <c r="FU282" s="1"/>
  <c r="FV282" s="1"/>
  <c r="FW282" s="1"/>
  <c r="FX282"/>
  <c r="FN109"/>
  <c r="FO109" s="1"/>
  <c r="FP109" s="1"/>
  <c r="FQ109" s="1"/>
  <c r="FR109"/>
  <c r="CY268"/>
  <c r="CZ268" s="1"/>
  <c r="DA268" s="1"/>
  <c r="ET109"/>
  <c r="EU109" s="1"/>
  <c r="EV109" s="1"/>
  <c r="EW109" s="1"/>
  <c r="EX109" s="1"/>
  <c r="EY109" s="1"/>
  <c r="EZ109" s="1"/>
  <c r="FA109" s="1"/>
  <c r="FH109"/>
  <c r="FI109" s="1"/>
  <c r="FJ109" s="1"/>
  <c r="FK109" s="1"/>
  <c r="FL109" s="1"/>
  <c r="DP258"/>
  <c r="DQ258" s="1"/>
  <c r="DR258" s="1"/>
  <c r="DS258" s="1"/>
  <c r="DT258" s="1"/>
  <c r="BH50"/>
  <c r="BI50" s="1"/>
  <c r="BJ50" s="1"/>
  <c r="BK50" s="1"/>
  <c r="BL50" s="1"/>
  <c r="CC50"/>
  <c r="CD50" s="1"/>
  <c r="CE50" s="1"/>
  <c r="GK109"/>
  <c r="GL109" s="1"/>
  <c r="GM109" s="1"/>
  <c r="GN109" s="1"/>
  <c r="GO109" s="1"/>
  <c r="HD109"/>
  <c r="ID109" s="1"/>
  <c r="IE109" s="1"/>
  <c r="IF109" s="1"/>
  <c r="DJ258"/>
  <c r="DK258" s="1"/>
  <c r="DL258" s="1"/>
  <c r="DM258" s="1"/>
  <c r="DN258" s="1"/>
  <c r="EH268"/>
  <c r="FC268"/>
  <c r="BS268"/>
  <c r="BT268" s="1"/>
  <c r="BU268" s="1"/>
  <c r="BV268" s="1"/>
  <c r="BW268" s="1"/>
  <c r="BX268"/>
  <c r="CA264"/>
  <c r="BY264"/>
  <c r="BZ264" s="1"/>
  <c r="CF50"/>
  <c r="CK50" s="1"/>
  <c r="BX258"/>
  <c r="BS258"/>
  <c r="BT258" s="1"/>
  <c r="BU258" s="1"/>
  <c r="BV258" s="1"/>
  <c r="BW258" s="1"/>
  <c r="EI223"/>
  <c r="EJ223" s="1"/>
  <c r="EK223" s="1"/>
  <c r="EL223" s="1"/>
  <c r="EM223" s="1"/>
  <c r="EN223"/>
  <c r="CW223"/>
  <c r="CR223"/>
  <c r="CS223" s="1"/>
  <c r="CT223" s="1"/>
  <c r="CU223" s="1"/>
  <c r="CV223" s="1"/>
  <c r="DP223"/>
  <c r="DQ223" s="1"/>
  <c r="DR223" s="1"/>
  <c r="DS223" s="1"/>
  <c r="DT223" s="1"/>
  <c r="DU223"/>
  <c r="AZ50"/>
  <c r="AU50"/>
  <c r="AV50" s="1"/>
  <c r="AW50" s="1"/>
  <c r="AX50" s="1"/>
  <c r="AY50" s="1"/>
  <c r="DD50"/>
  <c r="DE50" s="1"/>
  <c r="DF50" s="1"/>
  <c r="DG50" s="1"/>
  <c r="DH50" s="1"/>
  <c r="EB50"/>
  <c r="FC50" s="1"/>
  <c r="DI50"/>
  <c r="AZ262"/>
  <c r="AU262"/>
  <c r="AV262" s="1"/>
  <c r="AW262" s="1"/>
  <c r="AX262" s="1"/>
  <c r="AY262" s="1"/>
  <c r="GV282"/>
  <c r="GQ282"/>
  <c r="GR282" s="1"/>
  <c r="GS282" s="1"/>
  <c r="GT282" s="1"/>
  <c r="GU282" s="1"/>
  <c r="BM195"/>
  <c r="BH195"/>
  <c r="BI195" s="1"/>
  <c r="BJ195" s="1"/>
  <c r="BK195" s="1"/>
  <c r="BL195" s="1"/>
  <c r="BN50"/>
  <c r="BO50" s="1"/>
  <c r="BP50" s="1"/>
  <c r="BQ50" s="1"/>
  <c r="BR50"/>
  <c r="HO282"/>
  <c r="HJ282"/>
  <c r="HK282" s="1"/>
  <c r="HL282" s="1"/>
  <c r="HM282" s="1"/>
  <c r="HN282" s="1"/>
  <c r="BM266"/>
  <c r="BH266"/>
  <c r="BI266" s="1"/>
  <c r="BJ266" s="1"/>
  <c r="BK266" s="1"/>
  <c r="BL266" s="1"/>
  <c r="EB262"/>
  <c r="DI262"/>
  <c r="DD262"/>
  <c r="DE262" s="1"/>
  <c r="DF262" s="1"/>
  <c r="DG262" s="1"/>
  <c r="DH262" s="1"/>
  <c r="AO195"/>
  <c r="AP195" s="1"/>
  <c r="AQ195" s="1"/>
  <c r="AR195" s="1"/>
  <c r="AS195" s="1"/>
  <c r="CC195"/>
  <c r="CD195" s="1"/>
  <c r="CE195" s="1"/>
  <c r="CF195"/>
  <c r="DC195"/>
  <c r="BR262"/>
  <c r="BN262"/>
  <c r="BO262" s="1"/>
  <c r="BP262" s="1"/>
  <c r="BQ262" s="1"/>
  <c r="IE282"/>
  <c r="IF282" s="1"/>
  <c r="IG282"/>
  <c r="JD282"/>
  <c r="CC266"/>
  <c r="CD266" s="1"/>
  <c r="CE266" s="1"/>
  <c r="CF266"/>
  <c r="DC266"/>
  <c r="AO266"/>
  <c r="AP266" s="1"/>
  <c r="AQ266" s="1"/>
  <c r="AR266" s="1"/>
  <c r="AS266" s="1"/>
  <c r="AT266"/>
  <c r="CK262"/>
  <c r="CG262"/>
  <c r="CH262" s="1"/>
  <c r="CI262" s="1"/>
  <c r="CJ262" s="1"/>
  <c r="DV268"/>
  <c r="DW268" s="1"/>
  <c r="DX268" s="1"/>
  <c r="DY268" s="1"/>
  <c r="DZ268" s="1"/>
  <c r="EA268"/>
  <c r="DB258"/>
  <c r="CX258"/>
  <c r="CY258" s="1"/>
  <c r="CZ258" s="1"/>
  <c r="DA258" s="1"/>
  <c r="ET258"/>
  <c r="EO258"/>
  <c r="EP258" s="1"/>
  <c r="EQ258" s="1"/>
  <c r="ER258" s="1"/>
  <c r="ES258" s="1"/>
  <c r="DV258"/>
  <c r="DW258" s="1"/>
  <c r="DX258" s="1"/>
  <c r="DY258" s="1"/>
  <c r="DZ258" s="1"/>
  <c r="EA258"/>
  <c r="GP280"/>
  <c r="GL280"/>
  <c r="GM280" s="1"/>
  <c r="GN280" s="1"/>
  <c r="GO280" s="1"/>
  <c r="HI137"/>
  <c r="ID137"/>
  <c r="HE137"/>
  <c r="HF137" s="1"/>
  <c r="HG137" s="1"/>
  <c r="HH137" s="1"/>
  <c r="FR137"/>
  <c r="FN137"/>
  <c r="FO137" s="1"/>
  <c r="FP137" s="1"/>
  <c r="FQ137" s="1"/>
  <c r="HE280"/>
  <c r="HF280" s="1"/>
  <c r="HG280" s="1"/>
  <c r="HH280" s="1"/>
  <c r="HI280"/>
  <c r="ID280"/>
  <c r="GP137"/>
  <c r="GL137"/>
  <c r="GM137" s="1"/>
  <c r="GN137" s="1"/>
  <c r="GO137" s="1"/>
  <c r="FB280"/>
  <c r="EU280"/>
  <c r="EV280" s="1"/>
  <c r="EW280" s="1"/>
  <c r="EX280" s="1"/>
  <c r="EY280" s="1"/>
  <c r="EZ280" s="1"/>
  <c r="FA280" s="1"/>
  <c r="EU137"/>
  <c r="EV137" s="1"/>
  <c r="EW137" s="1"/>
  <c r="EX137" s="1"/>
  <c r="EY137" s="1"/>
  <c r="EZ137" s="1"/>
  <c r="FA137" s="1"/>
  <c r="FB137"/>
  <c r="CR264"/>
  <c r="CS264" s="1"/>
  <c r="CT264" s="1"/>
  <c r="CU264" s="1"/>
  <c r="CV264" s="1"/>
  <c r="CW264"/>
  <c r="DU264"/>
  <c r="DP264"/>
  <c r="DQ264" s="1"/>
  <c r="DR264" s="1"/>
  <c r="DS264" s="1"/>
  <c r="DT264" s="1"/>
  <c r="FD264"/>
  <c r="FE264" s="1"/>
  <c r="FF264" s="1"/>
  <c r="EI264"/>
  <c r="EJ264" s="1"/>
  <c r="EK264" s="1"/>
  <c r="EL264" s="1"/>
  <c r="EM264" s="1"/>
  <c r="EN264"/>
  <c r="FH258" l="1"/>
  <c r="FI258" s="1"/>
  <c r="FJ258" s="1"/>
  <c r="FK258" s="1"/>
  <c r="FL258" s="1"/>
  <c r="FM258"/>
  <c r="FM264"/>
  <c r="FH264"/>
  <c r="FI264" s="1"/>
  <c r="FJ264" s="1"/>
  <c r="FK264" s="1"/>
  <c r="FL264" s="1"/>
  <c r="FG268"/>
  <c r="GE268"/>
  <c r="FH223"/>
  <c r="FI223" s="1"/>
  <c r="FJ223" s="1"/>
  <c r="FK223" s="1"/>
  <c r="FL223" s="1"/>
  <c r="FM223"/>
  <c r="FG50"/>
  <c r="FH50" s="1"/>
  <c r="FI50" s="1"/>
  <c r="FJ50" s="1"/>
  <c r="FK50" s="1"/>
  <c r="FL50" s="1"/>
  <c r="FD50"/>
  <c r="FE50" s="1"/>
  <c r="FF50" s="1"/>
  <c r="GE50"/>
  <c r="FY282"/>
  <c r="FZ282" s="1"/>
  <c r="GA282" s="1"/>
  <c r="GB282" s="1"/>
  <c r="GC282" s="1"/>
  <c r="GD282"/>
  <c r="FS280"/>
  <c r="FT280" s="1"/>
  <c r="FU280" s="1"/>
  <c r="FV280" s="1"/>
  <c r="FW280" s="1"/>
  <c r="FX280"/>
  <c r="FS109"/>
  <c r="FT109" s="1"/>
  <c r="FU109" s="1"/>
  <c r="FV109" s="1"/>
  <c r="FW109" s="1"/>
  <c r="FX109"/>
  <c r="JD109"/>
  <c r="JJ109" s="1"/>
  <c r="JP109" s="1"/>
  <c r="JV109" s="1"/>
  <c r="KC109" s="1"/>
  <c r="FB109"/>
  <c r="IG109"/>
  <c r="IH109" s="1"/>
  <c r="II109" s="1"/>
  <c r="IJ109" s="1"/>
  <c r="IK109" s="1"/>
  <c r="IL109" s="1"/>
  <c r="GF258"/>
  <c r="GG258" s="1"/>
  <c r="GH258" s="1"/>
  <c r="GI258" s="1"/>
  <c r="GJ258" s="1"/>
  <c r="GK258"/>
  <c r="GP258" s="1"/>
  <c r="HE109"/>
  <c r="HF109" s="1"/>
  <c r="HG109" s="1"/>
  <c r="HH109" s="1"/>
  <c r="HI109"/>
  <c r="HO109" s="1"/>
  <c r="HP109" s="1"/>
  <c r="HQ109" s="1"/>
  <c r="HR109" s="1"/>
  <c r="HS109" s="1"/>
  <c r="HT109" s="1"/>
  <c r="GP109"/>
  <c r="EN268"/>
  <c r="EI268"/>
  <c r="EJ268" s="1"/>
  <c r="EK268" s="1"/>
  <c r="EL268" s="1"/>
  <c r="EM268" s="1"/>
  <c r="FD268"/>
  <c r="FE268" s="1"/>
  <c r="FF268" s="1"/>
  <c r="CA268"/>
  <c r="BY268"/>
  <c r="BZ268" s="1"/>
  <c r="CA258"/>
  <c r="BY258"/>
  <c r="BZ258" s="1"/>
  <c r="CG50"/>
  <c r="CH50" s="1"/>
  <c r="CI50" s="1"/>
  <c r="CJ50" s="1"/>
  <c r="EA223"/>
  <c r="DV223"/>
  <c r="DW223" s="1"/>
  <c r="DX223" s="1"/>
  <c r="DY223" s="1"/>
  <c r="DZ223" s="1"/>
  <c r="GK223"/>
  <c r="HD223"/>
  <c r="GF223"/>
  <c r="GG223" s="1"/>
  <c r="GH223" s="1"/>
  <c r="GI223" s="1"/>
  <c r="GJ223" s="1"/>
  <c r="DB223"/>
  <c r="CX223"/>
  <c r="ET223"/>
  <c r="EO223"/>
  <c r="EP223" s="1"/>
  <c r="EQ223" s="1"/>
  <c r="ER223" s="1"/>
  <c r="ES223" s="1"/>
  <c r="AZ266"/>
  <c r="AU266"/>
  <c r="AV266" s="1"/>
  <c r="AW266" s="1"/>
  <c r="AX266" s="1"/>
  <c r="AY266" s="1"/>
  <c r="EB266"/>
  <c r="DD266"/>
  <c r="DE266" s="1"/>
  <c r="DF266" s="1"/>
  <c r="DG266" s="1"/>
  <c r="DH266" s="1"/>
  <c r="DI266"/>
  <c r="IH282"/>
  <c r="II282" s="1"/>
  <c r="IJ282" s="1"/>
  <c r="IK282" s="1"/>
  <c r="IL282" s="1"/>
  <c r="IM282"/>
  <c r="DI195"/>
  <c r="EB195"/>
  <c r="DD195"/>
  <c r="DE195" s="1"/>
  <c r="DF195" s="1"/>
  <c r="DG195" s="1"/>
  <c r="DH195" s="1"/>
  <c r="AZ195"/>
  <c r="AU195"/>
  <c r="AV195" s="1"/>
  <c r="AW195" s="1"/>
  <c r="AX195" s="1"/>
  <c r="AY195" s="1"/>
  <c r="CL50"/>
  <c r="CM50" s="1"/>
  <c r="CN50" s="1"/>
  <c r="CO50" s="1"/>
  <c r="CP50" s="1"/>
  <c r="CQ50"/>
  <c r="DJ262"/>
  <c r="DK262" s="1"/>
  <c r="DL262" s="1"/>
  <c r="DM262" s="1"/>
  <c r="DN262" s="1"/>
  <c r="DO262"/>
  <c r="BS50"/>
  <c r="BT50" s="1"/>
  <c r="BU50" s="1"/>
  <c r="BV50" s="1"/>
  <c r="BW50" s="1"/>
  <c r="BX50"/>
  <c r="DO50"/>
  <c r="DJ50"/>
  <c r="DK50" s="1"/>
  <c r="DL50" s="1"/>
  <c r="DM50" s="1"/>
  <c r="DN50" s="1"/>
  <c r="CL262"/>
  <c r="CM262" s="1"/>
  <c r="CN262" s="1"/>
  <c r="CO262" s="1"/>
  <c r="CP262" s="1"/>
  <c r="CQ262"/>
  <c r="CK266"/>
  <c r="CG266"/>
  <c r="CH266" s="1"/>
  <c r="CI266" s="1"/>
  <c r="CJ266" s="1"/>
  <c r="JE282"/>
  <c r="JF282" s="1"/>
  <c r="JG282" s="1"/>
  <c r="JH282" s="1"/>
  <c r="JI282" s="1"/>
  <c r="KD282"/>
  <c r="JJ282"/>
  <c r="JP282" s="1"/>
  <c r="JV282" s="1"/>
  <c r="KC282" s="1"/>
  <c r="BX262"/>
  <c r="BS262"/>
  <c r="BT262" s="1"/>
  <c r="BU262" s="1"/>
  <c r="BV262" s="1"/>
  <c r="BW262" s="1"/>
  <c r="CG195"/>
  <c r="CH195" s="1"/>
  <c r="CI195" s="1"/>
  <c r="CJ195" s="1"/>
  <c r="CK195"/>
  <c r="FC262"/>
  <c r="EH262"/>
  <c r="EC262"/>
  <c r="ED262" s="1"/>
  <c r="EE262" s="1"/>
  <c r="EF262" s="1"/>
  <c r="EG262" s="1"/>
  <c r="BR266"/>
  <c r="BN266"/>
  <c r="BO266" s="1"/>
  <c r="BP266" s="1"/>
  <c r="BQ266" s="1"/>
  <c r="HP282"/>
  <c r="HQ282" s="1"/>
  <c r="HR282" s="1"/>
  <c r="HS282" s="1"/>
  <c r="HT282" s="1"/>
  <c r="HU282"/>
  <c r="BN195"/>
  <c r="BO195" s="1"/>
  <c r="BP195" s="1"/>
  <c r="BQ195" s="1"/>
  <c r="BR195"/>
  <c r="HC282"/>
  <c r="GW282"/>
  <c r="GX282" s="1"/>
  <c r="GY282" s="1"/>
  <c r="EC50"/>
  <c r="ED50" s="1"/>
  <c r="EE50" s="1"/>
  <c r="EF50" s="1"/>
  <c r="EG50" s="1"/>
  <c r="EH50"/>
  <c r="FB258"/>
  <c r="EU258"/>
  <c r="EV258" s="1"/>
  <c r="EW258" s="1"/>
  <c r="EX258" s="1"/>
  <c r="EY258" s="1"/>
  <c r="EZ258" s="1"/>
  <c r="FA258" s="1"/>
  <c r="ID258"/>
  <c r="HI258"/>
  <c r="HE258"/>
  <c r="HF258" s="1"/>
  <c r="HG258" s="1"/>
  <c r="HH258" s="1"/>
  <c r="GV137"/>
  <c r="GQ137"/>
  <c r="GR137" s="1"/>
  <c r="GS137" s="1"/>
  <c r="GT137" s="1"/>
  <c r="GU137" s="1"/>
  <c r="HO280"/>
  <c r="HJ280"/>
  <c r="HK280" s="1"/>
  <c r="HL280" s="1"/>
  <c r="HM280" s="1"/>
  <c r="HN280" s="1"/>
  <c r="HJ137"/>
  <c r="HK137" s="1"/>
  <c r="HL137" s="1"/>
  <c r="HM137" s="1"/>
  <c r="HN137" s="1"/>
  <c r="HO137"/>
  <c r="GQ280"/>
  <c r="GR280" s="1"/>
  <c r="GS280" s="1"/>
  <c r="GT280" s="1"/>
  <c r="GU280" s="1"/>
  <c r="GV280"/>
  <c r="IG280"/>
  <c r="JD280"/>
  <c r="IE280"/>
  <c r="IF280" s="1"/>
  <c r="FX137"/>
  <c r="FS137"/>
  <c r="FT137" s="1"/>
  <c r="FU137" s="1"/>
  <c r="FV137" s="1"/>
  <c r="FW137" s="1"/>
  <c r="IG137"/>
  <c r="IE137"/>
  <c r="IF137" s="1"/>
  <c r="JD137"/>
  <c r="DV264"/>
  <c r="DW264" s="1"/>
  <c r="DX264" s="1"/>
  <c r="DY264" s="1"/>
  <c r="DZ264" s="1"/>
  <c r="EA264"/>
  <c r="EO264"/>
  <c r="EP264" s="1"/>
  <c r="EQ264" s="1"/>
  <c r="ER264" s="1"/>
  <c r="ES264" s="1"/>
  <c r="ET264"/>
  <c r="HD264"/>
  <c r="GF264"/>
  <c r="GG264" s="1"/>
  <c r="GH264" s="1"/>
  <c r="GI264" s="1"/>
  <c r="GJ264" s="1"/>
  <c r="GK264"/>
  <c r="DB264"/>
  <c r="CX264"/>
  <c r="CY264" s="1"/>
  <c r="GZ282" l="1"/>
  <c r="HA282" s="1"/>
  <c r="HB282" s="1"/>
  <c r="FH268"/>
  <c r="FI268" s="1"/>
  <c r="FJ268" s="1"/>
  <c r="FK268" s="1"/>
  <c r="FL268" s="1"/>
  <c r="FM268"/>
  <c r="FG262"/>
  <c r="GE262"/>
  <c r="FN258"/>
  <c r="FO258" s="1"/>
  <c r="FP258" s="1"/>
  <c r="FQ258" s="1"/>
  <c r="FR258"/>
  <c r="FY280"/>
  <c r="FZ280" s="1"/>
  <c r="GA280" s="1"/>
  <c r="GB280" s="1"/>
  <c r="GC280" s="1"/>
  <c r="GD280"/>
  <c r="FN264"/>
  <c r="FO264" s="1"/>
  <c r="FP264" s="1"/>
  <c r="FQ264" s="1"/>
  <c r="FR264"/>
  <c r="FN223"/>
  <c r="FO223" s="1"/>
  <c r="FP223" s="1"/>
  <c r="FQ223" s="1"/>
  <c r="FR223"/>
  <c r="FY109"/>
  <c r="FZ109" s="1"/>
  <c r="GA109" s="1"/>
  <c r="GB109" s="1"/>
  <c r="GC109" s="1"/>
  <c r="GD109"/>
  <c r="FY137"/>
  <c r="FZ137" s="1"/>
  <c r="GA137" s="1"/>
  <c r="GB137" s="1"/>
  <c r="GC137" s="1"/>
  <c r="GD137"/>
  <c r="CY223"/>
  <c r="CZ223" s="1"/>
  <c r="DA223" s="1"/>
  <c r="IM109"/>
  <c r="IQ109" s="1"/>
  <c r="GL258"/>
  <c r="GM258" s="1"/>
  <c r="GN258" s="1"/>
  <c r="GO258" s="1"/>
  <c r="JE109"/>
  <c r="JF109" s="1"/>
  <c r="JG109" s="1"/>
  <c r="JH109" s="1"/>
  <c r="JI109" s="1"/>
  <c r="KD109"/>
  <c r="LG109" s="1"/>
  <c r="HJ109"/>
  <c r="HK109" s="1"/>
  <c r="HL109" s="1"/>
  <c r="HM109" s="1"/>
  <c r="HN109" s="1"/>
  <c r="HU109"/>
  <c r="HV109" s="1"/>
  <c r="HW109" s="1"/>
  <c r="HX109" s="1"/>
  <c r="GV109"/>
  <c r="GQ109"/>
  <c r="GR109" s="1"/>
  <c r="GS109" s="1"/>
  <c r="GT109" s="1"/>
  <c r="GU109" s="1"/>
  <c r="GK268"/>
  <c r="GF268"/>
  <c r="GG268" s="1"/>
  <c r="GH268" s="1"/>
  <c r="GI268" s="1"/>
  <c r="GJ268" s="1"/>
  <c r="HD268"/>
  <c r="ET268"/>
  <c r="EO268"/>
  <c r="EP268" s="1"/>
  <c r="EQ268" s="1"/>
  <c r="ER268" s="1"/>
  <c r="ES268" s="1"/>
  <c r="CA262"/>
  <c r="BY262"/>
  <c r="BZ262" s="1"/>
  <c r="CA50"/>
  <c r="BY50"/>
  <c r="BZ50" s="1"/>
  <c r="GP223"/>
  <c r="GL223"/>
  <c r="GM223" s="1"/>
  <c r="GN223" s="1"/>
  <c r="GO223" s="1"/>
  <c r="FB223"/>
  <c r="EU223"/>
  <c r="EV223" s="1"/>
  <c r="EW223" s="1"/>
  <c r="EX223" s="1"/>
  <c r="EY223" s="1"/>
  <c r="EZ223" s="1"/>
  <c r="FA223" s="1"/>
  <c r="HE223"/>
  <c r="HF223" s="1"/>
  <c r="HG223" s="1"/>
  <c r="HH223" s="1"/>
  <c r="HI223" s="1"/>
  <c r="ID223"/>
  <c r="BX266"/>
  <c r="BS266"/>
  <c r="BT266" s="1"/>
  <c r="BU266" s="1"/>
  <c r="BV266" s="1"/>
  <c r="BW266" s="1"/>
  <c r="EI262"/>
  <c r="EJ262" s="1"/>
  <c r="EK262" s="1"/>
  <c r="EL262" s="1"/>
  <c r="EM262" s="1"/>
  <c r="EN262"/>
  <c r="CL195"/>
  <c r="CM195" s="1"/>
  <c r="CN195" s="1"/>
  <c r="CO195" s="1"/>
  <c r="CP195" s="1"/>
  <c r="CQ195"/>
  <c r="CL266"/>
  <c r="CM266" s="1"/>
  <c r="CN266" s="1"/>
  <c r="CO266" s="1"/>
  <c r="CP266" s="1"/>
  <c r="CQ266"/>
  <c r="DP50"/>
  <c r="DQ50" s="1"/>
  <c r="DR50" s="1"/>
  <c r="DS50" s="1"/>
  <c r="DT50" s="1"/>
  <c r="DU50"/>
  <c r="EH195"/>
  <c r="FC195"/>
  <c r="GE195" s="1"/>
  <c r="EC195"/>
  <c r="ED195" s="1"/>
  <c r="EE195" s="1"/>
  <c r="EF195" s="1"/>
  <c r="EG195" s="1"/>
  <c r="IQ282"/>
  <c r="IN282"/>
  <c r="IO282" s="1"/>
  <c r="IP282" s="1"/>
  <c r="DO266"/>
  <c r="DJ266"/>
  <c r="DK266" s="1"/>
  <c r="DL266" s="1"/>
  <c r="DM266" s="1"/>
  <c r="DN266" s="1"/>
  <c r="EC266"/>
  <c r="ED266" s="1"/>
  <c r="EE266" s="1"/>
  <c r="EF266" s="1"/>
  <c r="EG266" s="1"/>
  <c r="EH266"/>
  <c r="FC266"/>
  <c r="JK282"/>
  <c r="JL282" s="1"/>
  <c r="JM282" s="1"/>
  <c r="JN282" s="1"/>
  <c r="JO282" s="1"/>
  <c r="JQ282" s="1"/>
  <c r="JR282" s="1"/>
  <c r="JS282" s="1"/>
  <c r="JT282" s="1"/>
  <c r="JU282" s="1"/>
  <c r="JW282" s="1"/>
  <c r="JX282" s="1"/>
  <c r="JY282" s="1"/>
  <c r="JZ282" s="1"/>
  <c r="KB282" s="1"/>
  <c r="JE137"/>
  <c r="JF137" s="1"/>
  <c r="JG137" s="1"/>
  <c r="JH137" s="1"/>
  <c r="JI137" s="1"/>
  <c r="JJ137"/>
  <c r="JP137" s="1"/>
  <c r="JV137" s="1"/>
  <c r="KC137" s="1"/>
  <c r="KD137"/>
  <c r="EN50"/>
  <c r="EI50"/>
  <c r="EJ50" s="1"/>
  <c r="EK50" s="1"/>
  <c r="EL50" s="1"/>
  <c r="EM50" s="1"/>
  <c r="BX195"/>
  <c r="BS195"/>
  <c r="BT195" s="1"/>
  <c r="BU195" s="1"/>
  <c r="BV195" s="1"/>
  <c r="BW195" s="1"/>
  <c r="HY282"/>
  <c r="HV282"/>
  <c r="HW282" s="1"/>
  <c r="HX282" s="1"/>
  <c r="FD262"/>
  <c r="FE262" s="1"/>
  <c r="FF262" s="1"/>
  <c r="LG282"/>
  <c r="KJ282"/>
  <c r="KP282" s="1"/>
  <c r="KV282" s="1"/>
  <c r="LB282" s="1"/>
  <c r="LF282" s="1"/>
  <c r="KE282"/>
  <c r="KF282" s="1"/>
  <c r="KG282" s="1"/>
  <c r="KH282" s="1"/>
  <c r="KI282" s="1"/>
  <c r="CW262"/>
  <c r="CR262"/>
  <c r="CS262" s="1"/>
  <c r="CT262" s="1"/>
  <c r="CU262" s="1"/>
  <c r="CV262" s="1"/>
  <c r="DP262"/>
  <c r="DQ262" s="1"/>
  <c r="DR262" s="1"/>
  <c r="DS262" s="1"/>
  <c r="DT262" s="1"/>
  <c r="DU262"/>
  <c r="CW50"/>
  <c r="CR50"/>
  <c r="CS50" s="1"/>
  <c r="CT50" s="1"/>
  <c r="CU50" s="1"/>
  <c r="CV50" s="1"/>
  <c r="DJ195"/>
  <c r="DK195" s="1"/>
  <c r="DL195" s="1"/>
  <c r="DM195" s="1"/>
  <c r="DN195" s="1"/>
  <c r="DO195"/>
  <c r="JK109"/>
  <c r="JL109" s="1"/>
  <c r="JM109" s="1"/>
  <c r="JN109" s="1"/>
  <c r="JO109" s="1"/>
  <c r="JQ109" s="1"/>
  <c r="JR109" s="1"/>
  <c r="JS109" s="1"/>
  <c r="JT109" s="1"/>
  <c r="JU109" s="1"/>
  <c r="JW109" s="1"/>
  <c r="JX109" s="1"/>
  <c r="JY109" s="1"/>
  <c r="JZ109" s="1"/>
  <c r="KB109" s="1"/>
  <c r="HJ258"/>
  <c r="HK258" s="1"/>
  <c r="HL258" s="1"/>
  <c r="HM258" s="1"/>
  <c r="HN258" s="1"/>
  <c r="HO258"/>
  <c r="GQ258"/>
  <c r="GR258" s="1"/>
  <c r="GS258" s="1"/>
  <c r="GT258" s="1"/>
  <c r="GU258" s="1"/>
  <c r="GV258"/>
  <c r="JD258"/>
  <c r="IG258"/>
  <c r="IE258"/>
  <c r="IF258" s="1"/>
  <c r="IM280"/>
  <c r="IH280"/>
  <c r="II280" s="1"/>
  <c r="IJ280" s="1"/>
  <c r="IK280" s="1"/>
  <c r="IL280" s="1"/>
  <c r="HP280"/>
  <c r="HQ280" s="1"/>
  <c r="HR280" s="1"/>
  <c r="HS280" s="1"/>
  <c r="HT280" s="1"/>
  <c r="HU280"/>
  <c r="GW137"/>
  <c r="GX137" s="1"/>
  <c r="GY137" s="1"/>
  <c r="HC137"/>
  <c r="IH137"/>
  <c r="II137" s="1"/>
  <c r="IJ137" s="1"/>
  <c r="IK137" s="1"/>
  <c r="IL137" s="1"/>
  <c r="IM137"/>
  <c r="JE280"/>
  <c r="JF280" s="1"/>
  <c r="JG280" s="1"/>
  <c r="JH280" s="1"/>
  <c r="JI280" s="1"/>
  <c r="KD280"/>
  <c r="JJ280"/>
  <c r="JP280" s="1"/>
  <c r="JV280" s="1"/>
  <c r="KC280" s="1"/>
  <c r="HC280"/>
  <c r="GW280"/>
  <c r="GX280" s="1"/>
  <c r="GY280" s="1"/>
  <c r="HU137"/>
  <c r="HP137"/>
  <c r="HQ137" s="1"/>
  <c r="HR137" s="1"/>
  <c r="HS137" s="1"/>
  <c r="HT137" s="1"/>
  <c r="GL264"/>
  <c r="GM264" s="1"/>
  <c r="GN264" s="1"/>
  <c r="GO264" s="1"/>
  <c r="GP264"/>
  <c r="HI264"/>
  <c r="HE264"/>
  <c r="HF264" s="1"/>
  <c r="HG264" s="1"/>
  <c r="HH264" s="1"/>
  <c r="ID264"/>
  <c r="EU264"/>
  <c r="EV264" s="1"/>
  <c r="EW264" s="1"/>
  <c r="EX264" s="1"/>
  <c r="EY264" s="1"/>
  <c r="EZ264" s="1"/>
  <c r="FA264" s="1"/>
  <c r="FB264"/>
  <c r="GZ280" l="1"/>
  <c r="HA280" s="1"/>
  <c r="HB280" s="1"/>
  <c r="GZ137"/>
  <c r="HA137" s="1"/>
  <c r="HB137" s="1"/>
  <c r="FS264"/>
  <c r="FT264" s="1"/>
  <c r="FU264" s="1"/>
  <c r="FV264" s="1"/>
  <c r="FW264" s="1"/>
  <c r="FX264"/>
  <c r="FX258"/>
  <c r="FS258"/>
  <c r="FT258" s="1"/>
  <c r="FU258" s="1"/>
  <c r="FV258" s="1"/>
  <c r="FW258" s="1"/>
  <c r="FR268"/>
  <c r="FN268"/>
  <c r="FO268" s="1"/>
  <c r="FP268" s="1"/>
  <c r="FQ268" s="1"/>
  <c r="FH262"/>
  <c r="FI262" s="1"/>
  <c r="FJ262" s="1"/>
  <c r="FK262" s="1"/>
  <c r="FL262" s="1"/>
  <c r="FM262"/>
  <c r="FG266"/>
  <c r="GE266"/>
  <c r="FS223"/>
  <c r="FT223" s="1"/>
  <c r="FU223" s="1"/>
  <c r="FV223" s="1"/>
  <c r="FW223" s="1"/>
  <c r="FX223"/>
  <c r="KJ109"/>
  <c r="KP109" s="1"/>
  <c r="KV109" s="1"/>
  <c r="LB109" s="1"/>
  <c r="LF109" s="1"/>
  <c r="IN109"/>
  <c r="IO109" s="1"/>
  <c r="IP109" s="1"/>
  <c r="HY109"/>
  <c r="HZ109" s="1"/>
  <c r="IA109" s="1"/>
  <c r="IB109" s="1"/>
  <c r="KE109"/>
  <c r="KF109" s="1"/>
  <c r="KG109" s="1"/>
  <c r="KH109" s="1"/>
  <c r="KI109" s="1"/>
  <c r="HC109"/>
  <c r="GW109"/>
  <c r="GX109" s="1"/>
  <c r="GY109" s="1"/>
  <c r="HE268"/>
  <c r="HF268" s="1"/>
  <c r="HG268" s="1"/>
  <c r="HH268" s="1"/>
  <c r="HI268"/>
  <c r="ID268"/>
  <c r="GL268"/>
  <c r="GM268" s="1"/>
  <c r="GN268" s="1"/>
  <c r="GO268" s="1"/>
  <c r="GP268"/>
  <c r="EU268"/>
  <c r="EV268" s="1"/>
  <c r="EW268" s="1"/>
  <c r="EX268" s="1"/>
  <c r="EY268" s="1"/>
  <c r="EZ268" s="1"/>
  <c r="FA268" s="1"/>
  <c r="FB268"/>
  <c r="CA195"/>
  <c r="BY195"/>
  <c r="BZ195" s="1"/>
  <c r="CA266"/>
  <c r="BY266"/>
  <c r="BZ266" s="1"/>
  <c r="HJ223"/>
  <c r="HK223" s="1"/>
  <c r="HL223" s="1"/>
  <c r="HM223" s="1"/>
  <c r="HN223" s="1"/>
  <c r="HO223"/>
  <c r="GQ223"/>
  <c r="GR223" s="1"/>
  <c r="GS223" s="1"/>
  <c r="GT223" s="1"/>
  <c r="GU223" s="1"/>
  <c r="GV223"/>
  <c r="IE223"/>
  <c r="IF223" s="1"/>
  <c r="JD223"/>
  <c r="IG223"/>
  <c r="DU195"/>
  <c r="DP195"/>
  <c r="DQ195" s="1"/>
  <c r="DR195" s="1"/>
  <c r="DS195" s="1"/>
  <c r="DT195" s="1"/>
  <c r="EA262"/>
  <c r="DV262"/>
  <c r="DW262" s="1"/>
  <c r="DX262" s="1"/>
  <c r="DY262" s="1"/>
  <c r="DZ262" s="1"/>
  <c r="KJ137"/>
  <c r="KP137" s="1"/>
  <c r="KV137" s="1"/>
  <c r="LB137" s="1"/>
  <c r="LF137" s="1"/>
  <c r="LG137"/>
  <c r="FD266"/>
  <c r="FE266" s="1"/>
  <c r="FF266" s="1"/>
  <c r="DU266"/>
  <c r="DP266"/>
  <c r="DQ266" s="1"/>
  <c r="DR266" s="1"/>
  <c r="DS266" s="1"/>
  <c r="DT266" s="1"/>
  <c r="IW282"/>
  <c r="IR282"/>
  <c r="IS282" s="1"/>
  <c r="IT282" s="1"/>
  <c r="IU282" s="1"/>
  <c r="IV282" s="1"/>
  <c r="FG195"/>
  <c r="FM195" s="1"/>
  <c r="FD195"/>
  <c r="FE195" s="1"/>
  <c r="FF195" s="1"/>
  <c r="EA50"/>
  <c r="DV50"/>
  <c r="DW50" s="1"/>
  <c r="DX50" s="1"/>
  <c r="DY50" s="1"/>
  <c r="DZ50" s="1"/>
  <c r="CR266"/>
  <c r="CS266" s="1"/>
  <c r="CT266" s="1"/>
  <c r="CU266" s="1"/>
  <c r="CV266" s="1"/>
  <c r="CW266"/>
  <c r="CW195"/>
  <c r="CR195"/>
  <c r="CS195" s="1"/>
  <c r="CT195" s="1"/>
  <c r="CU195" s="1"/>
  <c r="CV195" s="1"/>
  <c r="EO262"/>
  <c r="EP262" s="1"/>
  <c r="EQ262" s="1"/>
  <c r="ER262" s="1"/>
  <c r="ES262" s="1"/>
  <c r="ET262"/>
  <c r="GK50"/>
  <c r="GF50"/>
  <c r="GG50" s="1"/>
  <c r="GH50" s="1"/>
  <c r="GI50" s="1"/>
  <c r="GJ50" s="1"/>
  <c r="HD50"/>
  <c r="FM50"/>
  <c r="KK282"/>
  <c r="KL282" s="1"/>
  <c r="KM282" s="1"/>
  <c r="KN282" s="1"/>
  <c r="KO282" s="1"/>
  <c r="KQ282" s="1"/>
  <c r="KR282" s="1"/>
  <c r="KS282" s="1"/>
  <c r="KT282" s="1"/>
  <c r="KU282" s="1"/>
  <c r="KW282" s="1"/>
  <c r="KX282" s="1"/>
  <c r="KY282" s="1"/>
  <c r="KZ282" s="1"/>
  <c r="LA282" s="1"/>
  <c r="LC282" s="1"/>
  <c r="LD282" s="1"/>
  <c r="LE282" s="1"/>
  <c r="JK137"/>
  <c r="JL137" s="1"/>
  <c r="JM137" s="1"/>
  <c r="JN137" s="1"/>
  <c r="JO137" s="1"/>
  <c r="JQ137" s="1"/>
  <c r="JR137" s="1"/>
  <c r="JS137" s="1"/>
  <c r="JT137" s="1"/>
  <c r="JU137" s="1"/>
  <c r="JW137" s="1"/>
  <c r="JX137" s="1"/>
  <c r="JY137" s="1"/>
  <c r="JZ137" s="1"/>
  <c r="KB137" s="1"/>
  <c r="KE137" s="1"/>
  <c r="KF137" s="1"/>
  <c r="KG137" s="1"/>
  <c r="KH137" s="1"/>
  <c r="KI137" s="1"/>
  <c r="DB50"/>
  <c r="CX50"/>
  <c r="CX262"/>
  <c r="DB262"/>
  <c r="GF262"/>
  <c r="GG262" s="1"/>
  <c r="GH262" s="1"/>
  <c r="GI262" s="1"/>
  <c r="GJ262" s="1"/>
  <c r="GK262"/>
  <c r="HD262"/>
  <c r="IC282"/>
  <c r="HZ282"/>
  <c r="IA282" s="1"/>
  <c r="IB282" s="1"/>
  <c r="ET50"/>
  <c r="EO50"/>
  <c r="EP50" s="1"/>
  <c r="EQ50" s="1"/>
  <c r="ER50" s="1"/>
  <c r="ES50" s="1"/>
  <c r="EI266"/>
  <c r="EJ266" s="1"/>
  <c r="EK266" s="1"/>
  <c r="EL266" s="1"/>
  <c r="EM266" s="1"/>
  <c r="EN266"/>
  <c r="EN195"/>
  <c r="EI195"/>
  <c r="EJ195" s="1"/>
  <c r="EK195" s="1"/>
  <c r="EL195" s="1"/>
  <c r="EM195" s="1"/>
  <c r="JE258"/>
  <c r="JF258" s="1"/>
  <c r="JG258" s="1"/>
  <c r="JH258" s="1"/>
  <c r="JI258" s="1"/>
  <c r="JJ258"/>
  <c r="JP258" s="1"/>
  <c r="JV258" s="1"/>
  <c r="KC258" s="1"/>
  <c r="KD258"/>
  <c r="IM258"/>
  <c r="IH258"/>
  <c r="II258" s="1"/>
  <c r="IJ258" s="1"/>
  <c r="IK258" s="1"/>
  <c r="IL258" s="1"/>
  <c r="GW258"/>
  <c r="GX258" s="1"/>
  <c r="GY258" s="1"/>
  <c r="HC258"/>
  <c r="HU258"/>
  <c r="HP258"/>
  <c r="HQ258" s="1"/>
  <c r="HR258" s="1"/>
  <c r="HS258" s="1"/>
  <c r="HT258" s="1"/>
  <c r="IR109"/>
  <c r="IS109" s="1"/>
  <c r="IT109" s="1"/>
  <c r="IU109" s="1"/>
  <c r="IV109" s="1"/>
  <c r="IW109"/>
  <c r="IQ280"/>
  <c r="IN280"/>
  <c r="IO280" s="1"/>
  <c r="IP280" s="1"/>
  <c r="JK280"/>
  <c r="JL280" s="1"/>
  <c r="JM280" s="1"/>
  <c r="JN280" s="1"/>
  <c r="JO280" s="1"/>
  <c r="JQ280" s="1"/>
  <c r="JR280" s="1"/>
  <c r="JS280" s="1"/>
  <c r="JT280" s="1"/>
  <c r="JU280" s="1"/>
  <c r="JW280" s="1"/>
  <c r="JX280" s="1"/>
  <c r="JY280" s="1"/>
  <c r="JZ280" s="1"/>
  <c r="KB280" s="1"/>
  <c r="KE280" s="1"/>
  <c r="KF280" s="1"/>
  <c r="KG280" s="1"/>
  <c r="KH280" s="1"/>
  <c r="KI280" s="1"/>
  <c r="HV137"/>
  <c r="HW137" s="1"/>
  <c r="HX137" s="1"/>
  <c r="HY137"/>
  <c r="KJ280"/>
  <c r="LG280"/>
  <c r="IQ137"/>
  <c r="IN137"/>
  <c r="IO137" s="1"/>
  <c r="HV280"/>
  <c r="HW280" s="1"/>
  <c r="HX280" s="1"/>
  <c r="HY280"/>
  <c r="IG264"/>
  <c r="JD264"/>
  <c r="IE264"/>
  <c r="IF264" s="1"/>
  <c r="HJ264"/>
  <c r="HK264" s="1"/>
  <c r="HL264" s="1"/>
  <c r="HM264" s="1"/>
  <c r="HN264" s="1"/>
  <c r="HO264"/>
  <c r="GV264"/>
  <c r="GQ264"/>
  <c r="GR264" s="1"/>
  <c r="GS264" s="1"/>
  <c r="GT264" s="1"/>
  <c r="GU264" s="1"/>
  <c r="GZ109" l="1"/>
  <c r="HA109" s="1"/>
  <c r="HB109" s="1"/>
  <c r="GZ258"/>
  <c r="HA258" s="1"/>
  <c r="HB258" s="1"/>
  <c r="FH266"/>
  <c r="FI266" s="1"/>
  <c r="FJ266" s="1"/>
  <c r="FK266" s="1"/>
  <c r="FL266" s="1"/>
  <c r="FM266"/>
  <c r="FX268"/>
  <c r="FS268"/>
  <c r="FT268" s="1"/>
  <c r="FU268" s="1"/>
  <c r="FV268" s="1"/>
  <c r="FW268" s="1"/>
  <c r="GD264"/>
  <c r="FY264"/>
  <c r="FZ264" s="1"/>
  <c r="GA264" s="1"/>
  <c r="GB264" s="1"/>
  <c r="GC264" s="1"/>
  <c r="FY258"/>
  <c r="FZ258" s="1"/>
  <c r="GA258" s="1"/>
  <c r="GB258" s="1"/>
  <c r="GC258" s="1"/>
  <c r="GD258"/>
  <c r="FY223"/>
  <c r="FZ223" s="1"/>
  <c r="GA223" s="1"/>
  <c r="GB223" s="1"/>
  <c r="GC223" s="1"/>
  <c r="GD223"/>
  <c r="FR262"/>
  <c r="FN262"/>
  <c r="FO262" s="1"/>
  <c r="FP262" s="1"/>
  <c r="FQ262" s="1"/>
  <c r="KK109"/>
  <c r="KL109" s="1"/>
  <c r="KM109" s="1"/>
  <c r="KN109" s="1"/>
  <c r="KO109" s="1"/>
  <c r="KQ109" s="1"/>
  <c r="KR109" s="1"/>
  <c r="KS109" s="1"/>
  <c r="KT109" s="1"/>
  <c r="KU109" s="1"/>
  <c r="KW109" s="1"/>
  <c r="KX109" s="1"/>
  <c r="KY109" s="1"/>
  <c r="KZ109" s="1"/>
  <c r="LA109" s="1"/>
  <c r="LC109" s="1"/>
  <c r="LD109" s="1"/>
  <c r="LE109" s="1"/>
  <c r="CY262"/>
  <c r="CZ262" s="1"/>
  <c r="DA262" s="1"/>
  <c r="KK137"/>
  <c r="KL137" s="1"/>
  <c r="KM137" s="1"/>
  <c r="KN137" s="1"/>
  <c r="KO137" s="1"/>
  <c r="KQ137" s="1"/>
  <c r="KR137" s="1"/>
  <c r="KS137" s="1"/>
  <c r="KT137" s="1"/>
  <c r="KU137" s="1"/>
  <c r="KW137" s="1"/>
  <c r="KX137" s="1"/>
  <c r="KY137" s="1"/>
  <c r="KZ137" s="1"/>
  <c r="LA137" s="1"/>
  <c r="LC137" s="1"/>
  <c r="LD137" s="1"/>
  <c r="LE137" s="1"/>
  <c r="CY50"/>
  <c r="CZ50" s="1"/>
  <c r="DA50" s="1"/>
  <c r="IC109"/>
  <c r="GV268"/>
  <c r="GQ268"/>
  <c r="GR268" s="1"/>
  <c r="GS268" s="1"/>
  <c r="GT268" s="1"/>
  <c r="GU268" s="1"/>
  <c r="IG268"/>
  <c r="IE268"/>
  <c r="IF268" s="1"/>
  <c r="JD268"/>
  <c r="HO268"/>
  <c r="HJ268"/>
  <c r="HK268" s="1"/>
  <c r="HL268" s="1"/>
  <c r="HM268" s="1"/>
  <c r="HN268" s="1"/>
  <c r="IM223"/>
  <c r="IH223"/>
  <c r="II223" s="1"/>
  <c r="IJ223" s="1"/>
  <c r="IK223" s="1"/>
  <c r="IL223" s="1"/>
  <c r="JE223"/>
  <c r="JF223" s="1"/>
  <c r="JG223" s="1"/>
  <c r="JH223" s="1"/>
  <c r="JI223" s="1"/>
  <c r="KD223"/>
  <c r="JJ223"/>
  <c r="GW223"/>
  <c r="GX223" s="1"/>
  <c r="GY223" s="1"/>
  <c r="HC223"/>
  <c r="HU223"/>
  <c r="HP223"/>
  <c r="HQ223" s="1"/>
  <c r="HR223" s="1"/>
  <c r="HS223" s="1"/>
  <c r="HT223" s="1"/>
  <c r="EO195"/>
  <c r="EP195" s="1"/>
  <c r="EQ195" s="1"/>
  <c r="ER195" s="1"/>
  <c r="ES195" s="1"/>
  <c r="ET195"/>
  <c r="EU50"/>
  <c r="EV50" s="1"/>
  <c r="EW50" s="1"/>
  <c r="EX50" s="1"/>
  <c r="EY50" s="1"/>
  <c r="EZ50" s="1"/>
  <c r="FA50" s="1"/>
  <c r="FB50"/>
  <c r="GP262"/>
  <c r="GL262"/>
  <c r="GM262" s="1"/>
  <c r="GN262" s="1"/>
  <c r="GO262" s="1"/>
  <c r="HI50"/>
  <c r="HE50"/>
  <c r="HF50" s="1"/>
  <c r="HG50" s="1"/>
  <c r="HH50" s="1"/>
  <c r="ID50"/>
  <c r="GL50"/>
  <c r="GM50" s="1"/>
  <c r="GN50" s="1"/>
  <c r="GO50" s="1"/>
  <c r="GP50"/>
  <c r="CX195"/>
  <c r="DB195"/>
  <c r="GF266"/>
  <c r="GG266" s="1"/>
  <c r="GH266" s="1"/>
  <c r="GI266" s="1"/>
  <c r="GJ266" s="1"/>
  <c r="HD266"/>
  <c r="GK266"/>
  <c r="DV195"/>
  <c r="DW195" s="1"/>
  <c r="DX195" s="1"/>
  <c r="DY195" s="1"/>
  <c r="DZ195" s="1"/>
  <c r="EA195"/>
  <c r="ET266"/>
  <c r="EO266"/>
  <c r="EP266" s="1"/>
  <c r="EQ266" s="1"/>
  <c r="ER266" s="1"/>
  <c r="ES266" s="1"/>
  <c r="HE262"/>
  <c r="HF262" s="1"/>
  <c r="HG262" s="1"/>
  <c r="HH262" s="1"/>
  <c r="HI262"/>
  <c r="ID262"/>
  <c r="FN50"/>
  <c r="FO50" s="1"/>
  <c r="FP50" s="1"/>
  <c r="FQ50" s="1"/>
  <c r="FR50"/>
  <c r="EU262"/>
  <c r="EV262" s="1"/>
  <c r="EW262" s="1"/>
  <c r="EX262" s="1"/>
  <c r="EY262" s="1"/>
  <c r="EZ262" s="1"/>
  <c r="FA262" s="1"/>
  <c r="FB262"/>
  <c r="DB266"/>
  <c r="CX266"/>
  <c r="HD195"/>
  <c r="GK195"/>
  <c r="GF195"/>
  <c r="GG195" s="1"/>
  <c r="GH195" s="1"/>
  <c r="GI195" s="1"/>
  <c r="GJ195" s="1"/>
  <c r="FH195"/>
  <c r="FI195" s="1"/>
  <c r="FJ195" s="1"/>
  <c r="FK195" s="1"/>
  <c r="FL195" s="1"/>
  <c r="IX282"/>
  <c r="IY282" s="1"/>
  <c r="IZ282" s="1"/>
  <c r="JA282" s="1"/>
  <c r="JB282" s="1"/>
  <c r="JC282"/>
  <c r="DV266"/>
  <c r="DW266" s="1"/>
  <c r="DX266" s="1"/>
  <c r="DY266" s="1"/>
  <c r="DZ266" s="1"/>
  <c r="EA266"/>
  <c r="KJ258"/>
  <c r="KP258" s="1"/>
  <c r="KV258" s="1"/>
  <c r="LB258" s="1"/>
  <c r="LF258" s="1"/>
  <c r="LG258"/>
  <c r="JK258"/>
  <c r="JL258" s="1"/>
  <c r="JM258" s="1"/>
  <c r="JN258" s="1"/>
  <c r="JO258" s="1"/>
  <c r="JQ258" s="1"/>
  <c r="JR258" s="1"/>
  <c r="JS258" s="1"/>
  <c r="JT258" s="1"/>
  <c r="JU258" s="1"/>
  <c r="JW258" s="1"/>
  <c r="JX258" s="1"/>
  <c r="JY258" s="1"/>
  <c r="JZ258" s="1"/>
  <c r="KB258" s="1"/>
  <c r="KE258"/>
  <c r="KF258" s="1"/>
  <c r="KG258" s="1"/>
  <c r="KH258" s="1"/>
  <c r="KI258" s="1"/>
  <c r="IN258"/>
  <c r="IO258" s="1"/>
  <c r="IP258" s="1"/>
  <c r="IQ258"/>
  <c r="HY258"/>
  <c r="HV258"/>
  <c r="HW258" s="1"/>
  <c r="HX258" s="1"/>
  <c r="IX109"/>
  <c r="IY109" s="1"/>
  <c r="IZ109" s="1"/>
  <c r="JA109" s="1"/>
  <c r="JB109" s="1"/>
  <c r="JC109"/>
  <c r="IC280"/>
  <c r="HZ280"/>
  <c r="IA280" s="1"/>
  <c r="IB280" s="1"/>
  <c r="IC137"/>
  <c r="HZ137"/>
  <c r="IA137" s="1"/>
  <c r="IB137" s="1"/>
  <c r="IW280"/>
  <c r="IR280"/>
  <c r="IS280" s="1"/>
  <c r="IT280" s="1"/>
  <c r="IU280" s="1"/>
  <c r="IV280" s="1"/>
  <c r="JE264"/>
  <c r="JF264" s="1"/>
  <c r="JG264" s="1"/>
  <c r="JH264" s="1"/>
  <c r="JI264" s="1"/>
  <c r="KD264"/>
  <c r="JJ264"/>
  <c r="JP264" s="1"/>
  <c r="JV264" s="1"/>
  <c r="KC264" s="1"/>
  <c r="IR137"/>
  <c r="IS137" s="1"/>
  <c r="IT137" s="1"/>
  <c r="IU137" s="1"/>
  <c r="IV137" s="1"/>
  <c r="IW137"/>
  <c r="KP280"/>
  <c r="KV280" s="1"/>
  <c r="LB280" s="1"/>
  <c r="LF280" s="1"/>
  <c r="KK280"/>
  <c r="KL280" s="1"/>
  <c r="KM280" s="1"/>
  <c r="KN280" s="1"/>
  <c r="KO280" s="1"/>
  <c r="GW264"/>
  <c r="GX264" s="1"/>
  <c r="GY264" s="1"/>
  <c r="HC264"/>
  <c r="HP264"/>
  <c r="HQ264" s="1"/>
  <c r="HR264" s="1"/>
  <c r="HS264" s="1"/>
  <c r="HT264" s="1"/>
  <c r="HU264"/>
  <c r="IH264"/>
  <c r="II264" s="1"/>
  <c r="IJ264" s="1"/>
  <c r="IK264" s="1"/>
  <c r="IL264" s="1"/>
  <c r="IM264"/>
  <c r="GZ264" l="1"/>
  <c r="HA264" s="1"/>
  <c r="HB264" s="1"/>
  <c r="GZ223"/>
  <c r="HA223" s="1"/>
  <c r="HB223" s="1"/>
  <c r="FR266"/>
  <c r="FN266"/>
  <c r="FO266" s="1"/>
  <c r="FP266" s="1"/>
  <c r="FQ266" s="1"/>
  <c r="FS262"/>
  <c r="FT262" s="1"/>
  <c r="FU262" s="1"/>
  <c r="FV262" s="1"/>
  <c r="FW262" s="1"/>
  <c r="FX262"/>
  <c r="GD268"/>
  <c r="FY268"/>
  <c r="FZ268" s="1"/>
  <c r="GA268" s="1"/>
  <c r="GB268" s="1"/>
  <c r="GC268" s="1"/>
  <c r="CY266"/>
  <c r="CZ266" s="1"/>
  <c r="DA266" s="1"/>
  <c r="CY195"/>
  <c r="CZ195" s="1"/>
  <c r="DA195" s="1"/>
  <c r="KD268"/>
  <c r="JE268"/>
  <c r="JF268" s="1"/>
  <c r="JG268" s="1"/>
  <c r="JH268" s="1"/>
  <c r="JI268" s="1"/>
  <c r="JJ268"/>
  <c r="IH268"/>
  <c r="II268" s="1"/>
  <c r="IJ268" s="1"/>
  <c r="IK268" s="1"/>
  <c r="IL268" s="1"/>
  <c r="IM268"/>
  <c r="GW268"/>
  <c r="GX268" s="1"/>
  <c r="GY268" s="1"/>
  <c r="HC268"/>
  <c r="HU268"/>
  <c r="HP268"/>
  <c r="HQ268" s="1"/>
  <c r="HR268" s="1"/>
  <c r="HS268" s="1"/>
  <c r="HT268" s="1"/>
  <c r="JK223"/>
  <c r="JL223" s="1"/>
  <c r="JM223" s="1"/>
  <c r="JN223" s="1"/>
  <c r="JO223" s="1"/>
  <c r="JP223"/>
  <c r="JV223" s="1"/>
  <c r="KC223" s="1"/>
  <c r="IN223"/>
  <c r="IO223" s="1"/>
  <c r="IQ223"/>
  <c r="HV223"/>
  <c r="HW223" s="1"/>
  <c r="HX223" s="1"/>
  <c r="HY223"/>
  <c r="LG223"/>
  <c r="KE223"/>
  <c r="KF223" s="1"/>
  <c r="KG223" s="1"/>
  <c r="KH223" s="1"/>
  <c r="KI223" s="1"/>
  <c r="KJ223"/>
  <c r="FR195"/>
  <c r="FX195" s="1"/>
  <c r="GD195" s="1"/>
  <c r="FN195"/>
  <c r="FO195" s="1"/>
  <c r="FP195" s="1"/>
  <c r="FQ195" s="1"/>
  <c r="GL195"/>
  <c r="GM195" s="1"/>
  <c r="GN195" s="1"/>
  <c r="GO195" s="1"/>
  <c r="GP195"/>
  <c r="FX50"/>
  <c r="FS50"/>
  <c r="FT50" s="1"/>
  <c r="FU50" s="1"/>
  <c r="FV50" s="1"/>
  <c r="FW50" s="1"/>
  <c r="IG262"/>
  <c r="IE262"/>
  <c r="IF262" s="1"/>
  <c r="JD262"/>
  <c r="FB266"/>
  <c r="EU266"/>
  <c r="EV266" s="1"/>
  <c r="EW266" s="1"/>
  <c r="EX266" s="1"/>
  <c r="EY266" s="1"/>
  <c r="EZ266" s="1"/>
  <c r="FA266" s="1"/>
  <c r="ID266"/>
  <c r="HE266"/>
  <c r="HF266" s="1"/>
  <c r="HG266" s="1"/>
  <c r="HH266" s="1"/>
  <c r="HI266"/>
  <c r="GQ50"/>
  <c r="GR50" s="1"/>
  <c r="GS50" s="1"/>
  <c r="GT50" s="1"/>
  <c r="GU50" s="1"/>
  <c r="GV50"/>
  <c r="IG50"/>
  <c r="JD50"/>
  <c r="IE50"/>
  <c r="IF50" s="1"/>
  <c r="HO50"/>
  <c r="HP50" s="1"/>
  <c r="HJ50"/>
  <c r="HK50" s="1"/>
  <c r="HL50" s="1"/>
  <c r="HM50" s="1"/>
  <c r="HN50" s="1"/>
  <c r="GV262"/>
  <c r="GQ262"/>
  <c r="GR262" s="1"/>
  <c r="GS262" s="1"/>
  <c r="GT262" s="1"/>
  <c r="GU262" s="1"/>
  <c r="HE195"/>
  <c r="HF195" s="1"/>
  <c r="HG195" s="1"/>
  <c r="HH195" s="1"/>
  <c r="HI195"/>
  <c r="ID195"/>
  <c r="HO262"/>
  <c r="HJ262"/>
  <c r="HK262" s="1"/>
  <c r="HL262" s="1"/>
  <c r="HM262" s="1"/>
  <c r="HN262" s="1"/>
  <c r="GL266"/>
  <c r="GM266" s="1"/>
  <c r="GN266" s="1"/>
  <c r="GO266" s="1"/>
  <c r="GP266"/>
  <c r="FB195"/>
  <c r="EU195"/>
  <c r="EV195" s="1"/>
  <c r="EW195" s="1"/>
  <c r="EX195" s="1"/>
  <c r="EY195" s="1"/>
  <c r="EZ195" s="1"/>
  <c r="FA195" s="1"/>
  <c r="KK258"/>
  <c r="KL258" s="1"/>
  <c r="KM258" s="1"/>
  <c r="KN258" s="1"/>
  <c r="KO258" s="1"/>
  <c r="KQ258" s="1"/>
  <c r="KR258" s="1"/>
  <c r="KS258" s="1"/>
  <c r="KT258" s="1"/>
  <c r="KU258" s="1"/>
  <c r="KW258"/>
  <c r="KX258" s="1"/>
  <c r="KY258" s="1"/>
  <c r="KZ258" s="1"/>
  <c r="LA258" s="1"/>
  <c r="LC258" s="1"/>
  <c r="LD258" s="1"/>
  <c r="LE258" s="1"/>
  <c r="KQ280"/>
  <c r="KR280" s="1"/>
  <c r="KS280" s="1"/>
  <c r="KT280" s="1"/>
  <c r="KU280" s="1"/>
  <c r="KW280" s="1"/>
  <c r="KX280" s="1"/>
  <c r="KY280" s="1"/>
  <c r="KZ280" s="1"/>
  <c r="LA280" s="1"/>
  <c r="LC280" s="1"/>
  <c r="LD280" s="1"/>
  <c r="LE280" s="1"/>
  <c r="IC258"/>
  <c r="HZ258"/>
  <c r="IA258" s="1"/>
  <c r="IB258" s="1"/>
  <c r="IW258"/>
  <c r="IR258"/>
  <c r="IS258" s="1"/>
  <c r="IT258" s="1"/>
  <c r="IU258" s="1"/>
  <c r="IV258" s="1"/>
  <c r="JC137"/>
  <c r="IX137"/>
  <c r="IY137" s="1"/>
  <c r="IZ137" s="1"/>
  <c r="JA137" s="1"/>
  <c r="JB137" s="1"/>
  <c r="JC280"/>
  <c r="IX280"/>
  <c r="IY280" s="1"/>
  <c r="IZ280" s="1"/>
  <c r="JA280" s="1"/>
  <c r="JB280" s="1"/>
  <c r="JK264"/>
  <c r="JL264" s="1"/>
  <c r="JM264" s="1"/>
  <c r="JN264" s="1"/>
  <c r="JO264" s="1"/>
  <c r="JQ264" s="1"/>
  <c r="JR264" s="1"/>
  <c r="JS264" s="1"/>
  <c r="JT264" s="1"/>
  <c r="JU264" s="1"/>
  <c r="JW264" s="1"/>
  <c r="JX264" s="1"/>
  <c r="JY264" s="1"/>
  <c r="JZ264" s="1"/>
  <c r="KB264" s="1"/>
  <c r="KE264" s="1"/>
  <c r="KF264" s="1"/>
  <c r="KG264" s="1"/>
  <c r="KH264" s="1"/>
  <c r="KI264" s="1"/>
  <c r="LG264"/>
  <c r="KJ264"/>
  <c r="KP264" s="1"/>
  <c r="KV264" s="1"/>
  <c r="LB264" s="1"/>
  <c r="LF264" s="1"/>
  <c r="IQ264"/>
  <c r="IN264"/>
  <c r="IO264" s="1"/>
  <c r="IP264" s="1"/>
  <c r="HY264"/>
  <c r="HV264"/>
  <c r="HW264" s="1"/>
  <c r="HX264" s="1"/>
  <c r="GZ268" l="1"/>
  <c r="HA268" s="1"/>
  <c r="HB268" s="1"/>
  <c r="FS266"/>
  <c r="FT266" s="1"/>
  <c r="FU266" s="1"/>
  <c r="FV266" s="1"/>
  <c r="FW266" s="1"/>
  <c r="FX266"/>
  <c r="FY262"/>
  <c r="FZ262" s="1"/>
  <c r="GA262" s="1"/>
  <c r="GB262" s="1"/>
  <c r="GC262" s="1"/>
  <c r="GD262"/>
  <c r="FY50"/>
  <c r="FZ50" s="1"/>
  <c r="GA50" s="1"/>
  <c r="GB50" s="1"/>
  <c r="GC50" s="1"/>
  <c r="GD50"/>
  <c r="IQ268"/>
  <c r="IN268"/>
  <c r="IO268" s="1"/>
  <c r="IP268" s="1"/>
  <c r="JP268"/>
  <c r="JV268" s="1"/>
  <c r="KC268" s="1"/>
  <c r="JK268"/>
  <c r="JL268" s="1"/>
  <c r="JM268" s="1"/>
  <c r="JN268" s="1"/>
  <c r="JO268" s="1"/>
  <c r="KJ268"/>
  <c r="LG268"/>
  <c r="HY268"/>
  <c r="HV268"/>
  <c r="HW268" s="1"/>
  <c r="HX268" s="1"/>
  <c r="JQ223"/>
  <c r="JR223" s="1"/>
  <c r="JS223" s="1"/>
  <c r="JT223" s="1"/>
  <c r="JU223" s="1"/>
  <c r="JW223" s="1"/>
  <c r="JX223" s="1"/>
  <c r="JY223" s="1"/>
  <c r="JZ223" s="1"/>
  <c r="KB223" s="1"/>
  <c r="KP223"/>
  <c r="KV223" s="1"/>
  <c r="LB223" s="1"/>
  <c r="KK223"/>
  <c r="KL223" s="1"/>
  <c r="KM223" s="1"/>
  <c r="KN223" s="1"/>
  <c r="KO223" s="1"/>
  <c r="IC223"/>
  <c r="HZ223"/>
  <c r="IA223" s="1"/>
  <c r="IB223" s="1"/>
  <c r="IR223"/>
  <c r="IS223" s="1"/>
  <c r="IT223" s="1"/>
  <c r="IU223" s="1"/>
  <c r="IV223" s="1"/>
  <c r="IW223"/>
  <c r="GQ266"/>
  <c r="GR266" s="1"/>
  <c r="GS266" s="1"/>
  <c r="GT266" s="1"/>
  <c r="GU266" s="1"/>
  <c r="GV266"/>
  <c r="IE195"/>
  <c r="IF195" s="1"/>
  <c r="IG195"/>
  <c r="JD195"/>
  <c r="IM50"/>
  <c r="IQ50" s="1"/>
  <c r="IH50"/>
  <c r="II50" s="1"/>
  <c r="IJ50" s="1"/>
  <c r="IK50" s="1"/>
  <c r="IL50" s="1"/>
  <c r="JE262"/>
  <c r="JF262" s="1"/>
  <c r="JG262" s="1"/>
  <c r="JH262" s="1"/>
  <c r="JI262" s="1"/>
  <c r="JJ262"/>
  <c r="KD262"/>
  <c r="IM262"/>
  <c r="IH262"/>
  <c r="II262" s="1"/>
  <c r="IJ262" s="1"/>
  <c r="IK262" s="1"/>
  <c r="IL262" s="1"/>
  <c r="FS195"/>
  <c r="FT195" s="1"/>
  <c r="FU195" s="1"/>
  <c r="FV195" s="1"/>
  <c r="FW195" s="1"/>
  <c r="HU262"/>
  <c r="HP262"/>
  <c r="HQ262" s="1"/>
  <c r="HR262" s="1"/>
  <c r="HS262" s="1"/>
  <c r="HT262" s="1"/>
  <c r="HO195"/>
  <c r="HJ195"/>
  <c r="HK195" s="1"/>
  <c r="HL195" s="1"/>
  <c r="HM195" s="1"/>
  <c r="HN195" s="1"/>
  <c r="GW262"/>
  <c r="GX262" s="1"/>
  <c r="GY262" s="1"/>
  <c r="HC262"/>
  <c r="HU50"/>
  <c r="HQ50"/>
  <c r="HR50" s="1"/>
  <c r="HS50" s="1"/>
  <c r="HT50" s="1"/>
  <c r="JE50"/>
  <c r="JF50" s="1"/>
  <c r="JG50" s="1"/>
  <c r="JH50" s="1"/>
  <c r="JI50" s="1"/>
  <c r="JJ50"/>
  <c r="KD50"/>
  <c r="HC50"/>
  <c r="GW50"/>
  <c r="GX50" s="1"/>
  <c r="GY50" s="1"/>
  <c r="HO266"/>
  <c r="HJ266"/>
  <c r="HK266" s="1"/>
  <c r="HL266" s="1"/>
  <c r="HM266" s="1"/>
  <c r="HN266" s="1"/>
  <c r="IG266"/>
  <c r="IE266"/>
  <c r="IF266" s="1"/>
  <c r="JD266"/>
  <c r="GQ195"/>
  <c r="GR195" s="1"/>
  <c r="GS195" s="1"/>
  <c r="GT195" s="1"/>
  <c r="GU195" s="1"/>
  <c r="GV195"/>
  <c r="IX258"/>
  <c r="IY258" s="1"/>
  <c r="IZ258" s="1"/>
  <c r="JA258" s="1"/>
  <c r="JB258" s="1"/>
  <c r="JC258"/>
  <c r="KK264"/>
  <c r="KL264" s="1"/>
  <c r="KM264" s="1"/>
  <c r="KN264" s="1"/>
  <c r="KO264" s="1"/>
  <c r="KQ264" s="1"/>
  <c r="KR264" s="1"/>
  <c r="KS264" s="1"/>
  <c r="KT264" s="1"/>
  <c r="KU264" s="1"/>
  <c r="KW264" s="1"/>
  <c r="KX264" s="1"/>
  <c r="KY264" s="1"/>
  <c r="KZ264" s="1"/>
  <c r="LA264" s="1"/>
  <c r="LC264" s="1"/>
  <c r="LD264" s="1"/>
  <c r="LE264" s="1"/>
  <c r="HZ264"/>
  <c r="IA264" s="1"/>
  <c r="IB264" s="1"/>
  <c r="IC264"/>
  <c r="IW264"/>
  <c r="IR264"/>
  <c r="IS264" s="1"/>
  <c r="IT264" s="1"/>
  <c r="IU264" s="1"/>
  <c r="IV264" s="1"/>
  <c r="GZ262" l="1"/>
  <c r="HA262" s="1"/>
  <c r="HB262" s="1"/>
  <c r="GZ50"/>
  <c r="HA50" s="1"/>
  <c r="HB50" s="1"/>
  <c r="FY266"/>
  <c r="FZ266" s="1"/>
  <c r="GA266" s="1"/>
  <c r="GB266" s="1"/>
  <c r="GC266" s="1"/>
  <c r="GD266"/>
  <c r="FY195"/>
  <c r="FZ195" s="1"/>
  <c r="GA195" s="1"/>
  <c r="GB195" s="1"/>
  <c r="GC195" s="1"/>
  <c r="JQ268"/>
  <c r="JR268" s="1"/>
  <c r="JS268" s="1"/>
  <c r="JT268" s="1"/>
  <c r="JU268" s="1"/>
  <c r="JW268" s="1"/>
  <c r="JX268" s="1"/>
  <c r="JY268" s="1"/>
  <c r="JZ268" s="1"/>
  <c r="KB268" s="1"/>
  <c r="KE268" s="1"/>
  <c r="KF268" s="1"/>
  <c r="KG268" s="1"/>
  <c r="KH268" s="1"/>
  <c r="KI268" s="1"/>
  <c r="IC268"/>
  <c r="HZ268"/>
  <c r="IA268" s="1"/>
  <c r="IB268" s="1"/>
  <c r="KP268"/>
  <c r="KV268" s="1"/>
  <c r="LB268" s="1"/>
  <c r="LF268" s="1"/>
  <c r="KK268"/>
  <c r="KL268" s="1"/>
  <c r="KM268" s="1"/>
  <c r="KN268" s="1"/>
  <c r="KO268" s="1"/>
  <c r="IR268"/>
  <c r="IS268" s="1"/>
  <c r="IT268" s="1"/>
  <c r="IU268" s="1"/>
  <c r="IV268" s="1"/>
  <c r="IW268"/>
  <c r="KQ223"/>
  <c r="KR223" s="1"/>
  <c r="KS223" s="1"/>
  <c r="KT223" s="1"/>
  <c r="KU223" s="1"/>
  <c r="KW223" s="1"/>
  <c r="KX223" s="1"/>
  <c r="KY223" s="1"/>
  <c r="KZ223" s="1"/>
  <c r="LA223" s="1"/>
  <c r="LF223"/>
  <c r="LC223"/>
  <c r="LD223" s="1"/>
  <c r="LE223" s="1"/>
  <c r="IX223"/>
  <c r="IY223" s="1"/>
  <c r="IZ223" s="1"/>
  <c r="JA223" s="1"/>
  <c r="JB223" s="1"/>
  <c r="JC223"/>
  <c r="KJ50"/>
  <c r="KP50" s="1"/>
  <c r="KV50" s="1"/>
  <c r="LB50" s="1"/>
  <c r="LF50" s="1"/>
  <c r="LG50"/>
  <c r="KE50"/>
  <c r="KF50" s="1"/>
  <c r="KG50" s="1"/>
  <c r="KH50" s="1"/>
  <c r="KI50" s="1"/>
  <c r="HY50"/>
  <c r="HV50"/>
  <c r="HW50" s="1"/>
  <c r="HX50" s="1"/>
  <c r="HU195"/>
  <c r="HP195"/>
  <c r="HQ195" s="1"/>
  <c r="HR195" s="1"/>
  <c r="HS195" s="1"/>
  <c r="HT195" s="1"/>
  <c r="HY262"/>
  <c r="HV262"/>
  <c r="HW262" s="1"/>
  <c r="HX262" s="1"/>
  <c r="IN262"/>
  <c r="IO262" s="1"/>
  <c r="IP262" s="1"/>
  <c r="IQ262"/>
  <c r="JP262"/>
  <c r="JK262"/>
  <c r="JL262" s="1"/>
  <c r="JM262" s="1"/>
  <c r="JN262" s="1"/>
  <c r="JO262" s="1"/>
  <c r="JE195"/>
  <c r="JF195" s="1"/>
  <c r="JG195" s="1"/>
  <c r="JH195" s="1"/>
  <c r="JI195" s="1"/>
  <c r="JJ195"/>
  <c r="JP195" s="1"/>
  <c r="GW195"/>
  <c r="GX195" s="1"/>
  <c r="GY195" s="1"/>
  <c r="HA195" s="1"/>
  <c r="HB195" s="1"/>
  <c r="HC195"/>
  <c r="JE266"/>
  <c r="JF266" s="1"/>
  <c r="JG266" s="1"/>
  <c r="JH266" s="1"/>
  <c r="JI266" s="1"/>
  <c r="JJ266"/>
  <c r="IM266"/>
  <c r="IH266"/>
  <c r="II266" s="1"/>
  <c r="IJ266" s="1"/>
  <c r="IK266" s="1"/>
  <c r="IL266" s="1"/>
  <c r="HU266"/>
  <c r="HP266"/>
  <c r="HQ266" s="1"/>
  <c r="HR266" s="1"/>
  <c r="HS266" s="1"/>
  <c r="HT266" s="1"/>
  <c r="JP50"/>
  <c r="JK50"/>
  <c r="JL50" s="1"/>
  <c r="JM50" s="1"/>
  <c r="JN50" s="1"/>
  <c r="JO50" s="1"/>
  <c r="KJ262"/>
  <c r="LG262"/>
  <c r="IN50"/>
  <c r="IO50" s="1"/>
  <c r="IP50" s="1"/>
  <c r="IH195"/>
  <c r="II195" s="1"/>
  <c r="IJ195" s="1"/>
  <c r="IK195" s="1"/>
  <c r="IL195" s="1"/>
  <c r="IM195"/>
  <c r="GW266"/>
  <c r="GX266" s="1"/>
  <c r="GY266" s="1"/>
  <c r="HC266"/>
  <c r="IX264"/>
  <c r="IY264" s="1"/>
  <c r="IZ264" s="1"/>
  <c r="JA264" s="1"/>
  <c r="JB264" s="1"/>
  <c r="JC264"/>
  <c r="GZ266" l="1"/>
  <c r="HA266" s="1"/>
  <c r="HB266" s="1"/>
  <c r="KQ268"/>
  <c r="KR268" s="1"/>
  <c r="KS268" s="1"/>
  <c r="KT268" s="1"/>
  <c r="KU268" s="1"/>
  <c r="KW268" s="1"/>
  <c r="KX268" s="1"/>
  <c r="KY268" s="1"/>
  <c r="KZ268" s="1"/>
  <c r="LA268" s="1"/>
  <c r="LC268" s="1"/>
  <c r="LD268" s="1"/>
  <c r="LE268" s="1"/>
  <c r="JC268"/>
  <c r="IX268"/>
  <c r="IY268" s="1"/>
  <c r="IZ268" s="1"/>
  <c r="JA268" s="1"/>
  <c r="JB268" s="1"/>
  <c r="KK50"/>
  <c r="KL50" s="1"/>
  <c r="KM50" s="1"/>
  <c r="KN50" s="1"/>
  <c r="KO50" s="1"/>
  <c r="KQ50" s="1"/>
  <c r="KR50" s="1"/>
  <c r="KS50" s="1"/>
  <c r="KT50" s="1"/>
  <c r="KU50" s="1"/>
  <c r="KW50" s="1"/>
  <c r="KX50" s="1"/>
  <c r="KY50" s="1"/>
  <c r="KZ50" s="1"/>
  <c r="LA50" s="1"/>
  <c r="LC50" s="1"/>
  <c r="LD50" s="1"/>
  <c r="LE50" s="1"/>
  <c r="IN195"/>
  <c r="IO195" s="1"/>
  <c r="IP195" s="1"/>
  <c r="IQ195"/>
  <c r="JP266"/>
  <c r="JV266" s="1"/>
  <c r="JK266"/>
  <c r="JL266" s="1"/>
  <c r="JM266" s="1"/>
  <c r="JN266" s="1"/>
  <c r="JO266" s="1"/>
  <c r="JQ195"/>
  <c r="JV195"/>
  <c r="IR262"/>
  <c r="IS262" s="1"/>
  <c r="IT262" s="1"/>
  <c r="IU262" s="1"/>
  <c r="IV262" s="1"/>
  <c r="IW262"/>
  <c r="IR50"/>
  <c r="IS50" s="1"/>
  <c r="IT50" s="1"/>
  <c r="IU50" s="1"/>
  <c r="IV50" s="1"/>
  <c r="IW50"/>
  <c r="KP262"/>
  <c r="KV262" s="1"/>
  <c r="LB262" s="1"/>
  <c r="LF262" s="1"/>
  <c r="KK262"/>
  <c r="KL262" s="1"/>
  <c r="KM262" s="1"/>
  <c r="KN262" s="1"/>
  <c r="KO262" s="1"/>
  <c r="JV50"/>
  <c r="JQ50"/>
  <c r="JR50" s="1"/>
  <c r="JS50" s="1"/>
  <c r="JT50" s="1"/>
  <c r="JU50" s="1"/>
  <c r="HY266"/>
  <c r="HV266"/>
  <c r="HW266" s="1"/>
  <c r="HX266" s="1"/>
  <c r="IQ266"/>
  <c r="IN266"/>
  <c r="IO266" s="1"/>
  <c r="IP266" s="1"/>
  <c r="JV262"/>
  <c r="KC262" s="1"/>
  <c r="JQ262"/>
  <c r="JR262" s="1"/>
  <c r="JS262" s="1"/>
  <c r="JT262" s="1"/>
  <c r="JU262" s="1"/>
  <c r="IC262"/>
  <c r="HZ262"/>
  <c r="IA262" s="1"/>
  <c r="IB262" s="1"/>
  <c r="HY195"/>
  <c r="HV195"/>
  <c r="HW195" s="1"/>
  <c r="HX195" s="1"/>
  <c r="IC50"/>
  <c r="HZ50"/>
  <c r="IA50" s="1"/>
  <c r="IB50" s="1"/>
  <c r="JK195"/>
  <c r="JL195" s="1"/>
  <c r="JM195" s="1"/>
  <c r="JN195" s="1"/>
  <c r="JO195" s="1"/>
  <c r="JR195" l="1"/>
  <c r="JS195" s="1"/>
  <c r="JT195" s="1"/>
  <c r="JU195" s="1"/>
  <c r="JW195"/>
  <c r="JX195" s="1"/>
  <c r="JY195" s="1"/>
  <c r="JZ195" s="1"/>
  <c r="KB195" s="1"/>
  <c r="HZ195"/>
  <c r="IA195" s="1"/>
  <c r="IB195" s="1"/>
  <c r="IC195"/>
  <c r="IR266"/>
  <c r="IS266" s="1"/>
  <c r="IT266" s="1"/>
  <c r="IU266" s="1"/>
  <c r="IV266" s="1"/>
  <c r="IW266"/>
  <c r="HZ266"/>
  <c r="IA266" s="1"/>
  <c r="IB266" s="1"/>
  <c r="IC266"/>
  <c r="KC50"/>
  <c r="JW50"/>
  <c r="JX50" s="1"/>
  <c r="JY50" s="1"/>
  <c r="JZ50" s="1"/>
  <c r="KA50" s="1"/>
  <c r="KB50" s="1"/>
  <c r="IX50"/>
  <c r="IY50" s="1"/>
  <c r="IZ50" s="1"/>
  <c r="JA50" s="1"/>
  <c r="JB50" s="1"/>
  <c r="JC50"/>
  <c r="JC262"/>
  <c r="IX262"/>
  <c r="IY262" s="1"/>
  <c r="IZ262" s="1"/>
  <c r="JA262" s="1"/>
  <c r="JB262" s="1"/>
  <c r="IW195"/>
  <c r="IR195"/>
  <c r="IS195" s="1"/>
  <c r="IT195" s="1"/>
  <c r="IU195" s="1"/>
  <c r="IV195" s="1"/>
  <c r="JW262"/>
  <c r="JX262" s="1"/>
  <c r="JY262" s="1"/>
  <c r="JZ262" s="1"/>
  <c r="KB262" s="1"/>
  <c r="KE262" s="1"/>
  <c r="KF262" s="1"/>
  <c r="KG262" s="1"/>
  <c r="KH262" s="1"/>
  <c r="KI262" s="1"/>
  <c r="KQ262"/>
  <c r="KR262" s="1"/>
  <c r="KS262" s="1"/>
  <c r="KT262" s="1"/>
  <c r="KU262" s="1"/>
  <c r="KW262" s="1"/>
  <c r="KX262" s="1"/>
  <c r="KY262" s="1"/>
  <c r="KZ262" s="1"/>
  <c r="LA262" s="1"/>
  <c r="LC262" s="1"/>
  <c r="LD262" s="1"/>
  <c r="LE262" s="1"/>
  <c r="JQ266"/>
  <c r="JR266" s="1"/>
  <c r="JS266" s="1"/>
  <c r="JT266" s="1"/>
  <c r="JU266" s="1"/>
  <c r="JW266" s="1"/>
  <c r="JX266" s="1"/>
  <c r="JY266" s="1"/>
  <c r="JZ266" s="1"/>
  <c r="KB266" s="1"/>
  <c r="IX195" l="1"/>
  <c r="IY195" s="1"/>
  <c r="IZ195" s="1"/>
  <c r="JA195" s="1"/>
  <c r="JB195" s="1"/>
  <c r="JC195"/>
  <c r="JC266"/>
  <c r="IX266"/>
  <c r="IY266" s="1"/>
  <c r="IZ266" s="1"/>
  <c r="JA266" s="1"/>
  <c r="JB266" s="1"/>
  <c r="KC185" l="1"/>
  <c r="KC193" s="1"/>
  <c r="KC260" s="1"/>
  <c r="KD185"/>
  <c r="KD193" s="1"/>
  <c r="KD260" s="1"/>
  <c r="KC195" l="1"/>
  <c r="KC266"/>
  <c r="KD195"/>
  <c r="KD266"/>
  <c r="LG266" l="1"/>
  <c r="KJ266"/>
  <c r="KE266"/>
  <c r="KF266" s="1"/>
  <c r="KG266" s="1"/>
  <c r="KH266" s="1"/>
  <c r="KI266" s="1"/>
  <c r="LG195"/>
  <c r="KJ195"/>
  <c r="KE195"/>
  <c r="KF195" s="1"/>
  <c r="KG195" s="1"/>
  <c r="KH195" s="1"/>
  <c r="KI195" s="1"/>
  <c r="KP195" l="1"/>
  <c r="KK195"/>
  <c r="KL195" s="1"/>
  <c r="KM195" s="1"/>
  <c r="KN195" s="1"/>
  <c r="KO195" s="1"/>
  <c r="KP266"/>
  <c r="KK266"/>
  <c r="KL266" s="1"/>
  <c r="KM266" s="1"/>
  <c r="KN266" s="1"/>
  <c r="KO266" s="1"/>
  <c r="KV266" l="1"/>
  <c r="KQ266"/>
  <c r="KR266" s="1"/>
  <c r="KS266" s="1"/>
  <c r="KT266" s="1"/>
  <c r="KU266" s="1"/>
  <c r="KQ195"/>
  <c r="KR195" s="1"/>
  <c r="KS195" s="1"/>
  <c r="KT195" s="1"/>
  <c r="KU195" s="1"/>
  <c r="KV195"/>
  <c r="LB266" l="1"/>
  <c r="KW266"/>
  <c r="KX266" s="1"/>
  <c r="KY266" s="1"/>
  <c r="KZ266" s="1"/>
  <c r="LA266" s="1"/>
  <c r="LB195"/>
  <c r="KW195"/>
  <c r="KX195" s="1"/>
  <c r="KY195" s="1"/>
  <c r="KZ195" s="1"/>
  <c r="LA195" s="1"/>
  <c r="LF195" l="1"/>
  <c r="LC195"/>
  <c r="LD195" s="1"/>
  <c r="LE195" s="1"/>
  <c r="LF266"/>
  <c r="LC266"/>
  <c r="LD266" s="1"/>
  <c r="LE266" s="1"/>
  <c r="CK112"/>
  <c r="CK121" s="1"/>
  <c r="DC113"/>
  <c r="DC112" s="1"/>
  <c r="DC121" s="1"/>
  <c r="CK273" l="1"/>
  <c r="CK123"/>
  <c r="DC123"/>
  <c r="DC273"/>
  <c r="EB273" l="1"/>
  <c r="DD273"/>
  <c r="DE273" s="1"/>
  <c r="DF273" s="1"/>
  <c r="DG273" s="1"/>
  <c r="DH273" s="1"/>
  <c r="DI273"/>
  <c r="DI123"/>
  <c r="EB123"/>
  <c r="DD123"/>
  <c r="DE123" s="1"/>
  <c r="DF123" s="1"/>
  <c r="DG123" s="1"/>
  <c r="DH123" s="1"/>
  <c r="CQ273"/>
  <c r="CL273"/>
  <c r="CM273" s="1"/>
  <c r="CN273" s="1"/>
  <c r="CO273" s="1"/>
  <c r="CP273" s="1"/>
  <c r="CQ123"/>
  <c r="CL123"/>
  <c r="CM123" s="1"/>
  <c r="CN123" s="1"/>
  <c r="CO123" s="1"/>
  <c r="CP123" s="1"/>
  <c r="DJ123" l="1"/>
  <c r="DK123" s="1"/>
  <c r="DL123" s="1"/>
  <c r="DM123" s="1"/>
  <c r="DN123" s="1"/>
  <c r="DO123"/>
  <c r="CR123"/>
  <c r="CS123" s="1"/>
  <c r="CT123" s="1"/>
  <c r="CU123" s="1"/>
  <c r="CV123" s="1"/>
  <c r="CW123"/>
  <c r="CR273"/>
  <c r="CS273" s="1"/>
  <c r="CT273" s="1"/>
  <c r="CU273" s="1"/>
  <c r="CV273" s="1"/>
  <c r="CW273"/>
  <c r="EH123"/>
  <c r="EC123"/>
  <c r="ED123" s="1"/>
  <c r="EE123" s="1"/>
  <c r="EF123" s="1"/>
  <c r="EG123" s="1"/>
  <c r="FC123"/>
  <c r="DO273"/>
  <c r="DJ273"/>
  <c r="DK273" s="1"/>
  <c r="DL273" s="1"/>
  <c r="DM273" s="1"/>
  <c r="DN273" s="1"/>
  <c r="FC273"/>
  <c r="EC273"/>
  <c r="ED273" s="1"/>
  <c r="EE273" s="1"/>
  <c r="EF273" s="1"/>
  <c r="EG273" s="1"/>
  <c r="EH273"/>
  <c r="FG273" l="1"/>
  <c r="GE273"/>
  <c r="FG123"/>
  <c r="GE123"/>
  <c r="FD123"/>
  <c r="FE123" s="1"/>
  <c r="FF123" s="1"/>
  <c r="EI123"/>
  <c r="EJ123" s="1"/>
  <c r="EK123" s="1"/>
  <c r="EL123" s="1"/>
  <c r="EM123" s="1"/>
  <c r="EN123"/>
  <c r="EN273"/>
  <c r="EI273"/>
  <c r="EJ273" s="1"/>
  <c r="EK273" s="1"/>
  <c r="EL273" s="1"/>
  <c r="EM273" s="1"/>
  <c r="FD273"/>
  <c r="FE273" s="1"/>
  <c r="FF273" s="1"/>
  <c r="DU273"/>
  <c r="DP273"/>
  <c r="DQ273" s="1"/>
  <c r="DR273" s="1"/>
  <c r="DS273" s="1"/>
  <c r="DT273" s="1"/>
  <c r="CX273"/>
  <c r="DB273"/>
  <c r="CX123"/>
  <c r="DB123"/>
  <c r="DP123"/>
  <c r="DQ123" s="1"/>
  <c r="DR123" s="1"/>
  <c r="DS123" s="1"/>
  <c r="DT123" s="1"/>
  <c r="DU123"/>
  <c r="FM273" l="1"/>
  <c r="FH273"/>
  <c r="FI273" s="1"/>
  <c r="FJ273" s="1"/>
  <c r="FK273" s="1"/>
  <c r="FL273" s="1"/>
  <c r="CY123"/>
  <c r="CZ123" s="1"/>
  <c r="DA123" s="1"/>
  <c r="CY273"/>
  <c r="CZ273" s="1"/>
  <c r="DA273" s="1"/>
  <c r="EA123"/>
  <c r="DV123"/>
  <c r="DW123" s="1"/>
  <c r="DX123" s="1"/>
  <c r="DY123" s="1"/>
  <c r="DZ123" s="1"/>
  <c r="ET123"/>
  <c r="EO123"/>
  <c r="EP123" s="1"/>
  <c r="EQ123" s="1"/>
  <c r="ER123" s="1"/>
  <c r="ES123" s="1"/>
  <c r="FH123"/>
  <c r="FI123" s="1"/>
  <c r="FJ123" s="1"/>
  <c r="FK123" s="1"/>
  <c r="FL123" s="1"/>
  <c r="FM123"/>
  <c r="EA273"/>
  <c r="DV273"/>
  <c r="DW273" s="1"/>
  <c r="DX273" s="1"/>
  <c r="DY273" s="1"/>
  <c r="DZ273" s="1"/>
  <c r="EO273"/>
  <c r="EP273" s="1"/>
  <c r="EQ273" s="1"/>
  <c r="ER273" s="1"/>
  <c r="ES273" s="1"/>
  <c r="ET273"/>
  <c r="GF123"/>
  <c r="GG123" s="1"/>
  <c r="GH123" s="1"/>
  <c r="GI123" s="1"/>
  <c r="GJ123" s="1"/>
  <c r="GK123"/>
  <c r="HD123"/>
  <c r="FN273" l="1"/>
  <c r="FO273" s="1"/>
  <c r="FP273" s="1"/>
  <c r="FQ273" s="1"/>
  <c r="FR273"/>
  <c r="FB123"/>
  <c r="EU123"/>
  <c r="EV123" s="1"/>
  <c r="EW123" s="1"/>
  <c r="EX123" s="1"/>
  <c r="EY123" s="1"/>
  <c r="EZ123" s="1"/>
  <c r="FA123" s="1"/>
  <c r="ID123"/>
  <c r="HE123"/>
  <c r="HF123" s="1"/>
  <c r="HG123" s="1"/>
  <c r="HH123" s="1"/>
  <c r="HI123"/>
  <c r="GP123"/>
  <c r="GL123"/>
  <c r="GM123" s="1"/>
  <c r="GN123" s="1"/>
  <c r="GO123" s="1"/>
  <c r="EU273"/>
  <c r="EV273" s="1"/>
  <c r="EW273" s="1"/>
  <c r="EX273" s="1"/>
  <c r="EY273" s="1"/>
  <c r="EZ273" s="1"/>
  <c r="FA273" s="1"/>
  <c r="FB273"/>
  <c r="FN123"/>
  <c r="FO123" s="1"/>
  <c r="FP123" s="1"/>
  <c r="FQ123" s="1"/>
  <c r="FR123"/>
  <c r="FS273" l="1"/>
  <c r="FT273" s="1"/>
  <c r="FU273" s="1"/>
  <c r="FV273" s="1"/>
  <c r="FW273" s="1"/>
  <c r="FX273"/>
  <c r="FX123"/>
  <c r="FS123"/>
  <c r="FT123" s="1"/>
  <c r="FU123" s="1"/>
  <c r="FV123" s="1"/>
  <c r="FW123" s="1"/>
  <c r="HO123"/>
  <c r="HJ123"/>
  <c r="HK123" s="1"/>
  <c r="HL123" s="1"/>
  <c r="HM123" s="1"/>
  <c r="HN123" s="1"/>
  <c r="JD123"/>
  <c r="JJ123" s="1"/>
  <c r="IE123"/>
  <c r="IF123" s="1"/>
  <c r="IG123"/>
  <c r="GQ123"/>
  <c r="GR123" s="1"/>
  <c r="GS123" s="1"/>
  <c r="GT123" s="1"/>
  <c r="GU123" s="1"/>
  <c r="GV123"/>
  <c r="FY273" l="1"/>
  <c r="FZ273" s="1"/>
  <c r="GA273" s="1"/>
  <c r="GB273" s="1"/>
  <c r="GC273" s="1"/>
  <c r="GD273"/>
  <c r="FY123"/>
  <c r="FZ123" s="1"/>
  <c r="GA123" s="1"/>
  <c r="GB123" s="1"/>
  <c r="GC123" s="1"/>
  <c r="GD123"/>
  <c r="GW123"/>
  <c r="GX123" s="1"/>
  <c r="GY123" s="1"/>
  <c r="GZ123" s="1"/>
  <c r="HA123" s="1"/>
  <c r="HB123" s="1"/>
  <c r="HC123"/>
  <c r="IH123"/>
  <c r="II123" s="1"/>
  <c r="IJ123" s="1"/>
  <c r="IK123" s="1"/>
  <c r="IL123" s="1"/>
  <c r="IM123"/>
  <c r="JE123"/>
  <c r="JF123" s="1"/>
  <c r="JG123" s="1"/>
  <c r="JH123" s="1"/>
  <c r="JI123" s="1"/>
  <c r="KD123"/>
  <c r="HP123"/>
  <c r="HQ123" s="1"/>
  <c r="HR123" s="1"/>
  <c r="HS123" s="1"/>
  <c r="HT123" s="1"/>
  <c r="HU123"/>
  <c r="JK123" l="1"/>
  <c r="JL123" s="1"/>
  <c r="JM123" s="1"/>
  <c r="JN123" s="1"/>
  <c r="JO123" s="1"/>
  <c r="JP123"/>
  <c r="GF273"/>
  <c r="GG273" s="1"/>
  <c r="GH273" s="1"/>
  <c r="GI273" s="1"/>
  <c r="GJ273" s="1"/>
  <c r="HD273"/>
  <c r="GK273"/>
  <c r="HY123"/>
  <c r="HV123"/>
  <c r="HW123" s="1"/>
  <c r="HX123" s="1"/>
  <c r="KJ123"/>
  <c r="LG123"/>
  <c r="KE123"/>
  <c r="KF123" s="1"/>
  <c r="KG123" s="1"/>
  <c r="KH123" s="1"/>
  <c r="KI123" s="1"/>
  <c r="IN123"/>
  <c r="IO123" s="1"/>
  <c r="IP123" s="1"/>
  <c r="IQ123"/>
  <c r="GL273" l="1"/>
  <c r="GM273" s="1"/>
  <c r="GN273" s="1"/>
  <c r="GO273" s="1"/>
  <c r="GP273"/>
  <c r="IR123"/>
  <c r="IS123" s="1"/>
  <c r="IT123" s="1"/>
  <c r="IU123" s="1"/>
  <c r="IV123" s="1"/>
  <c r="IW123"/>
  <c r="KK123"/>
  <c r="KL123" s="1"/>
  <c r="KM123" s="1"/>
  <c r="KN123" s="1"/>
  <c r="KO123" s="1"/>
  <c r="KP123"/>
  <c r="IC123"/>
  <c r="HZ123"/>
  <c r="IA123" s="1"/>
  <c r="IB123" s="1"/>
  <c r="ID273"/>
  <c r="HE273"/>
  <c r="HF273" s="1"/>
  <c r="HG273" s="1"/>
  <c r="HH273" s="1"/>
  <c r="HI273"/>
  <c r="JQ123"/>
  <c r="JR123" s="1"/>
  <c r="JS123" s="1"/>
  <c r="JT123" s="1"/>
  <c r="JU123" s="1"/>
  <c r="JV123"/>
  <c r="JW123" l="1"/>
  <c r="JX123" s="1"/>
  <c r="JY123" s="1"/>
  <c r="JZ123" s="1"/>
  <c r="KB123" s="1"/>
  <c r="KC123"/>
  <c r="HJ273"/>
  <c r="HK273" s="1"/>
  <c r="HL273" s="1"/>
  <c r="HM273" s="1"/>
  <c r="HN273" s="1"/>
  <c r="HO273"/>
  <c r="IG273"/>
  <c r="IE273"/>
  <c r="IF273" s="1"/>
  <c r="JD273"/>
  <c r="KV123"/>
  <c r="KQ123"/>
  <c r="KR123" s="1"/>
  <c r="KS123" s="1"/>
  <c r="KT123" s="1"/>
  <c r="KU123" s="1"/>
  <c r="JC123"/>
  <c r="IX123"/>
  <c r="IY123" s="1"/>
  <c r="IZ123" s="1"/>
  <c r="JA123" s="1"/>
  <c r="JB123" s="1"/>
  <c r="GQ273"/>
  <c r="GR273" s="1"/>
  <c r="GS273" s="1"/>
  <c r="GT273" s="1"/>
  <c r="GU273" s="1"/>
  <c r="GV273"/>
  <c r="GW273" l="1"/>
  <c r="GX273" s="1"/>
  <c r="GY273" s="1"/>
  <c r="HC273"/>
  <c r="JE273"/>
  <c r="JF273" s="1"/>
  <c r="JG273" s="1"/>
  <c r="JH273" s="1"/>
  <c r="JI273" s="1"/>
  <c r="KD273"/>
  <c r="JJ273"/>
  <c r="IH273"/>
  <c r="II273" s="1"/>
  <c r="IJ273" s="1"/>
  <c r="IK273" s="1"/>
  <c r="IL273" s="1"/>
  <c r="IM273"/>
  <c r="LB123"/>
  <c r="KW123"/>
  <c r="KX123" s="1"/>
  <c r="KY123" s="1"/>
  <c r="KZ123" s="1"/>
  <c r="LA123" s="1"/>
  <c r="HP273"/>
  <c r="HQ273" s="1"/>
  <c r="HR273" s="1"/>
  <c r="HS273" s="1"/>
  <c r="HT273" s="1"/>
  <c r="HU273"/>
  <c r="GZ273" l="1"/>
  <c r="HA273" s="1"/>
  <c r="HB273" s="1"/>
  <c r="HV273"/>
  <c r="HW273" s="1"/>
  <c r="HX273" s="1"/>
  <c r="HY273"/>
  <c r="IQ273"/>
  <c r="IN273"/>
  <c r="IO273" s="1"/>
  <c r="IP273" s="1"/>
  <c r="JK273"/>
  <c r="JL273" s="1"/>
  <c r="JM273" s="1"/>
  <c r="JN273" s="1"/>
  <c r="JO273" s="1"/>
  <c r="JP273"/>
  <c r="LF123"/>
  <c r="LC123"/>
  <c r="LD123" s="1"/>
  <c r="LE123" s="1"/>
  <c r="LG273"/>
  <c r="KE273"/>
  <c r="KF273" s="1"/>
  <c r="KG273" s="1"/>
  <c r="KH273" s="1"/>
  <c r="KI273" s="1"/>
  <c r="KJ273"/>
  <c r="KP273" l="1"/>
  <c r="KK273"/>
  <c r="KL273" s="1"/>
  <c r="KM273" s="1"/>
  <c r="KN273" s="1"/>
  <c r="KO273" s="1"/>
  <c r="IR273"/>
  <c r="IS273" s="1"/>
  <c r="IT273" s="1"/>
  <c r="IU273" s="1"/>
  <c r="IV273" s="1"/>
  <c r="IW273"/>
  <c r="JV273"/>
  <c r="JQ273"/>
  <c r="JR273" s="1"/>
  <c r="JS273" s="1"/>
  <c r="JT273" s="1"/>
  <c r="JU273" s="1"/>
  <c r="IC273"/>
  <c r="HZ273"/>
  <c r="IA273" s="1"/>
  <c r="IB273" s="1"/>
  <c r="KC273" l="1"/>
  <c r="JW273"/>
  <c r="JX273" s="1"/>
  <c r="JY273" s="1"/>
  <c r="JZ273" s="1"/>
  <c r="KB273" s="1"/>
  <c r="KV273"/>
  <c r="KQ273"/>
  <c r="KR273" s="1"/>
  <c r="KS273" s="1"/>
  <c r="KT273" s="1"/>
  <c r="KU273" s="1"/>
  <c r="JC273"/>
  <c r="IX273"/>
  <c r="IY273" s="1"/>
  <c r="IZ273" s="1"/>
  <c r="JA273" s="1"/>
  <c r="JB273" s="1"/>
  <c r="KW273" l="1"/>
  <c r="KX273" s="1"/>
  <c r="KY273" s="1"/>
  <c r="KZ273" s="1"/>
  <c r="LA273" s="1"/>
  <c r="LB273"/>
  <c r="LF273" l="1"/>
  <c r="LC273"/>
  <c r="LD273" s="1"/>
  <c r="LE273" s="1"/>
  <c r="CZ98"/>
  <c r="CZ107" s="1"/>
  <c r="CZ109" l="1"/>
  <c r="DA109" s="1"/>
  <c r="CZ260"/>
  <c r="CZ264"/>
  <c r="DA264" s="1"/>
  <c r="DT209" l="1"/>
  <c r="DR209"/>
  <c r="DS209"/>
  <c r="DR204"/>
  <c r="DR207"/>
  <c r="DR275"/>
  <c r="DS275"/>
  <c r="DT275"/>
</calcChain>
</file>

<file path=xl/comments1.xml><?xml version="1.0" encoding="utf-8"?>
<comments xmlns="http://schemas.openxmlformats.org/spreadsheetml/2006/main">
  <authors>
    <author>mohamed_limaiem</author>
  </authors>
  <commentList>
    <comment ref="AY166" authorId="0">
      <text>
        <r>
          <rPr>
            <b/>
            <sz val="12"/>
            <color indexed="81"/>
            <rFont val="Times New Roman"/>
            <family val="1"/>
          </rPr>
          <t>SSP</t>
        </r>
        <r>
          <rPr>
            <sz val="8"/>
            <color indexed="81"/>
            <rFont val="Tahoma"/>
            <family val="2"/>
          </rPr>
          <t xml:space="preserve">
</t>
        </r>
      </text>
    </comment>
    <comment ref="BC166" authorId="0">
      <text>
        <r>
          <rPr>
            <b/>
            <sz val="8"/>
            <color indexed="81"/>
            <rFont val="Tahoma"/>
            <family val="2"/>
          </rPr>
          <t>S S P</t>
        </r>
        <r>
          <rPr>
            <sz val="8"/>
            <color indexed="81"/>
            <rFont val="Tahoma"/>
            <family val="2"/>
          </rPr>
          <t xml:space="preserve">
</t>
        </r>
      </text>
    </comment>
  </commentList>
</comments>
</file>

<file path=xl/sharedStrings.xml><?xml version="1.0" encoding="utf-8"?>
<sst xmlns="http://schemas.openxmlformats.org/spreadsheetml/2006/main" count="2883" uniqueCount="1146">
  <si>
    <t>TYPE</t>
  </si>
  <si>
    <t>DESIGN</t>
  </si>
  <si>
    <t>Fact N°</t>
  </si>
  <si>
    <t>MT</t>
  </si>
  <si>
    <t>BQ</t>
  </si>
  <si>
    <t>Échéance</t>
  </si>
  <si>
    <t>N° CHQ</t>
  </si>
  <si>
    <t>CH</t>
  </si>
  <si>
    <t>STB TH</t>
  </si>
  <si>
    <t>OHMELEC</t>
  </si>
  <si>
    <t>GENERAL INCENDIE</t>
  </si>
  <si>
    <t>TR</t>
  </si>
  <si>
    <t>FACTURE</t>
  </si>
  <si>
    <t>STA</t>
  </si>
  <si>
    <t>FOURNISSEUR</t>
  </si>
  <si>
    <t>MONNAIE</t>
  </si>
  <si>
    <t>MONT DEV.</t>
  </si>
  <si>
    <t>MONT DT</t>
  </si>
  <si>
    <t>MOD REG</t>
  </si>
  <si>
    <t>DATE FACTURE</t>
  </si>
  <si>
    <t>CPTE PAIEMENT</t>
  </si>
  <si>
    <t>REGLEMENT</t>
  </si>
  <si>
    <t>EUR</t>
  </si>
  <si>
    <t>USD</t>
  </si>
  <si>
    <t>TND</t>
  </si>
  <si>
    <t>SOVEMA</t>
  </si>
  <si>
    <t>Paiement du mois : EUR</t>
  </si>
  <si>
    <t>Paiement du mois : GBP</t>
  </si>
  <si>
    <t>Paiement du mois : USD</t>
  </si>
  <si>
    <t xml:space="preserve"> </t>
  </si>
  <si>
    <t>SNA</t>
  </si>
  <si>
    <t>FINANCEMENTS DE DEVISE IMPORT</t>
  </si>
  <si>
    <t>Fournisseur</t>
  </si>
  <si>
    <t>Montant en devise</t>
  </si>
  <si>
    <t>Cours</t>
  </si>
  <si>
    <t>Montant en dinars</t>
  </si>
  <si>
    <t>Date MEP</t>
  </si>
  <si>
    <t>Observation</t>
  </si>
  <si>
    <t>STA NOUR</t>
  </si>
  <si>
    <t>Total</t>
  </si>
  <si>
    <t>SNA NOUR</t>
  </si>
  <si>
    <t>STA-NOUR</t>
  </si>
  <si>
    <t>Crédit</t>
  </si>
  <si>
    <t>Principal</t>
  </si>
  <si>
    <t>Intérêt</t>
  </si>
  <si>
    <t>PP</t>
  </si>
  <si>
    <t>INT</t>
  </si>
  <si>
    <t>STB 87MD</t>
  </si>
  <si>
    <t>SNA-NOUR</t>
  </si>
  <si>
    <t>STB 2418MD</t>
  </si>
  <si>
    <t>BTK 1488MD</t>
  </si>
  <si>
    <t>STUSIDE 800MD</t>
  </si>
  <si>
    <t>STB 800MD</t>
  </si>
  <si>
    <t>STB 200MD</t>
  </si>
  <si>
    <t>BTK300MD</t>
  </si>
  <si>
    <t>STB 1000MD</t>
  </si>
  <si>
    <t>Date</t>
  </si>
  <si>
    <t>CLIENT</t>
  </si>
  <si>
    <t>Facture</t>
  </si>
  <si>
    <t>MCNE</t>
  </si>
  <si>
    <t>DIFFERENCE</t>
  </si>
  <si>
    <t>Numéro</t>
  </si>
  <si>
    <t>DEV</t>
  </si>
  <si>
    <t>MONTANT</t>
  </si>
  <si>
    <t>Montant</t>
  </si>
  <si>
    <t>DATE MEP</t>
  </si>
  <si>
    <t>ECHEANCE</t>
  </si>
  <si>
    <t xml:space="preserve">Date </t>
  </si>
  <si>
    <t>MARIBAT</t>
  </si>
  <si>
    <t>FN110017</t>
  </si>
  <si>
    <t>ERRAFIK</t>
  </si>
  <si>
    <t>NON REGLEE</t>
  </si>
  <si>
    <t>TOTAL USD</t>
  </si>
  <si>
    <t>TOTAL EURO</t>
  </si>
  <si>
    <t>ENCOURS EXPORT 2012</t>
  </si>
  <si>
    <t>LA DOUANE</t>
  </si>
  <si>
    <t>LYS IMPRESSION</t>
  </si>
  <si>
    <t>Dépense</t>
  </si>
  <si>
    <t>Autre achat import</t>
  </si>
  <si>
    <t>Autre achat local</t>
  </si>
  <si>
    <t>Transport</t>
  </si>
  <si>
    <t>Energie</t>
  </si>
  <si>
    <t>Steg</t>
  </si>
  <si>
    <t>Sonede</t>
  </si>
  <si>
    <t>Telecommunication</t>
  </si>
  <si>
    <t>Salaire</t>
  </si>
  <si>
    <t>Charge Social</t>
  </si>
  <si>
    <t>Compagne Marketing</t>
  </si>
  <si>
    <t>Autre</t>
  </si>
  <si>
    <t>Recette des Finances</t>
  </si>
  <si>
    <t>Recette</t>
  </si>
  <si>
    <t>STA NOUR Trt</t>
  </si>
  <si>
    <t>SNA NOUR Trt</t>
  </si>
  <si>
    <t>STA NOUR Chq</t>
  </si>
  <si>
    <t>SNA NOUR Chq</t>
  </si>
  <si>
    <t>Frais Recouvrement</t>
  </si>
  <si>
    <t>Solde</t>
  </si>
  <si>
    <t>S N D</t>
  </si>
  <si>
    <t>Achat Matière 1èr import</t>
  </si>
  <si>
    <t>Achat Matière 1èr local</t>
  </si>
  <si>
    <t>C M T</t>
  </si>
  <si>
    <t>F E D</t>
  </si>
  <si>
    <t>Recette Etranger Dollars</t>
  </si>
  <si>
    <t>Recette Local</t>
  </si>
  <si>
    <t>Fonderie Hnaya Chq</t>
  </si>
  <si>
    <t>Achat Plomb</t>
  </si>
  <si>
    <t>NOUR</t>
  </si>
  <si>
    <t>S N A</t>
  </si>
  <si>
    <t>Escompte Effet</t>
  </si>
  <si>
    <t>Douanes</t>
  </si>
  <si>
    <t>Achat Pièce Rechange</t>
  </si>
  <si>
    <t>FONDERIE HNAYA</t>
  </si>
  <si>
    <t>Règlement S T A</t>
  </si>
  <si>
    <t>Règlement S N A</t>
  </si>
  <si>
    <t>Achat Batterie usage</t>
  </si>
  <si>
    <t>Commission banque</t>
  </si>
  <si>
    <t>Commission préavis</t>
  </si>
  <si>
    <t>Leasing</t>
  </si>
  <si>
    <t>0001013</t>
  </si>
  <si>
    <t>ENCOURS EXPORT 2013</t>
  </si>
  <si>
    <t>SONEDE</t>
  </si>
  <si>
    <t>0001024</t>
  </si>
  <si>
    <t>Recette Etranger EURO</t>
  </si>
  <si>
    <t>DATE-OP</t>
  </si>
  <si>
    <t>DATE-RECU</t>
  </si>
  <si>
    <t>MT OUV</t>
  </si>
  <si>
    <t>REG</t>
  </si>
  <si>
    <t>NJ</t>
  </si>
  <si>
    <t>SND</t>
  </si>
  <si>
    <t>FONDERIE HANAYA</t>
  </si>
  <si>
    <t>F 000097</t>
  </si>
  <si>
    <t>2F 04-05-06-2013</t>
  </si>
  <si>
    <t>EX130002</t>
  </si>
  <si>
    <t>S T A</t>
  </si>
  <si>
    <t>STB TH 2</t>
  </si>
  <si>
    <t>EX130004</t>
  </si>
  <si>
    <t>ENK</t>
  </si>
  <si>
    <t>EX130005</t>
  </si>
  <si>
    <t>Placement</t>
  </si>
  <si>
    <t>EL HARAMAINE</t>
  </si>
  <si>
    <t>Compte</t>
  </si>
  <si>
    <t>Titulaire</t>
  </si>
  <si>
    <t>Arrêté au</t>
  </si>
  <si>
    <t>Devise</t>
  </si>
  <si>
    <t xml:space="preserve">TND </t>
  </si>
  <si>
    <t xml:space="preserve">FONDERIE EL HANAYA </t>
  </si>
  <si>
    <t xml:space="preserve">STE NOUR </t>
  </si>
  <si>
    <t xml:space="preserve">STE T.I.B TUNISIAN INTER BUSINES SARL </t>
  </si>
  <si>
    <t xml:space="preserve">STE TUNISIENNE D ACCUMULATEUR NOUR </t>
  </si>
  <si>
    <t xml:space="preserve">STE NOUR DISTRIBUT S.N.D </t>
  </si>
  <si>
    <t xml:space="preserve">STE TUNISIENNE DE L ACCUMULATEUR NOUR </t>
  </si>
  <si>
    <t xml:space="preserve">STA NOUR </t>
  </si>
  <si>
    <t xml:space="preserve">STE NLLE DES ACCUMUL BATTERIES NOUR </t>
  </si>
  <si>
    <t xml:space="preserve">IMMOBILIERE DE LA ZONE SARL </t>
  </si>
  <si>
    <t xml:space="preserve">INTERNATIONAL TUNISIAN NEGOCE.ITN </t>
  </si>
  <si>
    <t xml:space="preserve">STE NOUVELLE DES ACCUMILATEURS NOUR </t>
  </si>
  <si>
    <t xml:space="preserve">EUR </t>
  </si>
  <si>
    <t xml:space="preserve">INTERNATIONAL TUNISIAN NEGOCE I.T.N </t>
  </si>
  <si>
    <t xml:space="preserve">SOCIETE NOUR DISTRIBUTION </t>
  </si>
  <si>
    <t xml:space="preserve">SOCIETE NOUR DESTRIBTION </t>
  </si>
  <si>
    <t xml:space="preserve">SOCIETE NOUVELLE DES ACCUMULATEURS NOUR </t>
  </si>
  <si>
    <t xml:space="preserve">USD </t>
  </si>
  <si>
    <t xml:space="preserve">SOCIETE NOUVELLE ACCUMULATEUR NOUR </t>
  </si>
  <si>
    <t>TOTAL 2014</t>
  </si>
  <si>
    <t>Total 12/2014</t>
  </si>
  <si>
    <t>TAUX EURO/TND</t>
  </si>
  <si>
    <t>BOUDRANT</t>
  </si>
  <si>
    <t>02/01 - 03/01</t>
  </si>
  <si>
    <t>SOLDE CUMULE</t>
  </si>
  <si>
    <t>VIREMENT</t>
  </si>
  <si>
    <t>Loyer Agence</t>
  </si>
  <si>
    <t>Agios</t>
  </si>
  <si>
    <t>TAUX USD/TND</t>
  </si>
  <si>
    <t>TAUX GBP/TND</t>
  </si>
  <si>
    <t>S N A EURO</t>
  </si>
  <si>
    <t>Vente Euro</t>
  </si>
  <si>
    <t>S N A Dollars</t>
  </si>
  <si>
    <t>Crédit de Gestion</t>
  </si>
  <si>
    <t>S T A EURO</t>
  </si>
  <si>
    <t>S T A Dollars</t>
  </si>
  <si>
    <t>SOLDE TOTAL</t>
  </si>
  <si>
    <t>Vente Dollars</t>
  </si>
  <si>
    <t>ENCOURS EXPORT 2014</t>
  </si>
  <si>
    <t>UTCI EL OUNS</t>
  </si>
  <si>
    <t>DISTRIBUTION DIVIDENDES</t>
  </si>
  <si>
    <t>006153485030</t>
  </si>
  <si>
    <t>006176110183</t>
  </si>
  <si>
    <t>006176110280</t>
  </si>
  <si>
    <t>006176110377</t>
  </si>
  <si>
    <t>006176110474</t>
  </si>
  <si>
    <t>006176110571</t>
  </si>
  <si>
    <t>006176110668</t>
  </si>
  <si>
    <t>006176110765</t>
  </si>
  <si>
    <t>006176110862</t>
  </si>
  <si>
    <t>006176110959</t>
  </si>
  <si>
    <t>006176111056</t>
  </si>
  <si>
    <t>006176111153</t>
  </si>
  <si>
    <t>Paiement du mois : $</t>
  </si>
  <si>
    <t>Vente $</t>
  </si>
  <si>
    <t>DATE</t>
  </si>
  <si>
    <t>N° BL</t>
  </si>
  <si>
    <t>QUANTITE</t>
  </si>
  <si>
    <t>PAIEMENT</t>
  </si>
  <si>
    <t>OK</t>
  </si>
  <si>
    <t>Reliquat 2013</t>
  </si>
  <si>
    <t>P U ht</t>
  </si>
  <si>
    <t>total 01/2014</t>
  </si>
  <si>
    <t>ETAIN 77%</t>
  </si>
  <si>
    <t>PLOMB</t>
  </si>
  <si>
    <t>total ETAIN</t>
  </si>
  <si>
    <t>total PLOMB</t>
  </si>
  <si>
    <t>STEF IRAK</t>
  </si>
  <si>
    <t>FN140001</t>
  </si>
  <si>
    <t>total 02/2014</t>
  </si>
  <si>
    <t>Euro</t>
  </si>
  <si>
    <t>$</t>
  </si>
  <si>
    <t>GIRELLI</t>
  </si>
  <si>
    <t>ETAIN 71,86%</t>
  </si>
  <si>
    <t>Avance le 07/02/2014 chq 0008589</t>
  </si>
  <si>
    <t>EX140001</t>
  </si>
  <si>
    <t>LME</t>
  </si>
  <si>
    <t>Avance le 28/02/2014 chq 0008656</t>
  </si>
  <si>
    <t>Achat Plomb import</t>
  </si>
  <si>
    <t>total 03/2014</t>
  </si>
  <si>
    <t>ETAIN 70,55%</t>
  </si>
  <si>
    <t>U T C I</t>
  </si>
  <si>
    <t>Avance reçu le 25/02/2013</t>
  </si>
  <si>
    <t>Remboursement reçu le 22/01/2014</t>
  </si>
  <si>
    <t>Participation</t>
  </si>
  <si>
    <t>Avance le 19/03/2014 chq 0008712</t>
  </si>
  <si>
    <t>SIA</t>
  </si>
  <si>
    <t>USP</t>
  </si>
  <si>
    <t>EX140002</t>
  </si>
  <si>
    <t>01/05 - 09/05</t>
  </si>
  <si>
    <t>mise en place</t>
  </si>
  <si>
    <t>total 05/2014</t>
  </si>
  <si>
    <t>STB MEG</t>
  </si>
  <si>
    <t>solde Hazem</t>
  </si>
  <si>
    <t>reste a payer</t>
  </si>
  <si>
    <t>EX140003</t>
  </si>
  <si>
    <t>total 06/2014</t>
  </si>
  <si>
    <t xml:space="preserve">F H </t>
  </si>
  <si>
    <t>DOLLARS</t>
  </si>
  <si>
    <t>EURO</t>
  </si>
  <si>
    <t>EX140004</t>
  </si>
  <si>
    <t>EX140005</t>
  </si>
  <si>
    <t>EX140006</t>
  </si>
  <si>
    <t>total 07/2014</t>
  </si>
  <si>
    <t>EX140007</t>
  </si>
  <si>
    <t>STE L'INDUSTRIEL</t>
  </si>
  <si>
    <t>SOCOOPEC</t>
  </si>
  <si>
    <t>EX140008</t>
  </si>
  <si>
    <t>STAM</t>
  </si>
  <si>
    <t>AKUMSAN</t>
  </si>
  <si>
    <t>01/08 - 09/08</t>
  </si>
  <si>
    <t>10/08 - 16/08</t>
  </si>
  <si>
    <t>17/08 - 23/08</t>
  </si>
  <si>
    <t>total 08/2014</t>
  </si>
  <si>
    <t>29/09 - 30/09</t>
  </si>
  <si>
    <t>PNA</t>
  </si>
  <si>
    <t>total 09/2014</t>
  </si>
  <si>
    <t>Metalliance</t>
  </si>
  <si>
    <t>EX140010</t>
  </si>
  <si>
    <t>MED ENERGY</t>
  </si>
  <si>
    <t>FN140041</t>
  </si>
  <si>
    <t>EX140012</t>
  </si>
  <si>
    <t xml:space="preserve">GROUPEMENT DE MEDECINE </t>
  </si>
  <si>
    <t>total 10/2014</t>
  </si>
  <si>
    <t>L'EQUIPEMENT MODERNE</t>
  </si>
  <si>
    <t>MANAR COUPE</t>
  </si>
  <si>
    <t>FN140047</t>
  </si>
  <si>
    <t>FN140052</t>
  </si>
  <si>
    <t>FN140053</t>
  </si>
  <si>
    <t>Avance le 15/04/2014 chq 0008795</t>
  </si>
  <si>
    <t>Avance le 04/09/2014 chq 0009140</t>
  </si>
  <si>
    <t>ETAIN 77,28%</t>
  </si>
  <si>
    <t>09/2014</t>
  </si>
  <si>
    <t>08/2014</t>
  </si>
  <si>
    <t>01/2014</t>
  </si>
  <si>
    <t>02/2014</t>
  </si>
  <si>
    <t>03/2014</t>
  </si>
  <si>
    <t>04/2014</t>
  </si>
  <si>
    <t>05/2014</t>
  </si>
  <si>
    <t>06/2014</t>
  </si>
  <si>
    <t>07/2014</t>
  </si>
  <si>
    <t>ETAIN 52,28 %</t>
  </si>
  <si>
    <t>ETAIN 71,32%</t>
  </si>
  <si>
    <t>SOKEEL</t>
  </si>
  <si>
    <t>01/12 - 07/12</t>
  </si>
  <si>
    <t>15/12 - 21/12</t>
  </si>
  <si>
    <t>22/12 - 28/12</t>
  </si>
  <si>
    <t>29/12 - 31/12</t>
  </si>
  <si>
    <t>AIR LIQUIDE</t>
  </si>
  <si>
    <t>AUTORISAT°</t>
  </si>
  <si>
    <t>FN140054</t>
  </si>
  <si>
    <t>FN140055</t>
  </si>
  <si>
    <t>FN140056</t>
  </si>
  <si>
    <t>FN140057</t>
  </si>
  <si>
    <t>12/2014</t>
  </si>
  <si>
    <t>total 11/2014</t>
  </si>
  <si>
    <t>total 12/2014</t>
  </si>
  <si>
    <t>Avance le 09/12/2014 chq 0001734</t>
  </si>
  <si>
    <t>Avance le 28/11/2014 chq 0001646</t>
  </si>
  <si>
    <t>FN140063</t>
  </si>
  <si>
    <t>NABIL DABBOUSSI</t>
  </si>
  <si>
    <t>LAD</t>
  </si>
  <si>
    <t>FN140064</t>
  </si>
  <si>
    <t>FN140065</t>
  </si>
  <si>
    <t>FN140066</t>
  </si>
  <si>
    <t>FN140067</t>
  </si>
  <si>
    <t xml:space="preserve">DISTRIBUTION * SARL* STE NOUR </t>
  </si>
  <si>
    <t xml:space="preserve">ALPHA MEDIA </t>
  </si>
  <si>
    <t xml:space="preserve">STE TECH ET INGENIER IE DE PRECISI </t>
  </si>
  <si>
    <t xml:space="preserve">STE PHENICIA DEVELOPPEMENT-SICAR- </t>
  </si>
  <si>
    <t xml:space="preserve">STE ACOR </t>
  </si>
  <si>
    <t xml:space="preserve">STE DE PROTECTION ET DE SECURITE </t>
  </si>
  <si>
    <t>FN140068</t>
  </si>
  <si>
    <t>FN150001</t>
  </si>
  <si>
    <t>05/01 - 09/01</t>
  </si>
  <si>
    <t>2ème SEMAINE 01/2015</t>
  </si>
  <si>
    <t>12/01 - 16/01</t>
  </si>
  <si>
    <t>3ème SEMAINE 01/2015</t>
  </si>
  <si>
    <t>19/01 - 23/01</t>
  </si>
  <si>
    <t>5ème SEMAINE 01/2015</t>
  </si>
  <si>
    <t>26/01 - 30/01</t>
  </si>
  <si>
    <t>1ère SEMAINE 02/2015</t>
  </si>
  <si>
    <t>2ème SEMAINE 02/2015</t>
  </si>
  <si>
    <t>3ème SEMAINE 02/2015</t>
  </si>
  <si>
    <t>1ère SEMAINE 03/2015</t>
  </si>
  <si>
    <t>2ème SEMAINE 03/2015</t>
  </si>
  <si>
    <t>3ème SEMAINE 03/2015</t>
  </si>
  <si>
    <t>1ère SEMAINE 05/2015</t>
  </si>
  <si>
    <t>2éme SEMAINE 05/2015</t>
  </si>
  <si>
    <t>3éme SEMAINE 05/2015</t>
  </si>
  <si>
    <t>5éme SEMAINE 05/2015</t>
  </si>
  <si>
    <t>1ère SEMAINE 06/2015</t>
  </si>
  <si>
    <t>2ème SEMAINE 06/2015</t>
  </si>
  <si>
    <t>3ème SEMAINE 06/2015</t>
  </si>
  <si>
    <t>1ère SEMAINE 07/2015</t>
  </si>
  <si>
    <t>01/07 - 05/07</t>
  </si>
  <si>
    <t>2ème SEMAINE 07/2015</t>
  </si>
  <si>
    <t>3ème SEMAINE 07/2015</t>
  </si>
  <si>
    <t>1ère SEMAINE 08/2015</t>
  </si>
  <si>
    <t>2ème SEMAINE 08/2015</t>
  </si>
  <si>
    <t>3ème SEMAINE 08/2015</t>
  </si>
  <si>
    <t>1ère SEMAINE 09/2015</t>
  </si>
  <si>
    <t>2ème SEMAINE 09/2015</t>
  </si>
  <si>
    <t>3ème SEMAINE 09/2015</t>
  </si>
  <si>
    <t>5ème SEMAINE 09/2015</t>
  </si>
  <si>
    <t>1er SEMAINE 10/2015</t>
  </si>
  <si>
    <t>2ème SEMAINE 10/2015</t>
  </si>
  <si>
    <t>3ème SEMAINE 10/2015</t>
  </si>
  <si>
    <t>5ème SEMAINE 10/2015</t>
  </si>
  <si>
    <t>1er SEMAINE 11/2015</t>
  </si>
  <si>
    <t>2ème SEMAINE 11/2015</t>
  </si>
  <si>
    <t>3ème SEMAINE 11/2015</t>
  </si>
  <si>
    <t>1er SEMAINE 12/2015</t>
  </si>
  <si>
    <t>2ème SEMAINE 12/2015</t>
  </si>
  <si>
    <t>08/12 - 15/12</t>
  </si>
  <si>
    <t>3ème SEMAINE 12/2015</t>
  </si>
  <si>
    <t>5ème SEMAINE 12/2015</t>
  </si>
  <si>
    <t>4ème SEMAINE 02/2015</t>
  </si>
  <si>
    <t>4ème SEMAINE 03/2015</t>
  </si>
  <si>
    <t>4éme SEMAINE 05/2015</t>
  </si>
  <si>
    <t>4ème SEMAINE 06/2015</t>
  </si>
  <si>
    <t>4ème SEMAINE 07/2015</t>
  </si>
  <si>
    <t>4ème SEMAINE 08/2015</t>
  </si>
  <si>
    <t>4ème SEMAINE 09/2015</t>
  </si>
  <si>
    <t>4ème SEMAINE 10/2015</t>
  </si>
  <si>
    <t>4ème SEMAINE 11/2015</t>
  </si>
  <si>
    <t>4ème SEMAINE 12/2015</t>
  </si>
  <si>
    <t>1ère SEM 01/2015</t>
  </si>
  <si>
    <t>Réparation</t>
  </si>
  <si>
    <t>SOLDE 31/12/2014</t>
  </si>
  <si>
    <t>Chèque VERSABLE</t>
  </si>
  <si>
    <t>Espece</t>
  </si>
  <si>
    <t>Commission remise Chq</t>
  </si>
  <si>
    <t>Commission caution Def</t>
  </si>
  <si>
    <t>Commission caution prov</t>
  </si>
  <si>
    <t>Commission traite imp</t>
  </si>
  <si>
    <t>Commission D A D</t>
  </si>
  <si>
    <t>T V A</t>
  </si>
  <si>
    <t>Chèque P F</t>
  </si>
  <si>
    <t>Traite P F</t>
  </si>
  <si>
    <t>Traite encaissement</t>
  </si>
  <si>
    <t>Traite Impayé</t>
  </si>
  <si>
    <t>Frais Dépassement</t>
  </si>
  <si>
    <t>Commission remise TRT</t>
  </si>
  <si>
    <t>Avance</t>
  </si>
  <si>
    <t>Prime</t>
  </si>
  <si>
    <t>Commission / Aval</t>
  </si>
  <si>
    <t>Commission / Admission</t>
  </si>
  <si>
    <t>Commission / CAUT DEF</t>
  </si>
  <si>
    <t>Commission / CAUT PROV</t>
  </si>
  <si>
    <t>Commission / Obligation</t>
  </si>
  <si>
    <t>Commission / Reg Effet</t>
  </si>
  <si>
    <t>Commission / CH Certifié</t>
  </si>
  <si>
    <t>Commission / Domiciliation</t>
  </si>
  <si>
    <t>Commission / Virement</t>
  </si>
  <si>
    <t>Recette SND</t>
  </si>
  <si>
    <t>M C N E</t>
  </si>
  <si>
    <t>Achat Plomb LOCAL</t>
  </si>
  <si>
    <t>Achat Pièce Détaché</t>
  </si>
  <si>
    <t>Frais / export</t>
  </si>
  <si>
    <t>Achat Matière 1èr LOCAL</t>
  </si>
  <si>
    <t>Autre achat matiere 1er</t>
  </si>
  <si>
    <t>ECHEANCIER 2015</t>
  </si>
  <si>
    <t>Total 01/2015</t>
  </si>
  <si>
    <t>Total 02/2015</t>
  </si>
  <si>
    <t>Total 03/2015</t>
  </si>
  <si>
    <t>Total 05/2015</t>
  </si>
  <si>
    <t>Total 06/2015</t>
  </si>
  <si>
    <t>Total 07/2015</t>
  </si>
  <si>
    <t>Total 08/2015</t>
  </si>
  <si>
    <t>Total 09/2015</t>
  </si>
  <si>
    <t>Total 11/2015</t>
  </si>
  <si>
    <t>Total 12/2015</t>
  </si>
  <si>
    <t>Total 12/ 2015</t>
  </si>
  <si>
    <t>TOTAL 2015</t>
  </si>
  <si>
    <t>ENCOURS EXPORT 2015</t>
  </si>
  <si>
    <t>F 20120088</t>
  </si>
  <si>
    <t>0001026</t>
  </si>
  <si>
    <t>MODELEC</t>
  </si>
  <si>
    <t>STE MOHAMED ALI</t>
  </si>
  <si>
    <t>F 23/12/2014</t>
  </si>
  <si>
    <t>0005494</t>
  </si>
  <si>
    <t>ELECTRO DIESEL TUNISIE</t>
  </si>
  <si>
    <t>F 221646</t>
  </si>
  <si>
    <t>0001135</t>
  </si>
  <si>
    <t>4ème SEMAINE 01/2015</t>
  </si>
  <si>
    <t>Virement SBE</t>
  </si>
  <si>
    <t>FN150002</t>
  </si>
  <si>
    <t>EX150001</t>
  </si>
  <si>
    <t>02/02 - 06/02</t>
  </si>
  <si>
    <t>09/02 - 14/02</t>
  </si>
  <si>
    <t>16/02 - 20/02</t>
  </si>
  <si>
    <t>23/02 - 28/02</t>
  </si>
  <si>
    <t>PROSID</t>
  </si>
  <si>
    <t>OK POLYSTYRENE</t>
  </si>
  <si>
    <t>FN150003</t>
  </si>
  <si>
    <t>ETAIN 70%</t>
  </si>
  <si>
    <t>ETAIN 96%</t>
  </si>
  <si>
    <t>Avance le 25/02/2015 chq 0001981</t>
  </si>
  <si>
    <t>Solde 2015</t>
  </si>
  <si>
    <t>SOLDE 2014 LE 25/02/2015 CHQ 0001980</t>
  </si>
  <si>
    <t>Solde 25/02/15</t>
  </si>
  <si>
    <t>GROUPE GENERAL LINGOTS METAL</t>
  </si>
  <si>
    <t>4éme SEMAINE 04/2015</t>
  </si>
  <si>
    <t>3éme SEMAINE 04/2015</t>
  </si>
  <si>
    <t>2éme SEMAINE 04/2015</t>
  </si>
  <si>
    <t>01/04 - 05/04</t>
  </si>
  <si>
    <t>1ère SEMAINE 04/2015</t>
  </si>
  <si>
    <t>02/03 - 06/03</t>
  </si>
  <si>
    <t>09/03 - 13/03</t>
  </si>
  <si>
    <t>16/03 - 19/03</t>
  </si>
  <si>
    <t>23/03 - 27/03</t>
  </si>
  <si>
    <t>30/03 - 31/03</t>
  </si>
  <si>
    <t>EX150002</t>
  </si>
  <si>
    <t>EX150003</t>
  </si>
  <si>
    <t>EX150004</t>
  </si>
  <si>
    <t>EX150005</t>
  </si>
  <si>
    <t>FN150008</t>
  </si>
  <si>
    <t>C C A</t>
  </si>
  <si>
    <t>GERMANETTI</t>
  </si>
  <si>
    <t>SOTRADIES</t>
  </si>
  <si>
    <t>COCEA DETAIL</t>
  </si>
  <si>
    <t>F 1400238+AV15000015</t>
  </si>
  <si>
    <t>0005790</t>
  </si>
  <si>
    <t>F 200919</t>
  </si>
  <si>
    <t>0001146</t>
  </si>
  <si>
    <t>F 116412</t>
  </si>
  <si>
    <t>0001147</t>
  </si>
  <si>
    <t>F 221935</t>
  </si>
  <si>
    <t>0001148</t>
  </si>
  <si>
    <t>FN150012</t>
  </si>
  <si>
    <t>FN150013</t>
  </si>
  <si>
    <t>FN150014</t>
  </si>
  <si>
    <t>FN150015</t>
  </si>
  <si>
    <t>0002055</t>
  </si>
  <si>
    <t>STE TRACTEUR DU NORD</t>
  </si>
  <si>
    <t>REPRISE</t>
  </si>
  <si>
    <t>SCHNEIDER ELECTRIC TUNISIE</t>
  </si>
  <si>
    <t>F 1500028</t>
  </si>
  <si>
    <t>0001154</t>
  </si>
  <si>
    <t>F 94328+94331</t>
  </si>
  <si>
    <t>0001155</t>
  </si>
  <si>
    <t>06/04 - 12/04</t>
  </si>
  <si>
    <t>13/04 - 19/04</t>
  </si>
  <si>
    <t>20/04 - 26/04</t>
  </si>
  <si>
    <t>27/04 - 30/04</t>
  </si>
  <si>
    <t>TOTAL</t>
  </si>
  <si>
    <t>006770241294</t>
  </si>
  <si>
    <t>FN150020</t>
  </si>
  <si>
    <t>FN150021</t>
  </si>
  <si>
    <t>REGUIGUI PNEUMATIQUE</t>
  </si>
  <si>
    <t>MIP PRINT</t>
  </si>
  <si>
    <t>F 1500268</t>
  </si>
  <si>
    <t>0002073</t>
  </si>
  <si>
    <t>F 15164</t>
  </si>
  <si>
    <t>006770244495</t>
  </si>
  <si>
    <t>FN150022</t>
  </si>
  <si>
    <t>LOTFI KACEM ET CIE</t>
  </si>
  <si>
    <t>F 151363</t>
  </si>
  <si>
    <t>0002081</t>
  </si>
  <si>
    <t>TIMAR</t>
  </si>
  <si>
    <t>FACT 36</t>
  </si>
  <si>
    <t>009514</t>
  </si>
  <si>
    <t>FACT 37</t>
  </si>
  <si>
    <t>009515</t>
  </si>
  <si>
    <t>009517</t>
  </si>
  <si>
    <t>11/05 - 17/05</t>
  </si>
  <si>
    <t>18/05 - 24/05</t>
  </si>
  <si>
    <t>25/05 - 31/05</t>
  </si>
  <si>
    <t>FN150023</t>
  </si>
  <si>
    <t>EX150006</t>
  </si>
  <si>
    <t>FN150027</t>
  </si>
  <si>
    <t>FN150028</t>
  </si>
  <si>
    <t>FN150030</t>
  </si>
  <si>
    <t>FN150029</t>
  </si>
  <si>
    <t>EX150007</t>
  </si>
  <si>
    <t>EX150008</t>
  </si>
  <si>
    <t>STARPACK</t>
  </si>
  <si>
    <t>0002096</t>
  </si>
  <si>
    <t>0002206</t>
  </si>
  <si>
    <t>F 28008</t>
  </si>
  <si>
    <t>006770231982</t>
  </si>
  <si>
    <t>TRANSIDER</t>
  </si>
  <si>
    <t>DISCOVERY INFORMATIQUE</t>
  </si>
  <si>
    <t>F 112</t>
  </si>
  <si>
    <t>006770232176</t>
  </si>
  <si>
    <t>15F00510</t>
  </si>
  <si>
    <t>006770232661</t>
  </si>
  <si>
    <t>SOVEMA 05</t>
  </si>
  <si>
    <t>0006082</t>
  </si>
  <si>
    <t>F 151411+151465</t>
  </si>
  <si>
    <t>01/06 - 07/06</t>
  </si>
  <si>
    <t>08/06 - 14/06</t>
  </si>
  <si>
    <t>15/06 - 21/06</t>
  </si>
  <si>
    <t>22/06 - 30/06</t>
  </si>
  <si>
    <t>FN150032</t>
  </si>
  <si>
    <t>FN150033</t>
  </si>
  <si>
    <t>FN150034</t>
  </si>
  <si>
    <t>FBI</t>
  </si>
  <si>
    <t>TOTAL TUNISIE</t>
  </si>
  <si>
    <t>SERINCOM</t>
  </si>
  <si>
    <t>F 151870+151971</t>
  </si>
  <si>
    <t>0002150</t>
  </si>
  <si>
    <t>FV202230</t>
  </si>
  <si>
    <t>0001160</t>
  </si>
  <si>
    <t>FU121087</t>
  </si>
  <si>
    <t>0001161</t>
  </si>
  <si>
    <t>FU119434</t>
  </si>
  <si>
    <t>0001162</t>
  </si>
  <si>
    <t>OB</t>
  </si>
  <si>
    <t>TUNO</t>
  </si>
  <si>
    <t>F 144+173</t>
  </si>
  <si>
    <t>0006125</t>
  </si>
  <si>
    <t>F 111</t>
  </si>
  <si>
    <t>GLOBAL LOGISTICS TUNISIE</t>
  </si>
  <si>
    <t>F 00527</t>
  </si>
  <si>
    <t>006770234213</t>
  </si>
  <si>
    <t>FN150035</t>
  </si>
  <si>
    <t>06/07 - 12/07</t>
  </si>
  <si>
    <t>13/07 - 19/07</t>
  </si>
  <si>
    <t>20/07 - 26/07</t>
  </si>
  <si>
    <t>5ème SEMAINE 07/2015</t>
  </si>
  <si>
    <t>27/07 - 31/07</t>
  </si>
  <si>
    <t>REVOLON</t>
  </si>
  <si>
    <t>STCM 02</t>
  </si>
  <si>
    <t>ASTRAL</t>
  </si>
  <si>
    <t>WORD MARITIME AGENCY</t>
  </si>
  <si>
    <t>0006185</t>
  </si>
  <si>
    <t>0006186</t>
  </si>
  <si>
    <t>OMMP</t>
  </si>
  <si>
    <t>006770234892</t>
  </si>
  <si>
    <t>006770234989</t>
  </si>
  <si>
    <t>F 00548</t>
  </si>
  <si>
    <t>006770235959</t>
  </si>
  <si>
    <t>LT2E</t>
  </si>
  <si>
    <t>F 118/15</t>
  </si>
  <si>
    <t>0002310</t>
  </si>
  <si>
    <t>0009564</t>
  </si>
  <si>
    <t>F 1504208+1504822</t>
  </si>
  <si>
    <t>006770236929</t>
  </si>
  <si>
    <t>F 29611</t>
  </si>
  <si>
    <t>0002317</t>
  </si>
  <si>
    <t>FN150036</t>
  </si>
  <si>
    <t>FN150041</t>
  </si>
  <si>
    <t>STCM</t>
  </si>
  <si>
    <t>F 143</t>
  </si>
  <si>
    <t>0002175</t>
  </si>
  <si>
    <t>STE NOUR</t>
  </si>
  <si>
    <t>F 1130023</t>
  </si>
  <si>
    <t>0001069</t>
  </si>
  <si>
    <t>EGAS</t>
  </si>
  <si>
    <t>0006215</t>
  </si>
  <si>
    <t>F 636</t>
  </si>
  <si>
    <t>00677023708</t>
  </si>
  <si>
    <t>F 137+141</t>
  </si>
  <si>
    <t>006770237802</t>
  </si>
  <si>
    <t>F150341</t>
  </si>
  <si>
    <t>0006221</t>
  </si>
  <si>
    <t>F01991</t>
  </si>
  <si>
    <t>0006226</t>
  </si>
  <si>
    <t>SIEM INTER</t>
  </si>
  <si>
    <t>F 92/15</t>
  </si>
  <si>
    <t>0006229</t>
  </si>
  <si>
    <t xml:space="preserve"> F 150632</t>
  </si>
  <si>
    <t>006770238190</t>
  </si>
  <si>
    <t>QUINCAILLERIE EL AMEN</t>
  </si>
  <si>
    <t>F 5342+3276</t>
  </si>
  <si>
    <t>0002345</t>
  </si>
  <si>
    <t>15F00552</t>
  </si>
  <si>
    <t>006770237317</t>
  </si>
  <si>
    <t>F 173</t>
  </si>
  <si>
    <t>0002353</t>
  </si>
  <si>
    <t>F 5160+5918</t>
  </si>
  <si>
    <t>006770238384</t>
  </si>
  <si>
    <t>EX150009</t>
  </si>
  <si>
    <t>FN150043</t>
  </si>
  <si>
    <t>FN150044</t>
  </si>
  <si>
    <t>FN150045</t>
  </si>
  <si>
    <t>FN150046</t>
  </si>
  <si>
    <t>ACCUMA 51</t>
  </si>
  <si>
    <t>OOREDOO</t>
  </si>
  <si>
    <t>MAHER DRIDI</t>
  </si>
  <si>
    <t>FACT 152336 + 152337</t>
  </si>
  <si>
    <t>0002187</t>
  </si>
  <si>
    <t>PRÊT STE</t>
  </si>
  <si>
    <t>F 4005405344</t>
  </si>
  <si>
    <t>0002192</t>
  </si>
  <si>
    <t>MAGREB SOLUTION</t>
  </si>
  <si>
    <t>METACONCEPT 4</t>
  </si>
  <si>
    <t>0006295</t>
  </si>
  <si>
    <t>OB00056</t>
  </si>
  <si>
    <t>0009583</t>
  </si>
  <si>
    <t>FA15/112848</t>
  </si>
  <si>
    <t>0009588</t>
  </si>
  <si>
    <t>F 1502311534</t>
  </si>
  <si>
    <t>0002381</t>
  </si>
  <si>
    <t>F 18/15</t>
  </si>
  <si>
    <t>0002383</t>
  </si>
  <si>
    <t>F 8230106510+8230106511</t>
  </si>
  <si>
    <t>0002385</t>
  </si>
  <si>
    <t>F 151166</t>
  </si>
  <si>
    <t>0002388</t>
  </si>
  <si>
    <t>EPS</t>
  </si>
  <si>
    <t>F 265</t>
  </si>
  <si>
    <t>0006281</t>
  </si>
  <si>
    <t>F E 5422</t>
  </si>
  <si>
    <t>0006286</t>
  </si>
  <si>
    <t>F 684+673</t>
  </si>
  <si>
    <t>006770238675</t>
  </si>
  <si>
    <t>EX150010</t>
  </si>
  <si>
    <t>1 er Prorogation</t>
  </si>
  <si>
    <t>ACCUMA 57</t>
  </si>
  <si>
    <t>24/08 - 31/08</t>
  </si>
  <si>
    <t>2RE</t>
  </si>
  <si>
    <t>SOVEMA 06</t>
  </si>
  <si>
    <t>0006083</t>
  </si>
  <si>
    <t>0006326</t>
  </si>
  <si>
    <t>CNSS</t>
  </si>
  <si>
    <t>PRÊT CNSS 15/08/15</t>
  </si>
  <si>
    <t>0006314</t>
  </si>
  <si>
    <t>0006390</t>
  </si>
  <si>
    <t>0006391</t>
  </si>
  <si>
    <t>LA POSTE</t>
  </si>
  <si>
    <t>DARAMIC ECHANTILLON</t>
  </si>
  <si>
    <t>0006400</t>
  </si>
  <si>
    <t>RIAHI WALID</t>
  </si>
  <si>
    <t>0006402</t>
  </si>
  <si>
    <t>FERJANI AYMEN</t>
  </si>
  <si>
    <t>0006403</t>
  </si>
  <si>
    <t>HADJ ALI WALID</t>
  </si>
  <si>
    <t>0006405</t>
  </si>
  <si>
    <t>BEN ABID ADEL</t>
  </si>
  <si>
    <t>0006406</t>
  </si>
  <si>
    <t>DRIDI MOUNIR</t>
  </si>
  <si>
    <t>0006407</t>
  </si>
  <si>
    <t>BEN MBAREK HICHEM</t>
  </si>
  <si>
    <t>0006408</t>
  </si>
  <si>
    <t>FACT 150380</t>
  </si>
  <si>
    <t>0006374</t>
  </si>
  <si>
    <t>FA151603</t>
  </si>
  <si>
    <t>0006375</t>
  </si>
  <si>
    <t>FACT 718+708+699+698</t>
  </si>
  <si>
    <t>006913075734</t>
  </si>
  <si>
    <t>FACT 150164</t>
  </si>
  <si>
    <t>0006377</t>
  </si>
  <si>
    <t>FACT 150381</t>
  </si>
  <si>
    <t>0006379</t>
  </si>
  <si>
    <t>FACT 3346+3347+3228</t>
  </si>
  <si>
    <t>006913076025</t>
  </si>
  <si>
    <t>FV204178</t>
  </si>
  <si>
    <t>0006380</t>
  </si>
  <si>
    <t>STE EPS</t>
  </si>
  <si>
    <t>15FA0311</t>
  </si>
  <si>
    <t>0006382</t>
  </si>
  <si>
    <t>F 15-0194</t>
  </si>
  <si>
    <t>0006384</t>
  </si>
  <si>
    <t>TVI</t>
  </si>
  <si>
    <t>FACT 617</t>
  </si>
  <si>
    <t>006913076316</t>
  </si>
  <si>
    <t>FACT 154</t>
  </si>
  <si>
    <t>006913076413</t>
  </si>
  <si>
    <t>FA215344</t>
  </si>
  <si>
    <t>0006386</t>
  </si>
  <si>
    <t>FACT 228+188</t>
  </si>
  <si>
    <t>006913076510</t>
  </si>
  <si>
    <t>FACT 571</t>
  </si>
  <si>
    <t>006913076607</t>
  </si>
  <si>
    <t>FACT 748+731+727</t>
  </si>
  <si>
    <t>006913076704</t>
  </si>
  <si>
    <t>FACT 150746</t>
  </si>
  <si>
    <t>006913076801</t>
  </si>
  <si>
    <t>0000044</t>
  </si>
  <si>
    <t>01/09 - 06/09</t>
  </si>
  <si>
    <t>07/09 - 13/09</t>
  </si>
  <si>
    <t>14/09 - 20/09</t>
  </si>
  <si>
    <t>21/09 - 27/09</t>
  </si>
  <si>
    <t>STUSID</t>
  </si>
  <si>
    <t>MODERNE AUTO</t>
  </si>
  <si>
    <t>FACT 07021853</t>
  </si>
  <si>
    <t>0002207</t>
  </si>
  <si>
    <t>F 4005408633</t>
  </si>
  <si>
    <t>0002216</t>
  </si>
  <si>
    <t>IMPAYE</t>
  </si>
  <si>
    <t>GENERAL CHIMIE</t>
  </si>
  <si>
    <t>006770239063</t>
  </si>
  <si>
    <t>TCA</t>
  </si>
  <si>
    <t>FACT 01/2015</t>
  </si>
  <si>
    <t>0009601</t>
  </si>
  <si>
    <t>0002446</t>
  </si>
  <si>
    <t>METACONCEPT 5</t>
  </si>
  <si>
    <t>0009607</t>
  </si>
  <si>
    <t>0002450</t>
  </si>
  <si>
    <t>COTECH</t>
  </si>
  <si>
    <t>006770243137</t>
  </si>
  <si>
    <t>006913076995</t>
  </si>
  <si>
    <t>FACT 8025+8015+6883</t>
  </si>
  <si>
    <t>0002423</t>
  </si>
  <si>
    <t>FACT 150162</t>
  </si>
  <si>
    <t>0002424</t>
  </si>
  <si>
    <t>FACT 9014</t>
  </si>
  <si>
    <t>0002425</t>
  </si>
  <si>
    <t>15FA4999</t>
  </si>
  <si>
    <t>0002427</t>
  </si>
  <si>
    <t>CARTHAGE OIL</t>
  </si>
  <si>
    <t>FACT 15/0427</t>
  </si>
  <si>
    <t>0002428</t>
  </si>
  <si>
    <t>FACT 195</t>
  </si>
  <si>
    <t>0002430</t>
  </si>
  <si>
    <t>FA15/114998</t>
  </si>
  <si>
    <t>0009599</t>
  </si>
  <si>
    <t>F151267</t>
  </si>
  <si>
    <t>0002434</t>
  </si>
  <si>
    <t>FACT 150413</t>
  </si>
  <si>
    <t>0002435</t>
  </si>
  <si>
    <t>F 15F00604</t>
  </si>
  <si>
    <t>006913075346</t>
  </si>
  <si>
    <t>MINISTER DE DEFENSE</t>
  </si>
  <si>
    <t>FACT 6478</t>
  </si>
  <si>
    <t>0002437</t>
  </si>
  <si>
    <t>FACT 687</t>
  </si>
  <si>
    <t>0002438</t>
  </si>
  <si>
    <t>FN150047</t>
  </si>
  <si>
    <t>FN150050</t>
  </si>
  <si>
    <t>EX150011</t>
  </si>
  <si>
    <t>EX150012</t>
  </si>
  <si>
    <t>FN150054</t>
  </si>
  <si>
    <t>FN150055</t>
  </si>
  <si>
    <t>ACCUMA 58</t>
  </si>
  <si>
    <t>ACCUMA 60</t>
  </si>
  <si>
    <t>ACCUMA 59</t>
  </si>
  <si>
    <t>FACT 152768</t>
  </si>
  <si>
    <t>0002226</t>
  </si>
  <si>
    <t>TCF</t>
  </si>
  <si>
    <t>FACT 31/08/15</t>
  </si>
  <si>
    <t>0002228</t>
  </si>
  <si>
    <t>F 150500283</t>
  </si>
  <si>
    <t>0002229</t>
  </si>
  <si>
    <t>EMPS</t>
  </si>
  <si>
    <t>STAR EQUIPEMENT</t>
  </si>
  <si>
    <t>GENERAL INDUSTRIE</t>
  </si>
  <si>
    <t>METALLIANCE 06</t>
  </si>
  <si>
    <t>0006420</t>
  </si>
  <si>
    <t>0006421</t>
  </si>
  <si>
    <t>MAERSK</t>
  </si>
  <si>
    <t>0006423</t>
  </si>
  <si>
    <t>0006424</t>
  </si>
  <si>
    <t>NAGHAR KHADIJA</t>
  </si>
  <si>
    <t>0006426</t>
  </si>
  <si>
    <t>AKREMIE MERIEM</t>
  </si>
  <si>
    <t>STC 2293</t>
  </si>
  <si>
    <t>0006427</t>
  </si>
  <si>
    <t>TUNITALY</t>
  </si>
  <si>
    <t>0006442</t>
  </si>
  <si>
    <t>0006443</t>
  </si>
  <si>
    <t>0006444</t>
  </si>
  <si>
    <t>0006445</t>
  </si>
  <si>
    <t>0006446</t>
  </si>
  <si>
    <t>0006447</t>
  </si>
  <si>
    <t>0006448</t>
  </si>
  <si>
    <t>0006449</t>
  </si>
  <si>
    <t>0006452</t>
  </si>
  <si>
    <t>0006453</t>
  </si>
  <si>
    <t>0006457</t>
  </si>
  <si>
    <t>F 1890/1324/2441</t>
  </si>
  <si>
    <t>006913076122</t>
  </si>
  <si>
    <t>006913077092</t>
  </si>
  <si>
    <t>006913077189</t>
  </si>
  <si>
    <t>COGIC</t>
  </si>
  <si>
    <t>LA MAISON DE L'INOX</t>
  </si>
  <si>
    <t>RESSORT BEN AISSA</t>
  </si>
  <si>
    <t>FACT 06/2015</t>
  </si>
  <si>
    <t>F7661/7586/7580/7539/7555/7528</t>
  </si>
  <si>
    <t>0002436</t>
  </si>
  <si>
    <t>MTL</t>
  </si>
  <si>
    <t>MARIBAT 2</t>
  </si>
  <si>
    <t>0009609</t>
  </si>
  <si>
    <t>0002469</t>
  </si>
  <si>
    <t>0002494</t>
  </si>
  <si>
    <t>0002482</t>
  </si>
  <si>
    <t>F 6072/5230/4952/4105</t>
  </si>
  <si>
    <t>006913075152</t>
  </si>
  <si>
    <t>ACCUMA 62</t>
  </si>
  <si>
    <t>ACCUMA 61</t>
  </si>
  <si>
    <t>FN150056</t>
  </si>
  <si>
    <t>FN150057</t>
  </si>
  <si>
    <t>FN150058</t>
  </si>
  <si>
    <t>FN150059</t>
  </si>
  <si>
    <t>EX150013</t>
  </si>
  <si>
    <t>FN150060</t>
  </si>
  <si>
    <t>ACCUMA 64</t>
  </si>
  <si>
    <t>ACCUMA 63</t>
  </si>
  <si>
    <t>NAJJAR ABDESSALEM</t>
  </si>
  <si>
    <t>PARENIN</t>
  </si>
  <si>
    <t>GSA</t>
  </si>
  <si>
    <t>LQA</t>
  </si>
  <si>
    <t>HOTEL EZZAHRA</t>
  </si>
  <si>
    <t>SOTUFLEX</t>
  </si>
  <si>
    <t>EL WIFEK</t>
  </si>
  <si>
    <t>BN CONSULTANT</t>
  </si>
  <si>
    <t>ORANGE</t>
  </si>
  <si>
    <t>CHIMEX</t>
  </si>
  <si>
    <t>STIRELEC</t>
  </si>
  <si>
    <t>SSP</t>
  </si>
  <si>
    <t>BECHIR BOUAICHA</t>
  </si>
  <si>
    <t>MULTIJOINTS</t>
  </si>
  <si>
    <t>TUNISIE TELECOM</t>
  </si>
  <si>
    <t>SHTM</t>
  </si>
  <si>
    <t>HPS</t>
  </si>
  <si>
    <t>HEDI OULED SAAD</t>
  </si>
  <si>
    <t>SAMIR MBAREK</t>
  </si>
  <si>
    <t>ALWASSILA PUB</t>
  </si>
  <si>
    <t>SOTRAM</t>
  </si>
  <si>
    <t>KENZA REPRESENTATIONS</t>
  </si>
  <si>
    <t>NORD INDUSTRIE</t>
  </si>
  <si>
    <t>HIGH DESIGN</t>
  </si>
  <si>
    <t>CHAMBRE DE COMMERCE</t>
  </si>
  <si>
    <t>BEN ALIA FRERES</t>
  </si>
  <si>
    <t>STE EL FATH</t>
  </si>
  <si>
    <t>SEMR</t>
  </si>
  <si>
    <t>0002234</t>
  </si>
  <si>
    <t>0002235</t>
  </si>
  <si>
    <t>0002236</t>
  </si>
  <si>
    <t>F 263</t>
  </si>
  <si>
    <t>EGS</t>
  </si>
  <si>
    <t>BIODET</t>
  </si>
  <si>
    <t>NOR INDUSTRIE</t>
  </si>
  <si>
    <t>FACT 08/2015</t>
  </si>
  <si>
    <t>FACT 219</t>
  </si>
  <si>
    <t>0002498</t>
  </si>
  <si>
    <t>0002499</t>
  </si>
  <si>
    <t>0002505</t>
  </si>
  <si>
    <t>0002536</t>
  </si>
  <si>
    <t>0009614</t>
  </si>
  <si>
    <t>0009615</t>
  </si>
  <si>
    <t>FACT 44/5060</t>
  </si>
  <si>
    <t>0009616</t>
  </si>
  <si>
    <t>0002507</t>
  </si>
  <si>
    <t>0002500</t>
  </si>
  <si>
    <t>F 150176</t>
  </si>
  <si>
    <t>0002532</t>
  </si>
  <si>
    <t>F 183</t>
  </si>
  <si>
    <t>0002533</t>
  </si>
  <si>
    <t>F 6866/6673/4660</t>
  </si>
  <si>
    <t>006913078450</t>
  </si>
  <si>
    <t>F 150551</t>
  </si>
  <si>
    <t>0002534</t>
  </si>
  <si>
    <t>F 805/783/789/749</t>
  </si>
  <si>
    <t>006913078547</t>
  </si>
  <si>
    <t>F 460/458/457</t>
  </si>
  <si>
    <t>0002535</t>
  </si>
  <si>
    <t>F 530/504/484/485</t>
  </si>
  <si>
    <t>006406421280</t>
  </si>
  <si>
    <t>F 1491/1204/0761</t>
  </si>
  <si>
    <t>006046421474</t>
  </si>
  <si>
    <t>F 1500098</t>
  </si>
  <si>
    <t>0002508</t>
  </si>
  <si>
    <t>F 1175</t>
  </si>
  <si>
    <t>0002509</t>
  </si>
  <si>
    <t>F 112/156</t>
  </si>
  <si>
    <t>0002510</t>
  </si>
  <si>
    <t>F 116167</t>
  </si>
  <si>
    <t>0009617</t>
  </si>
  <si>
    <t>F 1502311727</t>
  </si>
  <si>
    <t>0002511</t>
  </si>
  <si>
    <t>FD309846</t>
  </si>
  <si>
    <t>0002512</t>
  </si>
  <si>
    <t>F 15/9</t>
  </si>
  <si>
    <t>0002513</t>
  </si>
  <si>
    <t>F 001449</t>
  </si>
  <si>
    <t>0002514</t>
  </si>
  <si>
    <t>F 1625</t>
  </si>
  <si>
    <t>006046421377</t>
  </si>
  <si>
    <t>EQUIPEMENT MODERNE</t>
  </si>
  <si>
    <t>F 3648/3519/3321/2887</t>
  </si>
  <si>
    <t>006046421183</t>
  </si>
  <si>
    <t>EQUIPEMENT HARDWARE</t>
  </si>
  <si>
    <t>F 1818/1176</t>
  </si>
  <si>
    <t>006913077868</t>
  </si>
  <si>
    <t>F 581</t>
  </si>
  <si>
    <t>0002516</t>
  </si>
  <si>
    <t>F 47398</t>
  </si>
  <si>
    <t>006913077965</t>
  </si>
  <si>
    <t>F 589/582/539</t>
  </si>
  <si>
    <t>0002517</t>
  </si>
  <si>
    <t>F 150786</t>
  </si>
  <si>
    <t>0002518</t>
  </si>
  <si>
    <t>F 728</t>
  </si>
  <si>
    <t>006913078062</t>
  </si>
  <si>
    <t>006913078159</t>
  </si>
  <si>
    <t>F 9054/8687</t>
  </si>
  <si>
    <t>0002519</t>
  </si>
  <si>
    <t>F67/298/241</t>
  </si>
  <si>
    <t>0002520</t>
  </si>
  <si>
    <t>F 150435</t>
  </si>
  <si>
    <t>006913078256</t>
  </si>
  <si>
    <t>F 129</t>
  </si>
  <si>
    <t>0002521</t>
  </si>
  <si>
    <t>F 4985</t>
  </si>
  <si>
    <t>0002522</t>
  </si>
  <si>
    <t>F 111917</t>
  </si>
  <si>
    <t>0002523</t>
  </si>
  <si>
    <t>F 151811</t>
  </si>
  <si>
    <t>006913078353</t>
  </si>
  <si>
    <t>FEDDAOUI AHMED</t>
  </si>
  <si>
    <t>F 08/09/15</t>
  </si>
  <si>
    <t>0002525</t>
  </si>
  <si>
    <t>F 2418/2462</t>
  </si>
  <si>
    <t>0002526</t>
  </si>
  <si>
    <t>F 1866/F 1941</t>
  </si>
  <si>
    <t>0002527</t>
  </si>
  <si>
    <t>ENNAKL VEHICULE INDUSTRIEL</t>
  </si>
  <si>
    <t>F 1073/717</t>
  </si>
  <si>
    <t>0002528</t>
  </si>
  <si>
    <t>F 38</t>
  </si>
  <si>
    <t>0009619</t>
  </si>
  <si>
    <t>0009620</t>
  </si>
  <si>
    <t>F 14/09</t>
  </si>
  <si>
    <t>0002529</t>
  </si>
  <si>
    <t>F 18/08</t>
  </si>
  <si>
    <t>0002530</t>
  </si>
  <si>
    <t>F 512576/512646/512641</t>
  </si>
  <si>
    <t>0002531</t>
  </si>
  <si>
    <t>MDC</t>
  </si>
  <si>
    <t>F 216</t>
  </si>
  <si>
    <t>SITEM</t>
  </si>
  <si>
    <t>AQUAPUR</t>
  </si>
  <si>
    <t>FACT 167/181/220</t>
  </si>
  <si>
    <t>0006465</t>
  </si>
  <si>
    <t>0006467</t>
  </si>
  <si>
    <t>0006468</t>
  </si>
  <si>
    <t>SINPAR</t>
  </si>
  <si>
    <t>0006469</t>
  </si>
  <si>
    <t>0006470</t>
  </si>
  <si>
    <t>0006478</t>
  </si>
  <si>
    <t>0006511</t>
  </si>
  <si>
    <t>0006512</t>
  </si>
  <si>
    <t>BONNA BETON</t>
  </si>
  <si>
    <t>0006480</t>
  </si>
  <si>
    <t>FACT 9335</t>
  </si>
  <si>
    <t>0006482</t>
  </si>
  <si>
    <t>FACT 75</t>
  </si>
  <si>
    <t>0006397</t>
  </si>
  <si>
    <t>FACT 77</t>
  </si>
  <si>
    <t>0006396</t>
  </si>
  <si>
    <t>SOVEMA 07</t>
  </si>
  <si>
    <t>0006473</t>
  </si>
  <si>
    <t>0006474</t>
  </si>
  <si>
    <t>SOVEMA 08</t>
  </si>
  <si>
    <t>0006475</t>
  </si>
  <si>
    <t>0006476</t>
  </si>
  <si>
    <t>F 630/266/2170</t>
  </si>
  <si>
    <t>0006484</t>
  </si>
  <si>
    <t>F 150238</t>
  </si>
  <si>
    <t>0006485</t>
  </si>
  <si>
    <t>F94468</t>
  </si>
  <si>
    <t>0006486</t>
  </si>
  <si>
    <t>F 3750</t>
  </si>
  <si>
    <t>006913079226</t>
  </si>
  <si>
    <t>F 151353</t>
  </si>
  <si>
    <t>0006487</t>
  </si>
  <si>
    <t>F 11394/11020</t>
  </si>
  <si>
    <t>006913079129</t>
  </si>
  <si>
    <t>F 269</t>
  </si>
  <si>
    <t>0006488</t>
  </si>
  <si>
    <t>MONDHER REGUEZ</t>
  </si>
  <si>
    <t>F 1054</t>
  </si>
  <si>
    <t>0006489</t>
  </si>
  <si>
    <t>F 0192015</t>
  </si>
  <si>
    <t>0006491</t>
  </si>
  <si>
    <t xml:space="preserve">ROMULUS </t>
  </si>
  <si>
    <t>F 476/494/477</t>
  </si>
  <si>
    <t>0006492</t>
  </si>
  <si>
    <t>F150170/150175/150178</t>
  </si>
  <si>
    <t>0006493</t>
  </si>
  <si>
    <t>F 08/09</t>
  </si>
  <si>
    <t>0006494</t>
  </si>
  <si>
    <t>F 16/09</t>
  </si>
  <si>
    <t>0006495</t>
  </si>
  <si>
    <t>F 774</t>
  </si>
  <si>
    <t>0006496</t>
  </si>
  <si>
    <t>F 0147</t>
  </si>
  <si>
    <t>0006497</t>
  </si>
  <si>
    <t>F 182/181</t>
  </si>
  <si>
    <t>0006498</t>
  </si>
  <si>
    <t>F 150806</t>
  </si>
  <si>
    <t>0006499</t>
  </si>
  <si>
    <t>F 782/781/785/756/754</t>
  </si>
  <si>
    <t>006913079032</t>
  </si>
  <si>
    <t>F 912/878/549</t>
  </si>
  <si>
    <t>0006500</t>
  </si>
  <si>
    <t>F 3632/3627</t>
  </si>
  <si>
    <t>0006501</t>
  </si>
  <si>
    <t>006913078935</t>
  </si>
  <si>
    <t>F 0484</t>
  </si>
  <si>
    <t>0006502</t>
  </si>
  <si>
    <t>F 501/</t>
  </si>
  <si>
    <t>006913078838</t>
  </si>
  <si>
    <t>F 514/500/476</t>
  </si>
  <si>
    <t>006913078741</t>
  </si>
  <si>
    <t>F 150455</t>
  </si>
  <si>
    <t>0006503</t>
  </si>
  <si>
    <t>F 150438</t>
  </si>
  <si>
    <t>0006504</t>
  </si>
  <si>
    <t>F 31/08</t>
  </si>
  <si>
    <t>0006505</t>
  </si>
  <si>
    <t>F 155</t>
  </si>
  <si>
    <t>0006506</t>
  </si>
  <si>
    <t>F 21/08</t>
  </si>
  <si>
    <t>0006507</t>
  </si>
  <si>
    <t>F 12/08</t>
  </si>
  <si>
    <t>0006508</t>
  </si>
  <si>
    <t>F 00228/15</t>
  </si>
  <si>
    <t>0006509</t>
  </si>
  <si>
    <t>MY CAR</t>
  </si>
  <si>
    <t>F 23275</t>
  </si>
  <si>
    <t>0006510</t>
  </si>
  <si>
    <t>F 00621</t>
  </si>
  <si>
    <t>006913078644</t>
  </si>
  <si>
    <t>FACT 09/2015</t>
  </si>
  <si>
    <t>4788973</t>
  </si>
  <si>
    <t>FACT 00218</t>
  </si>
  <si>
    <t>MAHDI GUERMAZI</t>
  </si>
  <si>
    <t>FACT 25/2015</t>
  </si>
  <si>
    <t>F00104</t>
  </si>
  <si>
    <t>TAHA MAMCHOU</t>
  </si>
  <si>
    <t xml:space="preserve">PRÊT STE </t>
  </si>
  <si>
    <t>4788980</t>
  </si>
  <si>
    <t>F 152505</t>
  </si>
  <si>
    <t>01/10 - 04/10</t>
  </si>
  <si>
    <t>ACCUMA 67</t>
  </si>
  <si>
    <t>ACCUMA 66</t>
  </si>
  <si>
    <t>ACCUMA 68</t>
  </si>
  <si>
    <t>ACCUMA 65</t>
  </si>
  <si>
    <t>total 01/2015</t>
  </si>
  <si>
    <t>total 02/2015</t>
  </si>
  <si>
    <t>total 03/2015</t>
  </si>
  <si>
    <t>Etain KAIS 96%</t>
  </si>
  <si>
    <t>total 04/2015</t>
  </si>
  <si>
    <t>total 05/2015</t>
  </si>
  <si>
    <t>total 06/2015</t>
  </si>
  <si>
    <t>total 08/2015</t>
  </si>
  <si>
    <t>total 09/2015</t>
  </si>
  <si>
    <t>ACCUMA 69</t>
  </si>
  <si>
    <t>ACCUMA 70</t>
  </si>
  <si>
    <t>ACCUMA 71</t>
  </si>
  <si>
    <t>FN150066</t>
  </si>
  <si>
    <t>FN150067</t>
  </si>
  <si>
    <t>FN150068</t>
  </si>
  <si>
    <t>FN150069</t>
  </si>
  <si>
    <t>FN150070</t>
  </si>
  <si>
    <t>ACCUMA 72</t>
  </si>
  <si>
    <t>05/10 - 11/10</t>
  </si>
  <si>
    <t>12/10 - 18/10</t>
  </si>
  <si>
    <t>19/10 - 25/10</t>
  </si>
  <si>
    <t>26/10 - 31/10</t>
  </si>
  <si>
    <t>01/11 - 08/11</t>
  </si>
  <si>
    <t>09/11 - 15/11</t>
  </si>
  <si>
    <t>16/11 - 22/11</t>
  </si>
  <si>
    <t>23/11 - 30/11</t>
  </si>
  <si>
    <t xml:space="preserve">STA </t>
  </si>
  <si>
    <t>FN150072</t>
  </si>
  <si>
    <t>FN150071</t>
  </si>
  <si>
    <t xml:space="preserve">DARAMIC </t>
  </si>
  <si>
    <t>DARAMIC</t>
  </si>
  <si>
    <t>ACCUMA 73</t>
  </si>
  <si>
    <t>ACCUMA 74</t>
  </si>
  <si>
    <t>2 eme Prorogation</t>
  </si>
  <si>
    <t>AU 23/11/2015</t>
  </si>
  <si>
    <t>EX150014</t>
  </si>
  <si>
    <t>ACCUMA 80</t>
  </si>
  <si>
    <t>GOONVEAN</t>
  </si>
  <si>
    <t>GBP</t>
  </si>
  <si>
    <t>ACCUMA 79</t>
  </si>
  <si>
    <t>ACCUMA 78</t>
  </si>
  <si>
    <t>ACCUMA 77</t>
  </si>
  <si>
    <t>ACCUMA 75</t>
  </si>
  <si>
    <t>ACCUMA 76</t>
  </si>
  <si>
    <t>ACCUMA 81</t>
  </si>
  <si>
    <t>ACCUMA 82</t>
  </si>
  <si>
    <t>total 10/2015</t>
  </si>
  <si>
    <t>total 11/2015</t>
  </si>
  <si>
    <t>Paiement HAZEM</t>
  </si>
  <si>
    <t>total 12/2015</t>
  </si>
  <si>
    <t>FN150077</t>
  </si>
  <si>
    <t>FN150078</t>
  </si>
  <si>
    <t>EX150015</t>
  </si>
  <si>
    <t>FN150075</t>
  </si>
  <si>
    <t>FN150076</t>
  </si>
  <si>
    <t>ACCUMA 84</t>
  </si>
  <si>
    <t>ACCUMA 83</t>
  </si>
  <si>
    <t>Etain KAIS 76%</t>
  </si>
  <si>
    <t>Aluminium</t>
  </si>
  <si>
    <t>EX150016</t>
  </si>
  <si>
    <t>FN150083</t>
  </si>
  <si>
    <t>FN150084</t>
  </si>
  <si>
    <t>FN150085</t>
  </si>
  <si>
    <t>LYBIE</t>
  </si>
  <si>
    <t>Italie</t>
  </si>
  <si>
    <t>MAROC</t>
  </si>
  <si>
    <t>ALGERIE</t>
  </si>
  <si>
    <t>LOCAL</t>
  </si>
  <si>
    <t xml:space="preserve">CA </t>
  </si>
</sst>
</file>

<file path=xl/styles.xml><?xml version="1.0" encoding="utf-8"?>
<styleSheet xmlns="http://schemas.openxmlformats.org/spreadsheetml/2006/main">
  <numFmts count="14">
    <numFmt numFmtId="43" formatCode="_-* #,##0.00\ _€_-;\-* #,##0.00\ _€_-;_-* &quot;-&quot;??\ _€_-;_-@_-"/>
    <numFmt numFmtId="164" formatCode="_-* #,##0.000\ _€_-;\-* #,##0.000\ _€_-;_-* &quot;-&quot;???\ _€_-;_-@_-"/>
    <numFmt numFmtId="165" formatCode="#,##0.000"/>
    <numFmt numFmtId="166" formatCode="#,##0.00000"/>
    <numFmt numFmtId="167" formatCode="[$$-409]#,##0.00"/>
    <numFmt numFmtId="168" formatCode="#,##0.0000"/>
    <numFmt numFmtId="169" formatCode="#,##0.000\ _F"/>
    <numFmt numFmtId="170" formatCode="dd/mm/yy;@"/>
    <numFmt numFmtId="171" formatCode="[$-40C]mmm\-yy;@"/>
    <numFmt numFmtId="172" formatCode="0.0%"/>
    <numFmt numFmtId="173" formatCode="#,##0.000000000"/>
    <numFmt numFmtId="174" formatCode="0.000"/>
    <numFmt numFmtId="175" formatCode="#,##0.00\ &quot;€&quot;"/>
    <numFmt numFmtId="176" formatCode="#,##0.000\ _€"/>
  </numFmts>
  <fonts count="72">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0"/>
      <name val="Arial"/>
      <family val="2"/>
    </font>
    <font>
      <b/>
      <sz val="10"/>
      <name val="Arial"/>
      <family val="2"/>
    </font>
    <font>
      <b/>
      <sz val="14"/>
      <color indexed="8"/>
      <name val="Calibri"/>
      <family val="2"/>
    </font>
    <font>
      <sz val="9"/>
      <name val="Arial"/>
      <family val="2"/>
    </font>
    <font>
      <sz val="11"/>
      <color indexed="8"/>
      <name val="Calibri"/>
      <family val="2"/>
    </font>
    <font>
      <sz val="9"/>
      <color rgb="FFFF0000"/>
      <name val="Arial"/>
      <family val="2"/>
    </font>
    <font>
      <sz val="10"/>
      <color rgb="FFFF0000"/>
      <name val="Arial"/>
      <family val="2"/>
    </font>
    <font>
      <b/>
      <sz val="11"/>
      <name val="Calibri"/>
      <family val="2"/>
      <scheme val="minor"/>
    </font>
    <font>
      <b/>
      <sz val="12"/>
      <color indexed="8"/>
      <name val="Calibri"/>
      <family val="2"/>
    </font>
    <font>
      <b/>
      <sz val="11"/>
      <color indexed="8"/>
      <name val="Calibri"/>
      <family val="2"/>
    </font>
    <font>
      <sz val="11"/>
      <name val="Calibri"/>
      <family val="2"/>
    </font>
    <font>
      <b/>
      <i/>
      <sz val="11"/>
      <color indexed="8"/>
      <name val="Calibri"/>
      <family val="2"/>
    </font>
    <font>
      <b/>
      <sz val="11"/>
      <name val="Calibri"/>
      <family val="2"/>
    </font>
    <font>
      <sz val="11"/>
      <color theme="1"/>
      <name val="Cambria"/>
      <family val="1"/>
      <scheme val="major"/>
    </font>
    <font>
      <b/>
      <sz val="11"/>
      <color theme="0"/>
      <name val="Cambria"/>
      <family val="1"/>
      <scheme val="major"/>
    </font>
    <font>
      <sz val="11"/>
      <name val="Cambria"/>
      <family val="1"/>
      <scheme val="major"/>
    </font>
    <font>
      <b/>
      <sz val="11"/>
      <name val="Cambria"/>
      <family val="1"/>
      <scheme val="major"/>
    </font>
    <font>
      <b/>
      <i/>
      <sz val="11"/>
      <color theme="1"/>
      <name val="Cambria"/>
      <family val="1"/>
      <scheme val="major"/>
    </font>
    <font>
      <b/>
      <sz val="11"/>
      <color theme="1"/>
      <name val="Cambria"/>
      <family val="1"/>
      <scheme val="major"/>
    </font>
    <font>
      <sz val="10"/>
      <color theme="1"/>
      <name val="Cambria"/>
      <family val="1"/>
      <scheme val="major"/>
    </font>
    <font>
      <b/>
      <sz val="10"/>
      <name val="Cambria"/>
      <family val="1"/>
      <scheme val="major"/>
    </font>
    <font>
      <sz val="10"/>
      <color rgb="FFFF0000"/>
      <name val="Cambria"/>
      <family val="1"/>
      <scheme val="major"/>
    </font>
    <font>
      <sz val="10"/>
      <name val="Cambria"/>
      <family val="1"/>
      <scheme val="major"/>
    </font>
    <font>
      <b/>
      <sz val="10"/>
      <color theme="1"/>
      <name val="Cambria"/>
      <family val="1"/>
      <scheme val="major"/>
    </font>
    <font>
      <b/>
      <i/>
      <sz val="10"/>
      <name val="Calibri"/>
      <family val="2"/>
      <scheme val="minor"/>
    </font>
    <font>
      <sz val="10"/>
      <name val="Calibri"/>
      <family val="2"/>
      <scheme val="minor"/>
    </font>
    <font>
      <b/>
      <i/>
      <sz val="10"/>
      <color theme="1"/>
      <name val="Calibri"/>
      <family val="2"/>
      <scheme val="minor"/>
    </font>
    <font>
      <b/>
      <sz val="10"/>
      <name val="Calibri"/>
      <family val="2"/>
      <scheme val="minor"/>
    </font>
    <font>
      <b/>
      <sz val="10"/>
      <color theme="0"/>
      <name val="Calibri"/>
      <family val="2"/>
      <scheme val="minor"/>
    </font>
    <font>
      <sz val="10"/>
      <color theme="1"/>
      <name val="Calibri"/>
      <family val="2"/>
      <scheme val="minor"/>
    </font>
    <font>
      <b/>
      <sz val="11"/>
      <color theme="0"/>
      <name val="Calibri"/>
      <family val="2"/>
      <scheme val="minor"/>
    </font>
    <font>
      <b/>
      <sz val="10"/>
      <color indexed="9"/>
      <name val="Arial"/>
      <family val="2"/>
    </font>
    <font>
      <b/>
      <i/>
      <sz val="11"/>
      <color theme="1"/>
      <name val="Algerian"/>
      <family val="5"/>
    </font>
    <font>
      <b/>
      <sz val="11"/>
      <color rgb="FFFF0000"/>
      <name val="Calibri"/>
      <family val="2"/>
      <scheme val="minor"/>
    </font>
    <font>
      <sz val="10"/>
      <name val="Times New Roman"/>
      <family val="1"/>
    </font>
    <font>
      <sz val="10"/>
      <name val="Garamond"/>
      <family val="1"/>
    </font>
    <font>
      <sz val="10"/>
      <color theme="0"/>
      <name val="Arial"/>
      <family val="2"/>
    </font>
    <font>
      <sz val="10"/>
      <color theme="1"/>
      <name val="Arial"/>
      <family val="2"/>
    </font>
    <font>
      <b/>
      <sz val="10"/>
      <color theme="0"/>
      <name val="Arial"/>
      <family val="2"/>
    </font>
    <font>
      <b/>
      <sz val="12"/>
      <color rgb="FFFFFFFF"/>
      <name val="Arial"/>
      <family val="2"/>
    </font>
    <font>
      <u/>
      <sz val="11"/>
      <color theme="10"/>
      <name val="Calibri"/>
      <family val="2"/>
    </font>
    <font>
      <b/>
      <i/>
      <sz val="11"/>
      <color theme="0"/>
      <name val="Cambria"/>
      <family val="1"/>
      <scheme val="major"/>
    </font>
    <font>
      <b/>
      <sz val="10"/>
      <color rgb="FFFF0000"/>
      <name val="Cambria"/>
      <family val="1"/>
      <scheme val="major"/>
    </font>
    <font>
      <b/>
      <i/>
      <sz val="11"/>
      <name val="Algerian"/>
      <family val="5"/>
    </font>
    <font>
      <sz val="11"/>
      <color rgb="FFFFFF00"/>
      <name val="Calibri"/>
      <family val="2"/>
      <scheme val="minor"/>
    </font>
    <font>
      <sz val="11"/>
      <color theme="1"/>
      <name val="Times New Roman"/>
      <family val="1"/>
    </font>
    <font>
      <b/>
      <sz val="11"/>
      <color theme="1"/>
      <name val="Times New Roman"/>
      <family val="1"/>
    </font>
    <font>
      <b/>
      <i/>
      <sz val="11"/>
      <color theme="1"/>
      <name val="Times New Roman"/>
      <family val="1"/>
    </font>
    <font>
      <b/>
      <sz val="8"/>
      <color theme="0"/>
      <name val="Calibri"/>
      <family val="2"/>
      <scheme val="minor"/>
    </font>
    <font>
      <sz val="11"/>
      <color theme="0"/>
      <name val="Calibri"/>
      <family val="2"/>
      <scheme val="minor"/>
    </font>
    <font>
      <sz val="8"/>
      <color indexed="81"/>
      <name val="Tahoma"/>
      <family val="2"/>
    </font>
    <font>
      <b/>
      <sz val="12"/>
      <color indexed="81"/>
      <name val="Times New Roman"/>
      <family val="1"/>
    </font>
    <font>
      <b/>
      <sz val="8"/>
      <color indexed="81"/>
      <name val="Tahoma"/>
      <family val="2"/>
    </font>
    <font>
      <sz val="11"/>
      <color rgb="FFFF0000"/>
      <name val="Cambria"/>
      <family val="1"/>
      <scheme val="major"/>
    </font>
    <font>
      <b/>
      <sz val="11"/>
      <color rgb="FFFF0000"/>
      <name val="Cambria"/>
      <family val="1"/>
      <scheme val="major"/>
    </font>
    <font>
      <b/>
      <sz val="9"/>
      <color indexed="20"/>
      <name val="Arial"/>
      <family val="2"/>
    </font>
    <font>
      <b/>
      <sz val="9"/>
      <name val="Arial"/>
      <family val="2"/>
    </font>
    <font>
      <sz val="9"/>
      <color indexed="10"/>
      <name val="Arial"/>
      <family val="2"/>
    </font>
    <font>
      <sz val="9"/>
      <color theme="1"/>
      <name val="Arial"/>
      <family val="2"/>
    </font>
    <font>
      <b/>
      <sz val="9"/>
      <color indexed="8"/>
      <name val="Arial"/>
      <family val="2"/>
    </font>
    <font>
      <b/>
      <sz val="9"/>
      <color indexed="10"/>
      <name val="Arial"/>
      <family val="2"/>
    </font>
    <font>
      <b/>
      <i/>
      <sz val="11"/>
      <color theme="0"/>
      <name val="Algerian"/>
      <family val="5"/>
    </font>
    <font>
      <b/>
      <sz val="10"/>
      <color theme="1"/>
      <name val="Times New Roman"/>
      <family val="1"/>
    </font>
    <font>
      <b/>
      <sz val="10"/>
      <color rgb="FFFF0000"/>
      <name val="Times New Roman"/>
      <family val="1"/>
    </font>
    <font>
      <sz val="10"/>
      <color theme="1"/>
      <name val="Times New Roman"/>
      <family val="1"/>
    </font>
    <font>
      <sz val="10"/>
      <color rgb="FFFF0000"/>
      <name val="Times New Roman"/>
      <family val="1"/>
    </font>
    <font>
      <b/>
      <sz val="10"/>
      <name val="Times New Roman"/>
      <family val="1"/>
    </font>
  </fonts>
  <fills count="19">
    <fill>
      <patternFill patternType="none"/>
    </fill>
    <fill>
      <patternFill patternType="gray125"/>
    </fill>
    <fill>
      <patternFill patternType="solid">
        <fgColor indexed="8"/>
        <bgColor indexed="64"/>
      </patternFill>
    </fill>
    <fill>
      <patternFill patternType="solid">
        <fgColor indexed="2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3"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9847407452621"/>
        <bgColor indexed="64"/>
      </patternFill>
    </fill>
    <fill>
      <patternFill patternType="solid">
        <fgColor rgb="FF666666"/>
        <bgColor indexed="64"/>
      </patternFill>
    </fill>
    <fill>
      <patternFill patternType="solid">
        <fgColor rgb="FF99CCFF"/>
        <bgColor indexed="64"/>
      </patternFill>
    </fill>
    <fill>
      <patternFill patternType="solid">
        <fgColor rgb="FF99CCCC"/>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theme="4" tint="0.79998168889431442"/>
        <bgColor indexed="64"/>
      </patternFill>
    </fill>
    <fill>
      <patternFill patternType="solid">
        <fgColor rgb="FFFF0000"/>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top/>
      <bottom/>
      <diagonal/>
    </border>
    <border>
      <left/>
      <right/>
      <top/>
      <bottom style="thin">
        <color indexed="64"/>
      </bottom>
      <diagonal/>
    </border>
    <border>
      <left/>
      <right style="medium">
        <color indexed="64"/>
      </right>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style="thin">
        <color indexed="64"/>
      </top>
      <bottom/>
      <diagonal/>
    </border>
  </borders>
  <cellStyleXfs count="8">
    <xf numFmtId="0" fontId="0" fillId="0" borderId="0"/>
    <xf numFmtId="0" fontId="5" fillId="0" borderId="0"/>
    <xf numFmtId="43" fontId="9"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0" fontId="45" fillId="0" borderId="0" applyNumberFormat="0" applyFill="0" applyBorder="0" applyAlignment="0" applyProtection="0">
      <alignment vertical="top"/>
      <protection locked="0"/>
    </xf>
    <xf numFmtId="43" fontId="1" fillId="0" borderId="0" applyFont="0" applyFill="0" applyBorder="0" applyAlignment="0" applyProtection="0"/>
    <xf numFmtId="0" fontId="5" fillId="0" borderId="0" applyNumberFormat="0" applyFont="0" applyFill="0" applyBorder="0" applyAlignment="0" applyProtection="0"/>
  </cellStyleXfs>
  <cellXfs count="1070">
    <xf numFmtId="0" fontId="0" fillId="0" borderId="0" xfId="0"/>
    <xf numFmtId="0" fontId="4" fillId="0" borderId="0" xfId="0" applyFont="1" applyFill="1"/>
    <xf numFmtId="0" fontId="5" fillId="0" borderId="1" xfId="1" applyFont="1" applyFill="1" applyBorder="1" applyAlignment="1">
      <alignment horizontal="center"/>
    </xf>
    <xf numFmtId="14" fontId="5" fillId="0" borderId="1" xfId="1" applyNumberFormat="1" applyFont="1" applyFill="1" applyBorder="1" applyAlignment="1">
      <alignment horizontal="center"/>
    </xf>
    <xf numFmtId="49" fontId="5" fillId="0" borderId="1" xfId="1" applyNumberFormat="1" applyFont="1" applyFill="1" applyBorder="1" applyAlignment="1">
      <alignment horizontal="center"/>
    </xf>
    <xf numFmtId="14" fontId="0" fillId="0" borderId="0" xfId="0" applyNumberFormat="1"/>
    <xf numFmtId="165" fontId="5" fillId="0" borderId="0" xfId="1" applyNumberFormat="1" applyFont="1" applyFill="1" applyAlignment="1">
      <alignment horizontal="center"/>
    </xf>
    <xf numFmtId="14" fontId="0" fillId="0" borderId="0" xfId="0" applyNumberFormat="1" applyFill="1"/>
    <xf numFmtId="0" fontId="0" fillId="0" borderId="0" xfId="0" applyFill="1"/>
    <xf numFmtId="4" fontId="0" fillId="0" borderId="0" xfId="0" applyNumberFormat="1"/>
    <xf numFmtId="0" fontId="8" fillId="0" borderId="0" xfId="0" applyFont="1" applyFill="1" applyBorder="1"/>
    <xf numFmtId="0" fontId="8" fillId="0" borderId="0" xfId="0" applyFont="1" applyBorder="1"/>
    <xf numFmtId="4" fontId="8" fillId="0" borderId="0" xfId="0" applyNumberFormat="1" applyFont="1" applyFill="1" applyBorder="1"/>
    <xf numFmtId="14" fontId="8" fillId="0" borderId="0" xfId="0" applyNumberFormat="1" applyFont="1" applyBorder="1"/>
    <xf numFmtId="14" fontId="8" fillId="0" borderId="0" xfId="0" applyNumberFormat="1" applyFont="1" applyBorder="1" applyAlignment="1">
      <alignment horizontal="right"/>
    </xf>
    <xf numFmtId="166" fontId="8" fillId="0" borderId="0" xfId="0" applyNumberFormat="1" applyFont="1" applyFill="1" applyBorder="1"/>
    <xf numFmtId="165" fontId="0" fillId="0" borderId="0" xfId="0" applyNumberFormat="1"/>
    <xf numFmtId="0" fontId="10" fillId="5" borderId="13" xfId="0" applyFont="1" applyFill="1" applyBorder="1"/>
    <xf numFmtId="14" fontId="10" fillId="5" borderId="13" xfId="0" applyNumberFormat="1" applyFont="1" applyFill="1" applyBorder="1" applyAlignment="1">
      <alignment horizontal="right"/>
    </xf>
    <xf numFmtId="0" fontId="8" fillId="0" borderId="14" xfId="0" applyFont="1" applyFill="1" applyBorder="1"/>
    <xf numFmtId="0" fontId="8" fillId="0" borderId="15" xfId="0" applyFont="1" applyFill="1" applyBorder="1"/>
    <xf numFmtId="14" fontId="8" fillId="0" borderId="15" xfId="0" applyNumberFormat="1" applyFont="1" applyFill="1" applyBorder="1" applyAlignment="1">
      <alignment horizontal="right"/>
    </xf>
    <xf numFmtId="0" fontId="14" fillId="3" borderId="3" xfId="0" applyFont="1" applyFill="1" applyBorder="1" applyAlignment="1">
      <alignment horizontal="center"/>
    </xf>
    <xf numFmtId="0" fontId="14" fillId="3" borderId="17" xfId="0" applyFont="1" applyFill="1" applyBorder="1" applyAlignment="1">
      <alignment horizontal="center"/>
    </xf>
    <xf numFmtId="0" fontId="14" fillId="3" borderId="18" xfId="0" applyFont="1" applyFill="1" applyBorder="1" applyAlignment="1">
      <alignment horizontal="center"/>
    </xf>
    <xf numFmtId="0" fontId="14" fillId="3" borderId="19" xfId="0" applyFont="1" applyFill="1" applyBorder="1" applyAlignment="1">
      <alignment horizontal="center"/>
    </xf>
    <xf numFmtId="0" fontId="14" fillId="3" borderId="4" xfId="0" applyFont="1" applyFill="1" applyBorder="1" applyAlignment="1">
      <alignment horizontal="center"/>
    </xf>
    <xf numFmtId="0" fontId="14" fillId="3" borderId="5" xfId="0" applyFont="1" applyFill="1" applyBorder="1" applyAlignment="1">
      <alignment horizontal="center"/>
    </xf>
    <xf numFmtId="4" fontId="8" fillId="0" borderId="15" xfId="0" applyNumberFormat="1" applyFont="1" applyFill="1" applyBorder="1"/>
    <xf numFmtId="167" fontId="0" fillId="0" borderId="0" xfId="0" applyNumberFormat="1"/>
    <xf numFmtId="0" fontId="3" fillId="0" borderId="0" xfId="0" applyFont="1"/>
    <xf numFmtId="0" fontId="19" fillId="6" borderId="25" xfId="0" applyFont="1" applyFill="1" applyBorder="1" applyAlignment="1">
      <alignment horizontal="center"/>
    </xf>
    <xf numFmtId="3" fontId="21" fillId="0" borderId="0" xfId="0" applyNumberFormat="1" applyFont="1" applyAlignment="1">
      <alignment horizontal="right"/>
    </xf>
    <xf numFmtId="3" fontId="18" fillId="0" borderId="0" xfId="0" applyNumberFormat="1" applyFont="1" applyAlignment="1">
      <alignment horizontal="right"/>
    </xf>
    <xf numFmtId="0" fontId="19" fillId="6" borderId="24" xfId="0" applyFont="1" applyFill="1" applyBorder="1" applyAlignment="1">
      <alignment horizontal="center"/>
    </xf>
    <xf numFmtId="3" fontId="19" fillId="6" borderId="25" xfId="0" applyNumberFormat="1" applyFont="1" applyFill="1" applyBorder="1" applyAlignment="1">
      <alignment horizontal="right"/>
    </xf>
    <xf numFmtId="3" fontId="20" fillId="0" borderId="15" xfId="0" applyNumberFormat="1" applyFont="1" applyFill="1" applyBorder="1" applyAlignment="1">
      <alignment horizontal="right"/>
    </xf>
    <xf numFmtId="0" fontId="24" fillId="0" borderId="0" xfId="0" applyFont="1"/>
    <xf numFmtId="4" fontId="24" fillId="0" borderId="0" xfId="0" applyNumberFormat="1" applyFont="1"/>
    <xf numFmtId="165" fontId="24" fillId="0" borderId="0" xfId="0" applyNumberFormat="1" applyFont="1"/>
    <xf numFmtId="0" fontId="25" fillId="3" borderId="24" xfId="0" applyFont="1" applyFill="1" applyBorder="1" applyAlignment="1">
      <alignment horizontal="center"/>
    </xf>
    <xf numFmtId="0" fontId="25" fillId="3" borderId="25" xfId="0" applyFont="1" applyFill="1" applyBorder="1" applyAlignment="1">
      <alignment horizontal="center"/>
    </xf>
    <xf numFmtId="4" fontId="25" fillId="3" borderId="25" xfId="0" applyNumberFormat="1" applyFont="1" applyFill="1" applyBorder="1" applyAlignment="1">
      <alignment horizontal="center"/>
    </xf>
    <xf numFmtId="165" fontId="25" fillId="3" borderId="25" xfId="0" applyNumberFormat="1" applyFont="1" applyFill="1" applyBorder="1" applyAlignment="1">
      <alignment horizontal="center"/>
    </xf>
    <xf numFmtId="169" fontId="25" fillId="3" borderId="26" xfId="0" applyNumberFormat="1" applyFont="1" applyFill="1" applyBorder="1" applyAlignment="1">
      <alignment horizontal="center"/>
    </xf>
    <xf numFmtId="165" fontId="25" fillId="3" borderId="19" xfId="0" applyNumberFormat="1" applyFont="1" applyFill="1" applyBorder="1" applyAlignment="1">
      <alignment horizontal="center"/>
    </xf>
    <xf numFmtId="0" fontId="25" fillId="3" borderId="19" xfId="0" applyFont="1" applyFill="1" applyBorder="1" applyAlignment="1">
      <alignment horizontal="center"/>
    </xf>
    <xf numFmtId="169" fontId="25" fillId="3" borderId="17" xfId="0" applyNumberFormat="1" applyFont="1" applyFill="1" applyBorder="1" applyAlignment="1">
      <alignment horizontal="center"/>
    </xf>
    <xf numFmtId="4" fontId="25" fillId="3" borderId="24" xfId="0" applyNumberFormat="1" applyFont="1" applyFill="1" applyBorder="1" applyAlignment="1">
      <alignment horizontal="center"/>
    </xf>
    <xf numFmtId="0" fontId="26" fillId="5" borderId="34" xfId="0" applyFont="1" applyFill="1" applyBorder="1" applyAlignment="1">
      <alignment vertical="center"/>
    </xf>
    <xf numFmtId="0" fontId="26" fillId="5" borderId="6" xfId="0" applyFont="1" applyFill="1" applyBorder="1" applyAlignment="1">
      <alignment horizontal="center"/>
    </xf>
    <xf numFmtId="14" fontId="26" fillId="5" borderId="7" xfId="0" applyNumberFormat="1" applyFont="1" applyFill="1" applyBorder="1" applyAlignment="1">
      <alignment horizontal="center"/>
    </xf>
    <xf numFmtId="0" fontId="26" fillId="5" borderId="7" xfId="0" applyFont="1" applyFill="1" applyBorder="1"/>
    <xf numFmtId="4" fontId="26" fillId="5" borderId="7" xfId="0" applyNumberFormat="1" applyFont="1" applyFill="1" applyBorder="1" applyAlignment="1">
      <alignment horizontal="center"/>
    </xf>
    <xf numFmtId="165" fontId="26" fillId="5" borderId="7" xfId="0" applyNumberFormat="1" applyFont="1" applyFill="1" applyBorder="1" applyAlignment="1">
      <alignment horizontal="center"/>
    </xf>
    <xf numFmtId="14" fontId="26" fillId="5" borderId="8" xfId="0" applyNumberFormat="1" applyFont="1" applyFill="1" applyBorder="1" applyAlignment="1">
      <alignment horizontal="center"/>
    </xf>
    <xf numFmtId="165" fontId="26" fillId="5" borderId="6" xfId="0" applyNumberFormat="1" applyFont="1" applyFill="1" applyBorder="1" applyAlignment="1">
      <alignment horizontal="center"/>
    </xf>
    <xf numFmtId="4" fontId="26" fillId="5" borderId="6" xfId="0" applyNumberFormat="1" applyFont="1" applyFill="1" applyBorder="1" applyAlignment="1">
      <alignment horizontal="center"/>
    </xf>
    <xf numFmtId="0" fontId="24" fillId="0" borderId="0" xfId="0" applyFont="1" applyFill="1"/>
    <xf numFmtId="0" fontId="28" fillId="0" borderId="0" xfId="0" applyFont="1"/>
    <xf numFmtId="0" fontId="24" fillId="0" borderId="12" xfId="0" applyFont="1" applyBorder="1"/>
    <xf numFmtId="14" fontId="24" fillId="0" borderId="13" xfId="0" applyNumberFormat="1" applyFont="1" applyBorder="1"/>
    <xf numFmtId="0" fontId="24" fillId="0" borderId="13" xfId="0" applyFont="1" applyBorder="1"/>
    <xf numFmtId="4" fontId="24" fillId="0" borderId="13" xfId="0" applyNumberFormat="1" applyFont="1" applyBorder="1"/>
    <xf numFmtId="0" fontId="28" fillId="0" borderId="14" xfId="0" applyFont="1" applyBorder="1"/>
    <xf numFmtId="14" fontId="28" fillId="0" borderId="15" xfId="0" applyNumberFormat="1" applyFont="1" applyBorder="1"/>
    <xf numFmtId="0" fontId="28" fillId="0" borderId="15" xfId="0" applyFont="1" applyBorder="1"/>
    <xf numFmtId="4" fontId="28" fillId="0" borderId="15" xfId="0" applyNumberFormat="1" applyFont="1" applyBorder="1"/>
    <xf numFmtId="165" fontId="28" fillId="0" borderId="15" xfId="0" applyNumberFormat="1" applyFont="1" applyBorder="1"/>
    <xf numFmtId="14" fontId="28" fillId="0" borderId="16" xfId="0" applyNumberFormat="1" applyFont="1" applyBorder="1"/>
    <xf numFmtId="165" fontId="28" fillId="0" borderId="14" xfId="0" applyNumberFormat="1" applyFont="1" applyBorder="1"/>
    <xf numFmtId="165" fontId="30" fillId="0" borderId="0" xfId="0" applyNumberFormat="1" applyFont="1" applyFill="1"/>
    <xf numFmtId="14" fontId="24" fillId="0" borderId="0" xfId="0" applyNumberFormat="1" applyFont="1"/>
    <xf numFmtId="4" fontId="32" fillId="8" borderId="8" xfId="0" applyNumberFormat="1" applyFont="1" applyFill="1" applyBorder="1"/>
    <xf numFmtId="4" fontId="33" fillId="8" borderId="6" xfId="0" applyNumberFormat="1" applyFont="1" applyFill="1" applyBorder="1"/>
    <xf numFmtId="4" fontId="32" fillId="8" borderId="16" xfId="0" applyNumberFormat="1" applyFont="1" applyFill="1" applyBorder="1"/>
    <xf numFmtId="4" fontId="33" fillId="8" borderId="14" xfId="0" applyNumberFormat="1" applyFont="1" applyFill="1" applyBorder="1"/>
    <xf numFmtId="0" fontId="30" fillId="0" borderId="0" xfId="0" applyFont="1" applyFill="1"/>
    <xf numFmtId="4" fontId="30" fillId="0" borderId="0" xfId="0" applyNumberFormat="1" applyFont="1" applyFill="1"/>
    <xf numFmtId="165" fontId="29" fillId="8" borderId="30" xfId="0" applyNumberFormat="1" applyFont="1" applyFill="1" applyBorder="1"/>
    <xf numFmtId="0" fontId="34" fillId="0" borderId="0" xfId="0" applyFont="1" applyFill="1"/>
    <xf numFmtId="0" fontId="27" fillId="0" borderId="0" xfId="0" applyFont="1"/>
    <xf numFmtId="4" fontId="27" fillId="0" borderId="0" xfId="0" applyNumberFormat="1" applyFont="1"/>
    <xf numFmtId="165" fontId="27" fillId="0" borderId="0" xfId="0" applyNumberFormat="1" applyFont="1"/>
    <xf numFmtId="4" fontId="34" fillId="0" borderId="0" xfId="0" applyNumberFormat="1" applyFont="1" applyFill="1"/>
    <xf numFmtId="14" fontId="34" fillId="0" borderId="0" xfId="0" applyNumberFormat="1" applyFont="1" applyFill="1"/>
    <xf numFmtId="4" fontId="33" fillId="8" borderId="8" xfId="0" applyNumberFormat="1" applyFont="1" applyFill="1" applyBorder="1"/>
    <xf numFmtId="4" fontId="33" fillId="8" borderId="16" xfId="0" applyNumberFormat="1" applyFont="1" applyFill="1" applyBorder="1"/>
    <xf numFmtId="0" fontId="5" fillId="0" borderId="0" xfId="1" applyFont="1" applyAlignment="1">
      <alignment horizontal="center"/>
    </xf>
    <xf numFmtId="49" fontId="5" fillId="0" borderId="0" xfId="1" applyNumberFormat="1" applyFont="1" applyAlignment="1">
      <alignment horizontal="center"/>
    </xf>
    <xf numFmtId="0" fontId="36" fillId="2" borderId="1" xfId="1" applyFont="1" applyFill="1" applyBorder="1" applyAlignment="1">
      <alignment horizontal="center"/>
    </xf>
    <xf numFmtId="3" fontId="0" fillId="0" borderId="0" xfId="0" applyNumberFormat="1"/>
    <xf numFmtId="0" fontId="35" fillId="9" borderId="31" xfId="0" applyFont="1" applyFill="1" applyBorder="1"/>
    <xf numFmtId="0" fontId="0" fillId="0" borderId="37" xfId="0" applyBorder="1"/>
    <xf numFmtId="0" fontId="35" fillId="9" borderId="37" xfId="0" applyFont="1" applyFill="1" applyBorder="1"/>
    <xf numFmtId="0" fontId="35" fillId="9" borderId="21" xfId="0" applyFont="1" applyFill="1" applyBorder="1"/>
    <xf numFmtId="0" fontId="4" fillId="0" borderId="37" xfId="0" applyFont="1" applyFill="1" applyBorder="1"/>
    <xf numFmtId="14" fontId="5" fillId="0" borderId="0" xfId="1" applyNumberFormat="1" applyFont="1" applyAlignment="1">
      <alignment horizontal="center"/>
    </xf>
    <xf numFmtId="14" fontId="19" fillId="6" borderId="3" xfId="0" applyNumberFormat="1" applyFont="1" applyFill="1" applyBorder="1" applyAlignment="1">
      <alignment horizontal="center"/>
    </xf>
    <xf numFmtId="14" fontId="19" fillId="6" borderId="5" xfId="0" applyNumberFormat="1" applyFont="1" applyFill="1" applyBorder="1" applyAlignment="1">
      <alignment horizontal="center"/>
    </xf>
    <xf numFmtId="14" fontId="19" fillId="6" borderId="25" xfId="0" applyNumberFormat="1" applyFont="1" applyFill="1" applyBorder="1" applyAlignment="1">
      <alignment horizontal="center"/>
    </xf>
    <xf numFmtId="14" fontId="19" fillId="6" borderId="26" xfId="0" applyNumberFormat="1" applyFont="1" applyFill="1" applyBorder="1" applyAlignment="1">
      <alignment horizontal="center"/>
    </xf>
    <xf numFmtId="0" fontId="8" fillId="0" borderId="12" xfId="0" applyFont="1" applyFill="1" applyBorder="1"/>
    <xf numFmtId="0" fontId="8" fillId="0" borderId="13" xfId="0" applyFont="1" applyFill="1" applyBorder="1"/>
    <xf numFmtId="14" fontId="8" fillId="0" borderId="13" xfId="0" applyNumberFormat="1" applyFont="1" applyFill="1" applyBorder="1" applyAlignment="1">
      <alignment horizontal="right"/>
    </xf>
    <xf numFmtId="0" fontId="8" fillId="0" borderId="15" xfId="0" applyFont="1" applyFill="1" applyBorder="1" applyAlignment="1">
      <alignment horizontal="left"/>
    </xf>
    <xf numFmtId="4" fontId="8" fillId="0" borderId="13" xfId="0" applyNumberFormat="1" applyFont="1" applyFill="1" applyBorder="1"/>
    <xf numFmtId="0" fontId="8" fillId="0" borderId="13" xfId="0" applyFont="1" applyFill="1" applyBorder="1" applyAlignment="1">
      <alignment horizontal="left"/>
    </xf>
    <xf numFmtId="164" fontId="5" fillId="0" borderId="0" xfId="1" applyNumberFormat="1" applyFont="1" applyFill="1"/>
    <xf numFmtId="0" fontId="39" fillId="0" borderId="0" xfId="1" applyFont="1" applyAlignment="1">
      <alignment horizontal="center"/>
    </xf>
    <xf numFmtId="0" fontId="40" fillId="0" borderId="0" xfId="1" applyFont="1" applyAlignment="1">
      <alignment horizontal="center"/>
    </xf>
    <xf numFmtId="170" fontId="5" fillId="0" borderId="0" xfId="1" applyNumberFormat="1" applyFont="1" applyAlignment="1">
      <alignment horizontal="center"/>
    </xf>
    <xf numFmtId="0" fontId="6" fillId="0" borderId="30" xfId="1" applyFont="1" applyBorder="1" applyAlignment="1">
      <alignment horizontal="center"/>
    </xf>
    <xf numFmtId="165" fontId="5" fillId="0" borderId="1" xfId="1" applyNumberFormat="1" applyFont="1" applyFill="1" applyBorder="1"/>
    <xf numFmtId="0" fontId="41" fillId="0" borderId="0" xfId="1" applyFont="1"/>
    <xf numFmtId="171" fontId="5" fillId="0" borderId="0" xfId="1" applyNumberFormat="1" applyFont="1" applyAlignment="1">
      <alignment horizontal="center"/>
    </xf>
    <xf numFmtId="0" fontId="42" fillId="0" borderId="1" xfId="0" applyFont="1" applyBorder="1" applyAlignment="1">
      <alignment horizontal="center"/>
    </xf>
    <xf numFmtId="14" fontId="42" fillId="0" borderId="1" xfId="0" applyNumberFormat="1" applyFont="1" applyBorder="1" applyAlignment="1">
      <alignment horizontal="center"/>
    </xf>
    <xf numFmtId="165" fontId="42" fillId="0" borderId="1" xfId="0" applyNumberFormat="1" applyFont="1" applyBorder="1" applyAlignment="1">
      <alignment horizontal="center"/>
    </xf>
    <xf numFmtId="49" fontId="42" fillId="0" borderId="1" xfId="0" applyNumberFormat="1" applyFont="1" applyBorder="1" applyAlignment="1">
      <alignment horizontal="center"/>
    </xf>
    <xf numFmtId="4" fontId="10" fillId="5" borderId="13" xfId="0" applyNumberFormat="1" applyFont="1" applyFill="1" applyBorder="1"/>
    <xf numFmtId="0" fontId="5" fillId="0" borderId="0" xfId="1" applyFont="1"/>
    <xf numFmtId="0" fontId="42" fillId="0" borderId="0" xfId="0" applyFont="1"/>
    <xf numFmtId="0" fontId="5" fillId="0" borderId="0" xfId="0" applyFont="1"/>
    <xf numFmtId="0" fontId="34" fillId="0" borderId="0" xfId="0" applyFont="1"/>
    <xf numFmtId="49" fontId="5" fillId="0" borderId="0" xfId="1" applyNumberFormat="1" applyFont="1"/>
    <xf numFmtId="0" fontId="34" fillId="0" borderId="0" xfId="0" applyFont="1" applyAlignment="1">
      <alignment horizontal="center"/>
    </xf>
    <xf numFmtId="49" fontId="34" fillId="0" borderId="0" xfId="0" applyNumberFormat="1" applyFont="1"/>
    <xf numFmtId="14" fontId="25" fillId="3" borderId="26" xfId="0" applyNumberFormat="1" applyFont="1" applyFill="1" applyBorder="1" applyAlignment="1">
      <alignment horizontal="center"/>
    </xf>
    <xf numFmtId="14" fontId="24" fillId="0" borderId="0" xfId="4" applyNumberFormat="1" applyFont="1"/>
    <xf numFmtId="0" fontId="44" fillId="11" borderId="0" xfId="0" applyFont="1" applyFill="1" applyAlignment="1">
      <alignment horizontal="center" wrapText="1"/>
    </xf>
    <xf numFmtId="0" fontId="45" fillId="12" borderId="0" xfId="5" applyFill="1" applyAlignment="1" applyProtection="1">
      <alignment horizontal="center" wrapText="1"/>
    </xf>
    <xf numFmtId="0" fontId="42" fillId="12" borderId="0" xfId="0" applyFont="1" applyFill="1" applyAlignment="1">
      <alignment horizontal="left" wrapText="1"/>
    </xf>
    <xf numFmtId="14" fontId="42" fillId="12" borderId="0" xfId="0" applyNumberFormat="1" applyFont="1" applyFill="1" applyAlignment="1">
      <alignment horizontal="center" wrapText="1"/>
    </xf>
    <xf numFmtId="0" fontId="42" fillId="12" borderId="0" xfId="0" applyFont="1" applyFill="1" applyAlignment="1">
      <alignment horizontal="right" wrapText="1"/>
    </xf>
    <xf numFmtId="0" fontId="45" fillId="13" borderId="0" xfId="5" applyFill="1" applyAlignment="1" applyProtection="1">
      <alignment horizontal="center" wrapText="1"/>
    </xf>
    <xf numFmtId="0" fontId="42" fillId="13" borderId="0" xfId="0" applyFont="1" applyFill="1" applyAlignment="1">
      <alignment horizontal="left" wrapText="1"/>
    </xf>
    <xf numFmtId="14" fontId="42" fillId="13" borderId="0" xfId="0" applyNumberFormat="1" applyFont="1" applyFill="1" applyAlignment="1">
      <alignment horizontal="center" wrapText="1"/>
    </xf>
    <xf numFmtId="0" fontId="42" fillId="13" borderId="0" xfId="0" applyFont="1" applyFill="1" applyAlignment="1">
      <alignment horizontal="right" wrapText="1"/>
    </xf>
    <xf numFmtId="3" fontId="20" fillId="0" borderId="7" xfId="0" applyNumberFormat="1" applyFont="1" applyFill="1" applyBorder="1" applyAlignment="1">
      <alignment horizontal="right"/>
    </xf>
    <xf numFmtId="0" fontId="19" fillId="6" borderId="3" xfId="0" applyFont="1" applyFill="1" applyBorder="1" applyAlignment="1">
      <alignment horizontal="center"/>
    </xf>
    <xf numFmtId="0" fontId="19" fillId="6" borderId="4" xfId="0" applyFont="1" applyFill="1" applyBorder="1" applyAlignment="1">
      <alignment horizontal="center"/>
    </xf>
    <xf numFmtId="3" fontId="23" fillId="7" borderId="25" xfId="0" applyNumberFormat="1" applyFont="1" applyFill="1" applyBorder="1" applyAlignment="1">
      <alignment horizontal="right"/>
    </xf>
    <xf numFmtId="3" fontId="23" fillId="7" borderId="26" xfId="0" applyNumberFormat="1" applyFont="1" applyFill="1" applyBorder="1" applyAlignment="1">
      <alignment horizontal="right"/>
    </xf>
    <xf numFmtId="3" fontId="20" fillId="0" borderId="0" xfId="0" applyNumberFormat="1" applyFont="1" applyAlignment="1">
      <alignment horizontal="right"/>
    </xf>
    <xf numFmtId="3" fontId="19" fillId="6" borderId="26" xfId="0" applyNumberFormat="1" applyFont="1" applyFill="1" applyBorder="1" applyAlignment="1">
      <alignment horizontal="right"/>
    </xf>
    <xf numFmtId="3" fontId="0" fillId="0" borderId="33" xfId="0" applyNumberFormat="1" applyBorder="1"/>
    <xf numFmtId="3" fontId="38" fillId="5" borderId="18" xfId="0" applyNumberFormat="1" applyFont="1" applyFill="1" applyBorder="1"/>
    <xf numFmtId="3" fontId="38" fillId="5" borderId="33" xfId="0" applyNumberFormat="1" applyFont="1" applyFill="1" applyBorder="1"/>
    <xf numFmtId="3" fontId="38" fillId="5" borderId="23" xfId="0" applyNumberFormat="1" applyFont="1" applyFill="1" applyBorder="1"/>
    <xf numFmtId="0" fontId="41" fillId="0" borderId="0" xfId="1" applyFont="1" applyAlignment="1">
      <alignment horizontal="center"/>
    </xf>
    <xf numFmtId="0" fontId="43" fillId="9" borderId="1" xfId="1" applyFont="1" applyFill="1" applyBorder="1" applyAlignment="1">
      <alignment horizontal="center"/>
    </xf>
    <xf numFmtId="0" fontId="6" fillId="14" borderId="1" xfId="1" applyFont="1" applyFill="1" applyBorder="1" applyAlignment="1">
      <alignment horizontal="center"/>
    </xf>
    <xf numFmtId="0" fontId="42" fillId="0" borderId="0" xfId="0" applyFont="1" applyAlignment="1">
      <alignment horizontal="center"/>
    </xf>
    <xf numFmtId="14" fontId="42" fillId="0" borderId="0" xfId="0" applyNumberFormat="1" applyFont="1" applyAlignment="1">
      <alignment horizontal="center"/>
    </xf>
    <xf numFmtId="0" fontId="41" fillId="0" borderId="0" xfId="0" applyFont="1"/>
    <xf numFmtId="49" fontId="42" fillId="0" borderId="0" xfId="0" applyNumberFormat="1" applyFont="1" applyAlignment="1">
      <alignment horizontal="center"/>
    </xf>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4" fontId="3" fillId="10" borderId="28" xfId="0" applyNumberFormat="1" applyFont="1" applyFill="1" applyBorder="1"/>
    <xf numFmtId="14" fontId="3" fillId="10" borderId="29" xfId="0" applyNumberFormat="1" applyFont="1" applyFill="1" applyBorder="1"/>
    <xf numFmtId="14" fontId="3" fillId="10" borderId="21" xfId="0" applyNumberFormat="1" applyFont="1" applyFill="1" applyBorder="1"/>
    <xf numFmtId="14" fontId="3" fillId="10" borderId="2" xfId="0" applyNumberFormat="1" applyFont="1" applyFill="1" applyBorder="1"/>
    <xf numFmtId="14" fontId="3" fillId="10" borderId="22" xfId="0" applyNumberFormat="1" applyFont="1" applyFill="1" applyBorder="1"/>
    <xf numFmtId="14" fontId="3" fillId="10" borderId="27" xfId="0" applyNumberFormat="1" applyFont="1" applyFill="1" applyBorder="1"/>
    <xf numFmtId="14" fontId="3" fillId="10" borderId="27" xfId="0" applyNumberFormat="1" applyFont="1" applyFill="1" applyBorder="1" applyAlignment="1">
      <alignment horizontal="center"/>
    </xf>
    <xf numFmtId="14" fontId="3" fillId="10" borderId="28" xfId="0" applyNumberFormat="1" applyFont="1" applyFill="1" applyBorder="1" applyAlignment="1">
      <alignment horizontal="center"/>
    </xf>
    <xf numFmtId="3" fontId="0" fillId="0" borderId="37" xfId="0" applyNumberFormat="1" applyBorder="1"/>
    <xf numFmtId="3" fontId="3" fillId="0" borderId="33" xfId="0" applyNumberFormat="1" applyFont="1" applyBorder="1"/>
    <xf numFmtId="165" fontId="42" fillId="12" borderId="0" xfId="0" applyNumberFormat="1" applyFont="1" applyFill="1" applyAlignment="1">
      <alignment horizontal="right" wrapText="1"/>
    </xf>
    <xf numFmtId="165" fontId="42" fillId="13" borderId="0" xfId="0" applyNumberFormat="1" applyFont="1" applyFill="1" applyAlignment="1">
      <alignment horizontal="right" wrapText="1"/>
    </xf>
    <xf numFmtId="3" fontId="35" fillId="9" borderId="31" xfId="0" applyNumberFormat="1" applyFont="1" applyFill="1" applyBorder="1"/>
    <xf numFmtId="3" fontId="35" fillId="9" borderId="37" xfId="0" applyNumberFormat="1" applyFont="1" applyFill="1" applyBorder="1"/>
    <xf numFmtId="3" fontId="35" fillId="9" borderId="21" xfId="0" applyNumberFormat="1" applyFont="1" applyFill="1" applyBorder="1"/>
    <xf numFmtId="3" fontId="35" fillId="14" borderId="0" xfId="0" applyNumberFormat="1" applyFont="1" applyFill="1"/>
    <xf numFmtId="3" fontId="3" fillId="14" borderId="0" xfId="0" applyNumberFormat="1" applyFont="1" applyFill="1"/>
    <xf numFmtId="0" fontId="0" fillId="0" borderId="39" xfId="0" applyBorder="1"/>
    <xf numFmtId="3" fontId="0" fillId="0" borderId="0" xfId="0" applyNumberFormat="1" applyBorder="1"/>
    <xf numFmtId="3" fontId="0" fillId="0" borderId="39" xfId="0" applyNumberFormat="1" applyBorder="1"/>
    <xf numFmtId="3" fontId="35" fillId="9" borderId="0" xfId="0" applyNumberFormat="1" applyFont="1" applyFill="1" applyBorder="1"/>
    <xf numFmtId="3" fontId="35" fillId="9" borderId="39" xfId="0" applyNumberFormat="1" applyFont="1" applyFill="1" applyBorder="1"/>
    <xf numFmtId="3" fontId="3" fillId="0" borderId="37" xfId="0" applyNumberFormat="1" applyFont="1" applyBorder="1"/>
    <xf numFmtId="0" fontId="36" fillId="2" borderId="13" xfId="1" applyFont="1" applyFill="1" applyBorder="1" applyAlignment="1">
      <alignment horizontal="center"/>
    </xf>
    <xf numFmtId="49" fontId="36" fillId="2" borderId="13" xfId="1" applyNumberFormat="1" applyFont="1" applyFill="1" applyBorder="1" applyAlignment="1">
      <alignment horizontal="center"/>
    </xf>
    <xf numFmtId="14" fontId="36" fillId="2" borderId="13" xfId="1" applyNumberFormat="1" applyFont="1" applyFill="1" applyBorder="1" applyAlignment="1">
      <alignment horizontal="center"/>
    </xf>
    <xf numFmtId="164" fontId="36" fillId="2" borderId="13" xfId="1" applyNumberFormat="1" applyFont="1" applyFill="1" applyBorder="1" applyAlignment="1">
      <alignment horizontal="center"/>
    </xf>
    <xf numFmtId="165" fontId="36" fillId="2" borderId="13" xfId="1" applyNumberFormat="1" applyFont="1" applyFill="1" applyBorder="1" applyAlignment="1">
      <alignment horizontal="center"/>
    </xf>
    <xf numFmtId="0" fontId="5" fillId="15" borderId="1" xfId="1" applyFont="1" applyFill="1" applyBorder="1" applyAlignment="1">
      <alignment horizontal="left"/>
    </xf>
    <xf numFmtId="0" fontId="5" fillId="15" borderId="1" xfId="1" applyFont="1" applyFill="1" applyBorder="1" applyAlignment="1">
      <alignment horizontal="center"/>
    </xf>
    <xf numFmtId="14" fontId="5" fillId="15" borderId="1" xfId="1" applyNumberFormat="1" applyFont="1" applyFill="1" applyBorder="1" applyAlignment="1">
      <alignment horizontal="center"/>
    </xf>
    <xf numFmtId="165" fontId="5" fillId="15" borderId="1" xfId="1" applyNumberFormat="1" applyFont="1" applyFill="1" applyBorder="1"/>
    <xf numFmtId="165" fontId="5" fillId="15" borderId="1" xfId="1" applyNumberFormat="1" applyFont="1" applyFill="1" applyBorder="1" applyAlignment="1">
      <alignment horizontal="right"/>
    </xf>
    <xf numFmtId="0" fontId="42" fillId="0" borderId="1" xfId="0" applyFont="1" applyBorder="1"/>
    <xf numFmtId="14" fontId="5" fillId="0" borderId="0" xfId="1" applyNumberFormat="1" applyFont="1"/>
    <xf numFmtId="0" fontId="43" fillId="0" borderId="38" xfId="1" applyFont="1" applyFill="1" applyBorder="1" applyAlignment="1">
      <alignment horizontal="center"/>
    </xf>
    <xf numFmtId="14" fontId="42" fillId="0" borderId="0" xfId="0" applyNumberFormat="1" applyFont="1"/>
    <xf numFmtId="49" fontId="42" fillId="0" borderId="0" xfId="0" applyNumberFormat="1" applyFont="1"/>
    <xf numFmtId="3" fontId="35" fillId="9" borderId="18" xfId="0" applyNumberFormat="1" applyFont="1" applyFill="1" applyBorder="1"/>
    <xf numFmtId="3" fontId="35" fillId="9" borderId="33" xfId="0" applyNumberFormat="1" applyFont="1" applyFill="1" applyBorder="1"/>
    <xf numFmtId="3" fontId="35" fillId="9" borderId="23" xfId="0" applyNumberFormat="1" applyFont="1" applyFill="1" applyBorder="1"/>
    <xf numFmtId="0" fontId="0" fillId="0" borderId="0" xfId="0" applyBorder="1"/>
    <xf numFmtId="3" fontId="3" fillId="0" borderId="0" xfId="0" applyNumberFormat="1" applyFont="1"/>
    <xf numFmtId="3" fontId="12" fillId="0" borderId="37" xfId="0" applyNumberFormat="1" applyFont="1" applyFill="1" applyBorder="1"/>
    <xf numFmtId="3" fontId="4" fillId="0" borderId="37" xfId="0" applyNumberFormat="1" applyFont="1" applyFill="1" applyBorder="1"/>
    <xf numFmtId="3" fontId="4" fillId="0" borderId="39" xfId="0" applyNumberFormat="1" applyFont="1" applyFill="1" applyBorder="1"/>
    <xf numFmtId="3" fontId="4" fillId="0" borderId="0" xfId="0" applyNumberFormat="1" applyFont="1" applyFill="1" applyBorder="1"/>
    <xf numFmtId="3" fontId="4" fillId="0" borderId="0" xfId="0" applyNumberFormat="1" applyFont="1" applyFill="1"/>
    <xf numFmtId="3" fontId="35" fillId="0" borderId="0" xfId="0" applyNumberFormat="1" applyFont="1" applyFill="1"/>
    <xf numFmtId="3" fontId="12" fillId="0" borderId="33" xfId="0" applyNumberFormat="1" applyFont="1" applyFill="1" applyBorder="1"/>
    <xf numFmtId="3" fontId="0" fillId="0" borderId="0" xfId="0" applyNumberFormat="1" applyFill="1" applyBorder="1"/>
    <xf numFmtId="165" fontId="3" fillId="0" borderId="33" xfId="0" applyNumberFormat="1" applyFont="1" applyBorder="1"/>
    <xf numFmtId="0" fontId="42" fillId="16" borderId="1" xfId="0" applyFont="1" applyFill="1" applyBorder="1" applyAlignment="1">
      <alignment horizontal="center"/>
    </xf>
    <xf numFmtId="0" fontId="25" fillId="14" borderId="12" xfId="0" applyFont="1" applyFill="1" applyBorder="1"/>
    <xf numFmtId="14" fontId="25" fillId="14" borderId="13" xfId="0" applyNumberFormat="1" applyFont="1" applyFill="1" applyBorder="1"/>
    <xf numFmtId="0" fontId="25" fillId="14" borderId="13" xfId="0" applyFont="1" applyFill="1" applyBorder="1"/>
    <xf numFmtId="4" fontId="25" fillId="14" borderId="13" xfId="0" applyNumberFormat="1" applyFont="1" applyFill="1" applyBorder="1"/>
    <xf numFmtId="165" fontId="25" fillId="14" borderId="13" xfId="0" applyNumberFormat="1" applyFont="1" applyFill="1" applyBorder="1"/>
    <xf numFmtId="14" fontId="25" fillId="14" borderId="11" xfId="0" applyNumberFormat="1" applyFont="1" applyFill="1" applyBorder="1"/>
    <xf numFmtId="165" fontId="25" fillId="14" borderId="12" xfId="0" applyNumberFormat="1" applyFont="1" applyFill="1" applyBorder="1"/>
    <xf numFmtId="14" fontId="26" fillId="5" borderId="41" xfId="0" applyNumberFormat="1" applyFont="1" applyFill="1" applyBorder="1" applyAlignment="1">
      <alignment vertical="center"/>
    </xf>
    <xf numFmtId="4" fontId="26" fillId="5" borderId="20" xfId="0" applyNumberFormat="1" applyFont="1" applyFill="1" applyBorder="1"/>
    <xf numFmtId="4" fontId="24" fillId="0" borderId="42" xfId="0" applyNumberFormat="1" applyFont="1" applyBorder="1"/>
    <xf numFmtId="3" fontId="35" fillId="9" borderId="0" xfId="0" applyNumberFormat="1" applyFont="1" applyFill="1"/>
    <xf numFmtId="0" fontId="35" fillId="9" borderId="0" xfId="0" applyFont="1" applyFill="1"/>
    <xf numFmtId="3" fontId="0" fillId="0" borderId="0" xfId="0" applyNumberFormat="1" applyFont="1" applyBorder="1"/>
    <xf numFmtId="0" fontId="27" fillId="14" borderId="12" xfId="0" applyFont="1" applyFill="1" applyBorder="1"/>
    <xf numFmtId="14" fontId="27" fillId="14" borderId="13" xfId="0" applyNumberFormat="1" applyFont="1" applyFill="1" applyBorder="1"/>
    <xf numFmtId="0" fontId="27" fillId="14" borderId="13" xfId="0" applyFont="1" applyFill="1" applyBorder="1"/>
    <xf numFmtId="4" fontId="27" fillId="14" borderId="13" xfId="0" applyNumberFormat="1" applyFont="1" applyFill="1" applyBorder="1"/>
    <xf numFmtId="165" fontId="27" fillId="14" borderId="13" xfId="0" applyNumberFormat="1" applyFont="1" applyFill="1" applyBorder="1"/>
    <xf numFmtId="14" fontId="27" fillId="14" borderId="11" xfId="0" applyNumberFormat="1" applyFont="1" applyFill="1" applyBorder="1"/>
    <xf numFmtId="165" fontId="27" fillId="14" borderId="12" xfId="0" applyNumberFormat="1" applyFont="1" applyFill="1" applyBorder="1"/>
    <xf numFmtId="4" fontId="32" fillId="8" borderId="43" xfId="0" applyNumberFormat="1" applyFont="1" applyFill="1" applyBorder="1"/>
    <xf numFmtId="3" fontId="35" fillId="14" borderId="18" xfId="0" applyNumberFormat="1" applyFont="1" applyFill="1" applyBorder="1"/>
    <xf numFmtId="3" fontId="35" fillId="14" borderId="33" xfId="0" applyNumberFormat="1" applyFont="1" applyFill="1" applyBorder="1"/>
    <xf numFmtId="3" fontId="35" fillId="14" borderId="23" xfId="0" applyNumberFormat="1" applyFont="1" applyFill="1" applyBorder="1"/>
    <xf numFmtId="0" fontId="27" fillId="0" borderId="0" xfId="0" applyFont="1" applyFill="1"/>
    <xf numFmtId="0" fontId="25" fillId="0" borderId="0" xfId="0" applyFont="1" applyFill="1"/>
    <xf numFmtId="3" fontId="3" fillId="0" borderId="0" xfId="0" applyNumberFormat="1" applyFont="1" applyBorder="1"/>
    <xf numFmtId="3" fontId="3" fillId="0" borderId="39" xfId="0" applyNumberFormat="1" applyFont="1" applyBorder="1"/>
    <xf numFmtId="3" fontId="35" fillId="9" borderId="32" xfId="0" applyNumberFormat="1" applyFont="1" applyFill="1" applyBorder="1"/>
    <xf numFmtId="3" fontId="35" fillId="9" borderId="2" xfId="0" applyNumberFormat="1" applyFont="1" applyFill="1" applyBorder="1"/>
    <xf numFmtId="3" fontId="0" fillId="0" borderId="37" xfId="0" applyNumberFormat="1" applyFont="1" applyBorder="1"/>
    <xf numFmtId="3" fontId="0" fillId="0" borderId="39" xfId="0" applyNumberFormat="1" applyFont="1" applyBorder="1"/>
    <xf numFmtId="3" fontId="12" fillId="0" borderId="0" xfId="0" applyNumberFormat="1" applyFont="1" applyFill="1" applyBorder="1"/>
    <xf numFmtId="3" fontId="12" fillId="0" borderId="39" xfId="0" applyNumberFormat="1" applyFont="1" applyFill="1" applyBorder="1"/>
    <xf numFmtId="3" fontId="20" fillId="14" borderId="15" xfId="0" applyNumberFormat="1" applyFont="1" applyFill="1" applyBorder="1" applyAlignment="1">
      <alignment horizontal="right"/>
    </xf>
    <xf numFmtId="0" fontId="0" fillId="0" borderId="0" xfId="0" applyAlignment="1">
      <alignment horizontal="right" wrapText="1"/>
    </xf>
    <xf numFmtId="3" fontId="0" fillId="0" borderId="37" xfId="0" applyNumberFormat="1" applyFont="1" applyBorder="1" applyAlignment="1">
      <alignment horizontal="left" indent="5"/>
    </xf>
    <xf numFmtId="3" fontId="0" fillId="0" borderId="0" xfId="0" applyNumberFormat="1" applyFont="1" applyBorder="1" applyAlignment="1">
      <alignment horizontal="left" indent="5"/>
    </xf>
    <xf numFmtId="3" fontId="0" fillId="0" borderId="39" xfId="0" applyNumberFormat="1" applyFont="1" applyBorder="1" applyAlignment="1">
      <alignment horizontal="left" indent="5"/>
    </xf>
    <xf numFmtId="0" fontId="28" fillId="14" borderId="6" xfId="0" applyFont="1" applyFill="1" applyBorder="1"/>
    <xf numFmtId="14" fontId="28" fillId="14" borderId="7" xfId="0" applyNumberFormat="1" applyFont="1" applyFill="1" applyBorder="1"/>
    <xf numFmtId="0" fontId="28" fillId="14" borderId="7" xfId="0" applyFont="1" applyFill="1" applyBorder="1"/>
    <xf numFmtId="4" fontId="28" fillId="14" borderId="7" xfId="0" applyNumberFormat="1" applyFont="1" applyFill="1" applyBorder="1"/>
    <xf numFmtId="165" fontId="28" fillId="14" borderId="7" xfId="0" applyNumberFormat="1" applyFont="1" applyFill="1" applyBorder="1"/>
    <xf numFmtId="14" fontId="28" fillId="14" borderId="8" xfId="0" applyNumberFormat="1" applyFont="1" applyFill="1" applyBorder="1"/>
    <xf numFmtId="0" fontId="28" fillId="14" borderId="20" xfId="0" applyFont="1" applyFill="1" applyBorder="1"/>
    <xf numFmtId="165" fontId="28" fillId="14" borderId="6" xfId="0" applyNumberFormat="1" applyFont="1" applyFill="1" applyBorder="1"/>
    <xf numFmtId="4" fontId="25" fillId="3" borderId="3" xfId="0" applyNumberFormat="1" applyFont="1" applyFill="1" applyBorder="1" applyAlignment="1">
      <alignment horizontal="center"/>
    </xf>
    <xf numFmtId="169" fontId="25" fillId="3" borderId="5" xfId="0" applyNumberFormat="1" applyFont="1" applyFill="1" applyBorder="1" applyAlignment="1">
      <alignment horizontal="center"/>
    </xf>
    <xf numFmtId="4" fontId="28" fillId="14" borderId="6" xfId="0" applyNumberFormat="1" applyFont="1" applyFill="1" applyBorder="1"/>
    <xf numFmtId="4" fontId="28" fillId="14" borderId="8" xfId="0" applyNumberFormat="1" applyFont="1" applyFill="1" applyBorder="1"/>
    <xf numFmtId="0" fontId="14" fillId="0" borderId="27" xfId="0" applyFont="1" applyFill="1" applyBorder="1" applyAlignment="1">
      <alignment horizontal="center" vertical="center"/>
    </xf>
    <xf numFmtId="0" fontId="15" fillId="0" borderId="30" xfId="0" applyFont="1" applyFill="1" applyBorder="1"/>
    <xf numFmtId="0" fontId="3" fillId="0" borderId="37" xfId="0" applyFont="1" applyBorder="1"/>
    <xf numFmtId="43" fontId="24" fillId="0" borderId="0" xfId="6" applyFont="1"/>
    <xf numFmtId="0" fontId="25" fillId="14" borderId="9" xfId="0" applyFont="1" applyFill="1" applyBorder="1"/>
    <xf numFmtId="0" fontId="25" fillId="14" borderId="1" xfId="0" applyFont="1" applyFill="1" applyBorder="1"/>
    <xf numFmtId="14" fontId="25" fillId="14" borderId="1" xfId="0" applyNumberFormat="1" applyFont="1" applyFill="1" applyBorder="1"/>
    <xf numFmtId="4" fontId="25" fillId="14" borderId="1" xfId="0" applyNumberFormat="1" applyFont="1" applyFill="1" applyBorder="1"/>
    <xf numFmtId="165" fontId="25" fillId="14" borderId="1" xfId="0" applyNumberFormat="1" applyFont="1" applyFill="1" applyBorder="1"/>
    <xf numFmtId="4" fontId="25" fillId="14" borderId="47" xfId="0" applyNumberFormat="1" applyFont="1" applyFill="1" applyBorder="1"/>
    <xf numFmtId="4" fontId="42" fillId="12" borderId="0" xfId="0" applyNumberFormat="1" applyFont="1" applyFill="1" applyAlignment="1">
      <alignment horizontal="right" wrapText="1"/>
    </xf>
    <xf numFmtId="4" fontId="42" fillId="13" borderId="0" xfId="0" applyNumberFormat="1" applyFont="1" applyFill="1" applyAlignment="1">
      <alignment horizontal="right" wrapText="1"/>
    </xf>
    <xf numFmtId="165" fontId="3" fillId="0" borderId="37" xfId="0" applyNumberFormat="1" applyFont="1" applyBorder="1"/>
    <xf numFmtId="165" fontId="3" fillId="0" borderId="0" xfId="0" applyNumberFormat="1" applyFont="1" applyBorder="1"/>
    <xf numFmtId="165" fontId="3" fillId="0" borderId="39" xfId="0" applyNumberFormat="1" applyFont="1" applyBorder="1"/>
    <xf numFmtId="0" fontId="25" fillId="14" borderId="47" xfId="0" applyFont="1" applyFill="1" applyBorder="1"/>
    <xf numFmtId="14" fontId="25" fillId="14" borderId="10" xfId="0" applyNumberFormat="1" applyFont="1" applyFill="1" applyBorder="1"/>
    <xf numFmtId="165" fontId="25" fillId="14" borderId="9" xfId="0" applyNumberFormat="1" applyFont="1" applyFill="1" applyBorder="1"/>
    <xf numFmtId="4" fontId="25" fillId="14" borderId="9" xfId="0" applyNumberFormat="1" applyFont="1" applyFill="1" applyBorder="1"/>
    <xf numFmtId="4" fontId="25" fillId="14" borderId="10" xfId="0" applyNumberFormat="1" applyFont="1" applyFill="1" applyBorder="1"/>
    <xf numFmtId="165" fontId="0" fillId="0" borderId="37" xfId="0" applyNumberFormat="1" applyFont="1" applyBorder="1"/>
    <xf numFmtId="165" fontId="0" fillId="0" borderId="0" xfId="0" applyNumberFormat="1" applyFont="1" applyBorder="1"/>
    <xf numFmtId="165" fontId="0" fillId="0" borderId="39" xfId="0" applyNumberFormat="1" applyFont="1" applyBorder="1"/>
    <xf numFmtId="0" fontId="43" fillId="9" borderId="13" xfId="1" applyFont="1" applyFill="1" applyBorder="1" applyAlignment="1">
      <alignment horizontal="center"/>
    </xf>
    <xf numFmtId="49" fontId="43" fillId="9" borderId="13" xfId="1" applyNumberFormat="1" applyFont="1" applyFill="1" applyBorder="1" applyAlignment="1">
      <alignment horizontal="center"/>
    </xf>
    <xf numFmtId="14" fontId="43" fillId="9" borderId="13" xfId="1" applyNumberFormat="1" applyFont="1" applyFill="1" applyBorder="1" applyAlignment="1">
      <alignment horizontal="center"/>
    </xf>
    <xf numFmtId="164" fontId="43" fillId="9" borderId="13" xfId="1" applyNumberFormat="1" applyFont="1" applyFill="1" applyBorder="1" applyAlignment="1">
      <alignment horizontal="right"/>
    </xf>
    <xf numFmtId="165" fontId="43" fillId="9" borderId="13" xfId="1" applyNumberFormat="1" applyFont="1" applyFill="1" applyBorder="1" applyAlignment="1">
      <alignment horizontal="center"/>
    </xf>
    <xf numFmtId="171" fontId="36" fillId="2" borderId="13" xfId="1" applyNumberFormat="1" applyFont="1" applyFill="1" applyBorder="1" applyAlignment="1">
      <alignment horizontal="center"/>
    </xf>
    <xf numFmtId="0" fontId="28" fillId="0" borderId="12" xfId="0" applyFont="1" applyBorder="1"/>
    <xf numFmtId="0" fontId="28" fillId="0" borderId="13" xfId="0" applyFont="1" applyBorder="1"/>
    <xf numFmtId="14" fontId="28" fillId="0" borderId="13" xfId="0" applyNumberFormat="1" applyFont="1" applyBorder="1"/>
    <xf numFmtId="4" fontId="28" fillId="0" borderId="13" xfId="0" applyNumberFormat="1" applyFont="1" applyBorder="1"/>
    <xf numFmtId="165" fontId="28" fillId="0" borderId="13" xfId="0" applyNumberFormat="1" applyFont="1" applyBorder="1"/>
    <xf numFmtId="43" fontId="8" fillId="0" borderId="0" xfId="6" applyFont="1" applyBorder="1"/>
    <xf numFmtId="0" fontId="25" fillId="14" borderId="43" xfId="0" applyFont="1" applyFill="1" applyBorder="1"/>
    <xf numFmtId="0" fontId="25" fillId="14" borderId="14" xfId="0" applyFont="1" applyFill="1" applyBorder="1"/>
    <xf numFmtId="14" fontId="25" fillId="14" borderId="15" xfId="0" applyNumberFormat="1" applyFont="1" applyFill="1" applyBorder="1"/>
    <xf numFmtId="0" fontId="25" fillId="14" borderId="15" xfId="0" applyFont="1" applyFill="1" applyBorder="1"/>
    <xf numFmtId="4" fontId="25" fillId="14" borderId="15" xfId="0" applyNumberFormat="1" applyFont="1" applyFill="1" applyBorder="1"/>
    <xf numFmtId="165" fontId="25" fillId="14" borderId="15" xfId="0" applyNumberFormat="1" applyFont="1" applyFill="1" applyBorder="1"/>
    <xf numFmtId="14" fontId="25" fillId="14" borderId="16" xfId="0" applyNumberFormat="1" applyFont="1" applyFill="1" applyBorder="1"/>
    <xf numFmtId="165" fontId="25" fillId="14" borderId="14" xfId="0" applyNumberFormat="1" applyFont="1" applyFill="1" applyBorder="1"/>
    <xf numFmtId="4" fontId="25" fillId="14" borderId="14" xfId="0" applyNumberFormat="1" applyFont="1" applyFill="1" applyBorder="1"/>
    <xf numFmtId="4" fontId="25" fillId="14" borderId="16" xfId="0" applyNumberFormat="1" applyFont="1" applyFill="1" applyBorder="1"/>
    <xf numFmtId="3" fontId="12" fillId="0" borderId="0" xfId="0" applyNumberFormat="1" applyFont="1" applyFill="1"/>
    <xf numFmtId="3" fontId="2" fillId="0" borderId="37" xfId="0" applyNumberFormat="1" applyFont="1" applyBorder="1"/>
    <xf numFmtId="3" fontId="2" fillId="0" borderId="0" xfId="0" applyNumberFormat="1" applyFont="1" applyBorder="1"/>
    <xf numFmtId="3" fontId="2" fillId="0" borderId="39" xfId="0" applyNumberFormat="1" applyFont="1" applyBorder="1"/>
    <xf numFmtId="4" fontId="28" fillId="0" borderId="14" xfId="0" applyNumberFormat="1" applyFont="1" applyBorder="1"/>
    <xf numFmtId="4" fontId="24" fillId="0" borderId="43" xfId="0" applyNumberFormat="1" applyFont="1" applyBorder="1"/>
    <xf numFmtId="0" fontId="28" fillId="0" borderId="43" xfId="0" applyFont="1" applyBorder="1"/>
    <xf numFmtId="4" fontId="28" fillId="0" borderId="12" xfId="0" applyNumberFormat="1" applyFont="1" applyBorder="1"/>
    <xf numFmtId="14" fontId="28" fillId="0" borderId="11" xfId="0" applyNumberFormat="1" applyFont="1" applyBorder="1"/>
    <xf numFmtId="4" fontId="24" fillId="0" borderId="12" xfId="0" applyNumberFormat="1" applyFont="1" applyBorder="1"/>
    <xf numFmtId="14" fontId="24" fillId="0" borderId="11" xfId="0" applyNumberFormat="1" applyFont="1" applyBorder="1"/>
    <xf numFmtId="0" fontId="25" fillId="14" borderId="10" xfId="0" applyFont="1" applyFill="1" applyBorder="1"/>
    <xf numFmtId="165" fontId="28" fillId="0" borderId="12" xfId="0" applyNumberFormat="1" applyFont="1" applyBorder="1"/>
    <xf numFmtId="165" fontId="24" fillId="0" borderId="12" xfId="0" applyNumberFormat="1" applyFont="1" applyBorder="1"/>
    <xf numFmtId="0" fontId="27" fillId="14" borderId="9" xfId="0" applyFont="1" applyFill="1" applyBorder="1"/>
    <xf numFmtId="14" fontId="27" fillId="14" borderId="1" xfId="0" applyNumberFormat="1" applyFont="1" applyFill="1" applyBorder="1"/>
    <xf numFmtId="0" fontId="27" fillId="14" borderId="1" xfId="0" applyFont="1" applyFill="1" applyBorder="1"/>
    <xf numFmtId="4" fontId="27" fillId="14" borderId="1" xfId="0" applyNumberFormat="1" applyFont="1" applyFill="1" applyBorder="1"/>
    <xf numFmtId="165" fontId="27" fillId="14" borderId="1" xfId="0" applyNumberFormat="1" applyFont="1" applyFill="1" applyBorder="1"/>
    <xf numFmtId="14" fontId="27" fillId="14" borderId="10" xfId="0" applyNumberFormat="1" applyFont="1" applyFill="1" applyBorder="1"/>
    <xf numFmtId="165" fontId="27" fillId="14" borderId="9" xfId="0" applyNumberFormat="1" applyFont="1" applyFill="1" applyBorder="1"/>
    <xf numFmtId="0" fontId="27" fillId="14" borderId="10" xfId="0" applyFont="1" applyFill="1" applyBorder="1"/>
    <xf numFmtId="4" fontId="27" fillId="14" borderId="9" xfId="0" applyNumberFormat="1" applyFont="1" applyFill="1" applyBorder="1"/>
    <xf numFmtId="3" fontId="49" fillId="0" borderId="37" xfId="0" applyNumberFormat="1" applyFont="1" applyFill="1" applyBorder="1"/>
    <xf numFmtId="3" fontId="49" fillId="0" borderId="0" xfId="0" applyNumberFormat="1" applyFont="1" applyFill="1" applyBorder="1"/>
    <xf numFmtId="3" fontId="49" fillId="0" borderId="39" xfId="0" applyNumberFormat="1" applyFont="1" applyFill="1" applyBorder="1"/>
    <xf numFmtId="0" fontId="47" fillId="17" borderId="34" xfId="0" applyFont="1" applyFill="1" applyBorder="1"/>
    <xf numFmtId="0" fontId="47" fillId="17" borderId="6" xfId="0" applyFont="1" applyFill="1" applyBorder="1"/>
    <xf numFmtId="14" fontId="47" fillId="17" borderId="7" xfId="0" applyNumberFormat="1" applyFont="1" applyFill="1" applyBorder="1"/>
    <xf numFmtId="0" fontId="47" fillId="17" borderId="7" xfId="0" applyFont="1" applyFill="1" applyBorder="1"/>
    <xf numFmtId="4" fontId="47" fillId="17" borderId="7" xfId="0" applyNumberFormat="1" applyFont="1" applyFill="1" applyBorder="1"/>
    <xf numFmtId="165" fontId="47" fillId="17" borderId="7" xfId="0" applyNumberFormat="1" applyFont="1" applyFill="1" applyBorder="1"/>
    <xf numFmtId="14" fontId="47" fillId="17" borderId="8" xfId="0" applyNumberFormat="1" applyFont="1" applyFill="1" applyBorder="1"/>
    <xf numFmtId="165" fontId="47" fillId="17" borderId="6" xfId="0" applyNumberFormat="1" applyFont="1" applyFill="1" applyBorder="1"/>
    <xf numFmtId="4" fontId="47" fillId="17" borderId="20" xfId="0" applyNumberFormat="1" applyFont="1" applyFill="1" applyBorder="1"/>
    <xf numFmtId="3" fontId="3" fillId="0" borderId="0" xfId="0" applyNumberFormat="1" applyFont="1" applyFill="1"/>
    <xf numFmtId="0" fontId="3" fillId="0" borderId="0" xfId="0" applyFont="1" applyFill="1"/>
    <xf numFmtId="165" fontId="3" fillId="0" borderId="0" xfId="0" applyNumberFormat="1" applyFont="1" applyFill="1"/>
    <xf numFmtId="3" fontId="0" fillId="0" borderId="0" xfId="0" applyNumberFormat="1" applyFill="1"/>
    <xf numFmtId="165" fontId="0" fillId="0" borderId="0" xfId="0" applyNumberFormat="1" applyFill="1"/>
    <xf numFmtId="3" fontId="3" fillId="0" borderId="25" xfId="0" applyNumberFormat="1" applyFont="1" applyFill="1" applyBorder="1" applyAlignment="1">
      <alignment horizontal="center"/>
    </xf>
    <xf numFmtId="165" fontId="3" fillId="0" borderId="25" xfId="0" applyNumberFormat="1" applyFont="1" applyFill="1" applyBorder="1" applyAlignment="1">
      <alignment horizontal="center"/>
    </xf>
    <xf numFmtId="0" fontId="3" fillId="0" borderId="26" xfId="0" applyFont="1" applyFill="1" applyBorder="1" applyAlignment="1">
      <alignment horizontal="center"/>
    </xf>
    <xf numFmtId="14" fontId="0" fillId="0" borderId="6" xfId="0" applyNumberFormat="1" applyFill="1" applyBorder="1"/>
    <xf numFmtId="0" fontId="0" fillId="0" borderId="7" xfId="0" applyFill="1" applyBorder="1"/>
    <xf numFmtId="3" fontId="0" fillId="0" borderId="7" xfId="0" applyNumberFormat="1" applyFill="1" applyBorder="1"/>
    <xf numFmtId="14" fontId="0" fillId="0" borderId="14" xfId="0" applyNumberFormat="1" applyFill="1" applyBorder="1"/>
    <xf numFmtId="0" fontId="0" fillId="0" borderId="15" xfId="0" applyFill="1" applyBorder="1"/>
    <xf numFmtId="3" fontId="0" fillId="0" borderId="15" xfId="0" applyNumberFormat="1" applyFill="1" applyBorder="1"/>
    <xf numFmtId="3" fontId="3" fillId="0" borderId="26" xfId="0" applyNumberFormat="1" applyFont="1" applyFill="1" applyBorder="1"/>
    <xf numFmtId="165" fontId="3" fillId="0" borderId="30" xfId="0" applyNumberFormat="1" applyFont="1" applyFill="1" applyBorder="1"/>
    <xf numFmtId="3" fontId="3" fillId="0" borderId="45" xfId="0" applyNumberFormat="1" applyFont="1" applyFill="1" applyBorder="1"/>
    <xf numFmtId="165" fontId="3" fillId="0" borderId="23" xfId="0" applyNumberFormat="1" applyFont="1" applyFill="1" applyBorder="1"/>
    <xf numFmtId="165" fontId="5" fillId="15" borderId="1" xfId="1" applyNumberFormat="1" applyFont="1" applyFill="1" applyBorder="1" applyAlignment="1">
      <alignment horizontal="center"/>
    </xf>
    <xf numFmtId="165" fontId="42" fillId="15" borderId="1" xfId="0" applyNumberFormat="1" applyFont="1" applyFill="1" applyBorder="1" applyAlignment="1">
      <alignment horizontal="center"/>
    </xf>
    <xf numFmtId="0" fontId="35" fillId="14" borderId="32" xfId="0" applyFont="1" applyFill="1" applyBorder="1"/>
    <xf numFmtId="0" fontId="3" fillId="14" borderId="0" xfId="0" applyFont="1" applyFill="1" applyBorder="1"/>
    <xf numFmtId="3" fontId="35" fillId="14" borderId="32" xfId="0" applyNumberFormat="1" applyFont="1" applyFill="1" applyBorder="1"/>
    <xf numFmtId="3" fontId="3" fillId="14" borderId="0" xfId="0" applyNumberFormat="1" applyFont="1" applyFill="1" applyBorder="1"/>
    <xf numFmtId="0" fontId="50" fillId="0" borderId="0" xfId="0" applyFont="1"/>
    <xf numFmtId="3" fontId="51" fillId="0" borderId="0" xfId="0" applyNumberFormat="1" applyFont="1"/>
    <xf numFmtId="0" fontId="51" fillId="0" borderId="0" xfId="0" applyFont="1"/>
    <xf numFmtId="3" fontId="50" fillId="0" borderId="0" xfId="0" applyNumberFormat="1" applyFont="1"/>
    <xf numFmtId="3" fontId="51" fillId="14" borderId="0" xfId="0" applyNumberFormat="1" applyFont="1" applyFill="1"/>
    <xf numFmtId="0" fontId="42" fillId="0" borderId="1" xfId="0" applyFont="1" applyBorder="1" applyAlignment="1">
      <alignment horizontal="left"/>
    </xf>
    <xf numFmtId="0" fontId="28" fillId="0" borderId="42" xfId="0" applyFont="1" applyBorder="1"/>
    <xf numFmtId="3" fontId="38" fillId="0" borderId="39" xfId="0" applyNumberFormat="1" applyFont="1" applyFill="1" applyBorder="1"/>
    <xf numFmtId="3" fontId="38" fillId="0" borderId="39" xfId="0" applyNumberFormat="1" applyFont="1" applyBorder="1"/>
    <xf numFmtId="0" fontId="3" fillId="0" borderId="24" xfId="0" applyFont="1" applyFill="1" applyBorder="1" applyAlignment="1">
      <alignment horizontal="center"/>
    </xf>
    <xf numFmtId="0" fontId="3" fillId="0" borderId="25" xfId="0" applyFont="1" applyFill="1" applyBorder="1" applyAlignment="1">
      <alignment horizontal="center"/>
    </xf>
    <xf numFmtId="0" fontId="3" fillId="0" borderId="0" xfId="0" applyFont="1" applyFill="1" applyAlignment="1">
      <alignment horizontal="left" indent="2"/>
    </xf>
    <xf numFmtId="165" fontId="0" fillId="0" borderId="7" xfId="0" applyNumberFormat="1" applyFill="1" applyBorder="1" applyAlignment="1">
      <alignment vertical="center"/>
    </xf>
    <xf numFmtId="14" fontId="0" fillId="0" borderId="9" xfId="0" applyNumberFormat="1" applyFill="1" applyBorder="1"/>
    <xf numFmtId="0" fontId="0" fillId="0" borderId="1" xfId="0" applyFill="1" applyBorder="1"/>
    <xf numFmtId="3" fontId="0" fillId="0" borderId="1" xfId="0" applyNumberFormat="1" applyFill="1" applyBorder="1"/>
    <xf numFmtId="165" fontId="0" fillId="0" borderId="1" xfId="0" applyNumberFormat="1" applyFill="1" applyBorder="1" applyAlignment="1">
      <alignment vertical="center"/>
    </xf>
    <xf numFmtId="165" fontId="0" fillId="0" borderId="15" xfId="0" applyNumberFormat="1" applyFill="1" applyBorder="1" applyAlignment="1">
      <alignment vertical="center"/>
    </xf>
    <xf numFmtId="3" fontId="3" fillId="0" borderId="0" xfId="0" applyNumberFormat="1" applyFont="1" applyFill="1" applyBorder="1"/>
    <xf numFmtId="0" fontId="28" fillId="0" borderId="16" xfId="0" applyFont="1" applyBorder="1"/>
    <xf numFmtId="0" fontId="2" fillId="0" borderId="0" xfId="0" applyFont="1" applyFill="1"/>
    <xf numFmtId="3" fontId="12" fillId="0" borderId="45" xfId="0" applyNumberFormat="1" applyFont="1" applyFill="1" applyBorder="1"/>
    <xf numFmtId="165" fontId="12" fillId="0" borderId="23" xfId="0" applyNumberFormat="1" applyFont="1" applyFill="1" applyBorder="1"/>
    <xf numFmtId="0" fontId="12" fillId="0" borderId="0" xfId="0" applyFont="1" applyFill="1"/>
    <xf numFmtId="165" fontId="4" fillId="0" borderId="0" xfId="0" applyNumberFormat="1" applyFont="1" applyFill="1"/>
    <xf numFmtId="0" fontId="12" fillId="0" borderId="24" xfId="0" applyFont="1" applyFill="1" applyBorder="1" applyAlignment="1">
      <alignment horizontal="center"/>
    </xf>
    <xf numFmtId="0" fontId="12" fillId="0" borderId="25" xfId="0" applyFont="1" applyFill="1" applyBorder="1" applyAlignment="1">
      <alignment horizontal="center"/>
    </xf>
    <xf numFmtId="3" fontId="12" fillId="0" borderId="25" xfId="0" applyNumberFormat="1" applyFont="1" applyFill="1" applyBorder="1" applyAlignment="1">
      <alignment horizontal="center"/>
    </xf>
    <xf numFmtId="165" fontId="12" fillId="0" borderId="25" xfId="0" applyNumberFormat="1" applyFont="1" applyFill="1" applyBorder="1" applyAlignment="1">
      <alignment horizontal="center"/>
    </xf>
    <xf numFmtId="0" fontId="12" fillId="0" borderId="26" xfId="0" applyFont="1" applyFill="1" applyBorder="1" applyAlignment="1">
      <alignment horizontal="center"/>
    </xf>
    <xf numFmtId="0" fontId="25" fillId="14" borderId="20" xfId="0" applyFont="1" applyFill="1" applyBorder="1"/>
    <xf numFmtId="0" fontId="25" fillId="14" borderId="6" xfId="0" applyFont="1" applyFill="1" applyBorder="1"/>
    <xf numFmtId="14" fontId="25" fillId="14" borderId="7" xfId="0" applyNumberFormat="1" applyFont="1" applyFill="1" applyBorder="1"/>
    <xf numFmtId="0" fontId="25" fillId="14" borderId="7" xfId="0" applyFont="1" applyFill="1" applyBorder="1"/>
    <xf numFmtId="4" fontId="25" fillId="14" borderId="7" xfId="0" applyNumberFormat="1" applyFont="1" applyFill="1" applyBorder="1"/>
    <xf numFmtId="165" fontId="25" fillId="14" borderId="7" xfId="0" applyNumberFormat="1" applyFont="1" applyFill="1" applyBorder="1"/>
    <xf numFmtId="14" fontId="25" fillId="14" borderId="8" xfId="0" applyNumberFormat="1" applyFont="1" applyFill="1" applyBorder="1"/>
    <xf numFmtId="165" fontId="25" fillId="14" borderId="6" xfId="0" applyNumberFormat="1" applyFont="1" applyFill="1" applyBorder="1"/>
    <xf numFmtId="4" fontId="25" fillId="14" borderId="6" xfId="0" applyNumberFormat="1" applyFont="1" applyFill="1" applyBorder="1"/>
    <xf numFmtId="0" fontId="25" fillId="14" borderId="8" xfId="0" applyFont="1" applyFill="1" applyBorder="1"/>
    <xf numFmtId="4" fontId="25" fillId="14" borderId="20" xfId="0" applyNumberFormat="1" applyFont="1" applyFill="1" applyBorder="1"/>
    <xf numFmtId="0" fontId="27" fillId="14" borderId="47" xfId="0" applyFont="1" applyFill="1" applyBorder="1"/>
    <xf numFmtId="49" fontId="41" fillId="9" borderId="13" xfId="1" applyNumberFormat="1" applyFont="1" applyFill="1" applyBorder="1" applyAlignment="1">
      <alignment horizontal="center"/>
    </xf>
    <xf numFmtId="0" fontId="28" fillId="0" borderId="11" xfId="0" applyFont="1" applyBorder="1"/>
    <xf numFmtId="0" fontId="42" fillId="0" borderId="1" xfId="0" applyNumberFormat="1" applyFont="1" applyBorder="1"/>
    <xf numFmtId="4" fontId="27" fillId="14" borderId="12" xfId="0" applyNumberFormat="1" applyFont="1" applyFill="1" applyBorder="1"/>
    <xf numFmtId="0" fontId="27" fillId="14" borderId="11" xfId="0" applyFont="1" applyFill="1" applyBorder="1"/>
    <xf numFmtId="165" fontId="3" fillId="0" borderId="0" xfId="0" applyNumberFormat="1" applyFont="1" applyFill="1" applyBorder="1"/>
    <xf numFmtId="0" fontId="25" fillId="14" borderId="42" xfId="0" applyFont="1" applyFill="1" applyBorder="1"/>
    <xf numFmtId="0" fontId="27" fillId="14" borderId="42" xfId="0" applyFont="1" applyFill="1" applyBorder="1"/>
    <xf numFmtId="49" fontId="3" fillId="0" borderId="26" xfId="0" applyNumberFormat="1" applyFont="1" applyFill="1" applyBorder="1" applyAlignment="1">
      <alignment horizontal="center"/>
    </xf>
    <xf numFmtId="49" fontId="3" fillId="0" borderId="0" xfId="0" applyNumberFormat="1" applyFont="1" applyFill="1" applyAlignment="1">
      <alignment horizontal="center"/>
    </xf>
    <xf numFmtId="14" fontId="0" fillId="0" borderId="24" xfId="0" applyNumberFormat="1" applyFill="1" applyBorder="1"/>
    <xf numFmtId="0" fontId="0" fillId="0" borderId="25" xfId="0" applyFill="1" applyBorder="1"/>
    <xf numFmtId="3" fontId="0" fillId="0" borderId="25" xfId="0" applyNumberFormat="1" applyFill="1" applyBorder="1"/>
    <xf numFmtId="165" fontId="0" fillId="0" borderId="25" xfId="0" applyNumberFormat="1" applyFill="1" applyBorder="1" applyAlignment="1">
      <alignment vertical="center"/>
    </xf>
    <xf numFmtId="49" fontId="3" fillId="0" borderId="26" xfId="0" applyNumberFormat="1" applyFont="1" applyFill="1" applyBorder="1" applyAlignment="1">
      <alignment horizontal="center" vertical="center"/>
    </xf>
    <xf numFmtId="14" fontId="0" fillId="0" borderId="0" xfId="0" applyNumberFormat="1" applyFill="1" applyBorder="1"/>
    <xf numFmtId="0" fontId="0" fillId="0" borderId="0" xfId="0" applyFill="1" applyBorder="1"/>
    <xf numFmtId="165" fontId="0" fillId="0" borderId="0" xfId="0" applyNumberFormat="1" applyFill="1" applyBorder="1" applyAlignment="1">
      <alignment vertical="center"/>
    </xf>
    <xf numFmtId="49" fontId="3" fillId="0" borderId="0" xfId="0" applyNumberFormat="1" applyFont="1" applyFill="1" applyBorder="1" applyAlignment="1">
      <alignment horizontal="center" vertical="center"/>
    </xf>
    <xf numFmtId="3" fontId="38" fillId="5" borderId="31" xfId="0" applyNumberFormat="1" applyFont="1" applyFill="1" applyBorder="1"/>
    <xf numFmtId="3" fontId="38" fillId="5" borderId="32" xfId="0" applyNumberFormat="1" applyFont="1" applyFill="1" applyBorder="1"/>
    <xf numFmtId="3" fontId="38" fillId="5" borderId="40" xfId="0" applyNumberFormat="1" applyFont="1" applyFill="1" applyBorder="1"/>
    <xf numFmtId="3" fontId="38" fillId="5" borderId="37" xfId="0" applyNumberFormat="1" applyFont="1" applyFill="1" applyBorder="1"/>
    <xf numFmtId="3" fontId="38" fillId="5" borderId="0" xfId="0" applyNumberFormat="1" applyFont="1" applyFill="1" applyBorder="1"/>
    <xf numFmtId="3" fontId="38" fillId="5" borderId="39" xfId="0" applyNumberFormat="1" applyFont="1" applyFill="1" applyBorder="1"/>
    <xf numFmtId="3" fontId="38" fillId="5" borderId="21" xfId="0" applyNumberFormat="1" applyFont="1" applyFill="1" applyBorder="1"/>
    <xf numFmtId="3" fontId="38" fillId="5" borderId="2" xfId="0" applyNumberFormat="1" applyFont="1" applyFill="1" applyBorder="1"/>
    <xf numFmtId="3" fontId="38" fillId="5" borderId="22" xfId="0" applyNumberFormat="1" applyFont="1" applyFill="1" applyBorder="1"/>
    <xf numFmtId="172" fontId="24" fillId="0" borderId="0" xfId="4" applyNumberFormat="1" applyFont="1"/>
    <xf numFmtId="173" fontId="24" fillId="0" borderId="0" xfId="0" applyNumberFormat="1" applyFont="1"/>
    <xf numFmtId="1" fontId="44" fillId="11" borderId="0" xfId="0" applyNumberFormat="1" applyFont="1" applyFill="1" applyAlignment="1">
      <alignment horizontal="center" wrapText="1"/>
    </xf>
    <xf numFmtId="14" fontId="53" fillId="14" borderId="30" xfId="0" applyNumberFormat="1" applyFont="1" applyFill="1" applyBorder="1" applyAlignment="1">
      <alignment horizontal="center" vertical="center"/>
    </xf>
    <xf numFmtId="0" fontId="4" fillId="0" borderId="37" xfId="0" applyFont="1" applyBorder="1"/>
    <xf numFmtId="3" fontId="12" fillId="14" borderId="0" xfId="0" applyNumberFormat="1" applyFont="1" applyFill="1"/>
    <xf numFmtId="14" fontId="38" fillId="5" borderId="27" xfId="0" applyNumberFormat="1" applyFont="1" applyFill="1" applyBorder="1" applyAlignment="1">
      <alignment horizontal="center" vertical="center"/>
    </xf>
    <xf numFmtId="14" fontId="38" fillId="5" borderId="28" xfId="0" applyNumberFormat="1" applyFont="1" applyFill="1" applyBorder="1" applyAlignment="1">
      <alignment horizontal="center" vertical="center"/>
    </xf>
    <xf numFmtId="14" fontId="38" fillId="5" borderId="29" xfId="0" applyNumberFormat="1" applyFont="1" applyFill="1" applyBorder="1" applyAlignment="1">
      <alignment horizontal="center" vertical="center"/>
    </xf>
    <xf numFmtId="3" fontId="3" fillId="0" borderId="33" xfId="0" applyNumberFormat="1" applyFont="1" applyFill="1" applyBorder="1"/>
    <xf numFmtId="0" fontId="10" fillId="5" borderId="12" xfId="0" applyFont="1" applyFill="1" applyBorder="1"/>
    <xf numFmtId="14" fontId="20" fillId="0" borderId="8" xfId="0" applyNumberFormat="1" applyFont="1" applyFill="1" applyBorder="1" applyAlignment="1">
      <alignment horizontal="right"/>
    </xf>
    <xf numFmtId="14" fontId="20" fillId="0" borderId="16" xfId="0" applyNumberFormat="1" applyFont="1" applyFill="1" applyBorder="1" applyAlignment="1">
      <alignment horizontal="right"/>
    </xf>
    <xf numFmtId="3" fontId="21" fillId="0" borderId="25" xfId="0" applyNumberFormat="1" applyFont="1" applyFill="1" applyBorder="1" applyAlignment="1">
      <alignment horizontal="right"/>
    </xf>
    <xf numFmtId="3" fontId="21" fillId="0" borderId="7" xfId="0" applyNumberFormat="1" applyFont="1" applyFill="1" applyBorder="1" applyAlignment="1">
      <alignment horizontal="right"/>
    </xf>
    <xf numFmtId="3" fontId="21" fillId="0" borderId="15" xfId="0" applyNumberFormat="1" applyFont="1" applyFill="1" applyBorder="1" applyAlignment="1">
      <alignment horizontal="right"/>
    </xf>
    <xf numFmtId="3" fontId="20" fillId="0" borderId="1" xfId="0" applyNumberFormat="1" applyFont="1" applyFill="1" applyBorder="1" applyAlignment="1">
      <alignment horizontal="right"/>
    </xf>
    <xf numFmtId="3" fontId="21" fillId="0" borderId="1" xfId="0" applyNumberFormat="1" applyFont="1" applyFill="1" applyBorder="1" applyAlignment="1">
      <alignment horizontal="right"/>
    </xf>
    <xf numFmtId="14" fontId="20" fillId="0" borderId="7" xfId="0" applyNumberFormat="1" applyFont="1" applyFill="1" applyBorder="1" applyAlignment="1">
      <alignment horizontal="right"/>
    </xf>
    <xf numFmtId="14" fontId="20" fillId="0" borderId="15" xfId="0" applyNumberFormat="1" applyFont="1" applyFill="1" applyBorder="1" applyAlignment="1">
      <alignment horizontal="right"/>
    </xf>
    <xf numFmtId="3" fontId="20" fillId="0" borderId="25" xfId="0" applyNumberFormat="1" applyFont="1" applyFill="1" applyBorder="1" applyAlignment="1">
      <alignment horizontal="right"/>
    </xf>
    <xf numFmtId="14" fontId="18" fillId="0" borderId="0" xfId="0" applyNumberFormat="1" applyFont="1" applyAlignment="1">
      <alignment horizontal="right"/>
    </xf>
    <xf numFmtId="0" fontId="18" fillId="0" borderId="0" xfId="0" applyFont="1" applyAlignment="1">
      <alignment horizontal="right"/>
    </xf>
    <xf numFmtId="0" fontId="21" fillId="0" borderId="0" xfId="0" applyFont="1" applyAlignment="1">
      <alignment horizontal="right"/>
    </xf>
    <xf numFmtId="14" fontId="18" fillId="0" borderId="0" xfId="0" applyNumberFormat="1" applyFont="1" applyFill="1" applyAlignment="1">
      <alignment horizontal="right"/>
    </xf>
    <xf numFmtId="0" fontId="18" fillId="0" borderId="0" xfId="0" applyFont="1" applyFill="1" applyAlignment="1">
      <alignment horizontal="right"/>
    </xf>
    <xf numFmtId="14" fontId="18" fillId="0" borderId="25" xfId="0" applyNumberFormat="1" applyFont="1" applyFill="1" applyBorder="1" applyAlignment="1">
      <alignment horizontal="right"/>
    </xf>
    <xf numFmtId="14" fontId="18" fillId="0" borderId="26" xfId="0" applyNumberFormat="1" applyFont="1" applyFill="1" applyBorder="1" applyAlignment="1">
      <alignment horizontal="right"/>
    </xf>
    <xf numFmtId="0" fontId="20" fillId="0" borderId="0" xfId="0" applyFont="1" applyAlignment="1">
      <alignment horizontal="right"/>
    </xf>
    <xf numFmtId="14" fontId="18" fillId="0" borderId="7" xfId="0" applyNumberFormat="1" applyFont="1" applyFill="1" applyBorder="1" applyAlignment="1">
      <alignment horizontal="right"/>
    </xf>
    <xf numFmtId="14" fontId="18" fillId="0" borderId="8" xfId="0" applyNumberFormat="1" applyFont="1" applyFill="1" applyBorder="1" applyAlignment="1">
      <alignment horizontal="right"/>
    </xf>
    <xf numFmtId="14" fontId="18" fillId="0" borderId="15" xfId="0" applyNumberFormat="1" applyFont="1" applyFill="1" applyBorder="1" applyAlignment="1">
      <alignment horizontal="right"/>
    </xf>
    <xf numFmtId="14" fontId="18" fillId="0" borderId="16" xfId="0" applyNumberFormat="1" applyFont="1" applyFill="1" applyBorder="1" applyAlignment="1">
      <alignment horizontal="right"/>
    </xf>
    <xf numFmtId="14" fontId="20" fillId="0" borderId="1" xfId="0" applyNumberFormat="1" applyFont="1" applyFill="1" applyBorder="1" applyAlignment="1">
      <alignment horizontal="right"/>
    </xf>
    <xf numFmtId="14" fontId="20" fillId="0" borderId="10" xfId="0" applyNumberFormat="1" applyFont="1" applyFill="1" applyBorder="1" applyAlignment="1">
      <alignment horizontal="right"/>
    </xf>
    <xf numFmtId="0" fontId="20" fillId="0" borderId="6" xfId="0" applyFont="1" applyFill="1" applyBorder="1" applyAlignment="1">
      <alignment horizontal="left"/>
    </xf>
    <xf numFmtId="14" fontId="20" fillId="0" borderId="7" xfId="0" applyNumberFormat="1" applyFont="1" applyFill="1" applyBorder="1" applyAlignment="1">
      <alignment horizontal="left"/>
    </xf>
    <xf numFmtId="0" fontId="20" fillId="0" borderId="14" xfId="0" applyFont="1" applyFill="1" applyBorder="1" applyAlignment="1">
      <alignment horizontal="left"/>
    </xf>
    <xf numFmtId="14" fontId="20" fillId="0" borderId="15" xfId="0" applyNumberFormat="1" applyFont="1" applyFill="1" applyBorder="1" applyAlignment="1">
      <alignment horizontal="left"/>
    </xf>
    <xf numFmtId="0" fontId="20" fillId="0" borderId="9" xfId="0" applyFont="1" applyFill="1" applyBorder="1" applyAlignment="1">
      <alignment horizontal="left"/>
    </xf>
    <xf numFmtId="14" fontId="20" fillId="0" borderId="1" xfId="0" applyNumberFormat="1" applyFont="1" applyFill="1" applyBorder="1" applyAlignment="1">
      <alignment horizontal="left"/>
    </xf>
    <xf numFmtId="0" fontId="20" fillId="0" borderId="24" xfId="0" applyFont="1" applyFill="1" applyBorder="1" applyAlignment="1">
      <alignment horizontal="left"/>
    </xf>
    <xf numFmtId="14" fontId="20" fillId="0" borderId="25" xfId="0" applyNumberFormat="1" applyFont="1" applyFill="1" applyBorder="1" applyAlignment="1">
      <alignment horizontal="left"/>
    </xf>
    <xf numFmtId="3" fontId="19" fillId="6" borderId="4" xfId="0" applyNumberFormat="1" applyFont="1" applyFill="1" applyBorder="1" applyAlignment="1">
      <alignment horizontal="center"/>
    </xf>
    <xf numFmtId="3" fontId="19" fillId="6" borderId="5" xfId="0" applyNumberFormat="1" applyFont="1" applyFill="1" applyBorder="1" applyAlignment="1">
      <alignment horizontal="center"/>
    </xf>
    <xf numFmtId="3" fontId="19" fillId="6" borderId="25" xfId="0" applyNumberFormat="1" applyFont="1" applyFill="1" applyBorder="1" applyAlignment="1">
      <alignment horizontal="center"/>
    </xf>
    <xf numFmtId="14" fontId="18" fillId="0" borderId="0" xfId="0" applyNumberFormat="1" applyFont="1" applyAlignment="1">
      <alignment horizontal="center"/>
    </xf>
    <xf numFmtId="0" fontId="18" fillId="0" borderId="0" xfId="0" applyFont="1" applyAlignment="1">
      <alignment horizontal="center"/>
    </xf>
    <xf numFmtId="0" fontId="20" fillId="14" borderId="14" xfId="0" applyFont="1" applyFill="1" applyBorder="1" applyAlignment="1">
      <alignment horizontal="left"/>
    </xf>
    <xf numFmtId="14" fontId="20" fillId="14" borderId="15" xfId="0" applyNumberFormat="1" applyFont="1" applyFill="1" applyBorder="1" applyAlignment="1">
      <alignment horizontal="left"/>
    </xf>
    <xf numFmtId="3" fontId="21" fillId="14" borderId="15" xfId="0" applyNumberFormat="1" applyFont="1" applyFill="1" applyBorder="1" applyAlignment="1">
      <alignment horizontal="right"/>
    </xf>
    <xf numFmtId="14" fontId="18" fillId="14" borderId="15" xfId="0" applyNumberFormat="1" applyFont="1" applyFill="1" applyBorder="1" applyAlignment="1">
      <alignment horizontal="right"/>
    </xf>
    <xf numFmtId="14" fontId="18" fillId="14" borderId="16" xfId="0" applyNumberFormat="1" applyFont="1" applyFill="1" applyBorder="1" applyAlignment="1">
      <alignment horizontal="right"/>
    </xf>
    <xf numFmtId="3" fontId="21" fillId="7" borderId="26" xfId="0" applyNumberFormat="1" applyFont="1" applyFill="1" applyBorder="1" applyAlignment="1">
      <alignment horizontal="right"/>
    </xf>
    <xf numFmtId="4" fontId="26" fillId="17" borderId="6" xfId="0" applyNumberFormat="1" applyFont="1" applyFill="1" applyBorder="1"/>
    <xf numFmtId="14" fontId="26" fillId="17" borderId="8" xfId="0" applyNumberFormat="1" applyFont="1" applyFill="1" applyBorder="1"/>
    <xf numFmtId="0" fontId="5" fillId="15" borderId="1" xfId="1" applyNumberFormat="1" applyFont="1" applyFill="1" applyBorder="1" applyAlignment="1"/>
    <xf numFmtId="4" fontId="28" fillId="0" borderId="42" xfId="0" applyNumberFormat="1" applyFont="1" applyBorder="1"/>
    <xf numFmtId="165" fontId="5" fillId="15" borderId="1" xfId="1" applyNumberFormat="1" applyFont="1" applyFill="1" applyBorder="1" applyAlignment="1"/>
    <xf numFmtId="14" fontId="12" fillId="10" borderId="29" xfId="0" applyNumberFormat="1" applyFont="1" applyFill="1" applyBorder="1" applyAlignment="1">
      <alignment horizontal="center" vertical="center"/>
    </xf>
    <xf numFmtId="3" fontId="35" fillId="9" borderId="22" xfId="0" applyNumberFormat="1" applyFont="1" applyFill="1" applyBorder="1"/>
    <xf numFmtId="3" fontId="35" fillId="9" borderId="40" xfId="0" applyNumberFormat="1" applyFont="1" applyFill="1" applyBorder="1"/>
    <xf numFmtId="3" fontId="3" fillId="0" borderId="33" xfId="0" applyNumberFormat="1" applyFont="1" applyBorder="1" applyAlignment="1"/>
    <xf numFmtId="14" fontId="4" fillId="0" borderId="46" xfId="0" applyNumberFormat="1" applyFont="1" applyFill="1" applyBorder="1"/>
    <xf numFmtId="0" fontId="4" fillId="0" borderId="44" xfId="0" applyFont="1" applyFill="1" applyBorder="1"/>
    <xf numFmtId="3" fontId="4" fillId="0" borderId="44" xfId="0" applyNumberFormat="1" applyFont="1" applyFill="1" applyBorder="1"/>
    <xf numFmtId="9" fontId="4" fillId="0" borderId="44" xfId="4" applyFont="1" applyFill="1" applyBorder="1"/>
    <xf numFmtId="165" fontId="4" fillId="0" borderId="44" xfId="0" applyNumberFormat="1" applyFont="1" applyFill="1" applyBorder="1" applyAlignment="1">
      <alignment vertical="center"/>
    </xf>
    <xf numFmtId="49" fontId="4" fillId="0" borderId="45" xfId="0" applyNumberFormat="1" applyFont="1" applyFill="1" applyBorder="1" applyAlignment="1">
      <alignment horizontal="center" vertical="center"/>
    </xf>
    <xf numFmtId="165" fontId="54" fillId="0" borderId="0" xfId="0" applyNumberFormat="1" applyFont="1" applyFill="1"/>
    <xf numFmtId="0" fontId="27" fillId="14" borderId="35" xfId="0" applyFont="1" applyFill="1" applyBorder="1"/>
    <xf numFmtId="4" fontId="27" fillId="14" borderId="42" xfId="0" applyNumberFormat="1" applyFont="1" applyFill="1" applyBorder="1"/>
    <xf numFmtId="0" fontId="20" fillId="14" borderId="6" xfId="0" applyFont="1" applyFill="1" applyBorder="1" applyAlignment="1">
      <alignment horizontal="left"/>
    </xf>
    <xf numFmtId="14" fontId="20" fillId="14" borderId="7" xfId="0" applyNumberFormat="1" applyFont="1" applyFill="1" applyBorder="1" applyAlignment="1">
      <alignment horizontal="left"/>
    </xf>
    <xf numFmtId="3" fontId="20" fillId="14" borderId="7" xfId="0" applyNumberFormat="1" applyFont="1" applyFill="1" applyBorder="1" applyAlignment="1">
      <alignment horizontal="right"/>
    </xf>
    <xf numFmtId="3" fontId="21" fillId="14" borderId="7" xfId="0" applyNumberFormat="1" applyFont="1" applyFill="1" applyBorder="1" applyAlignment="1">
      <alignment horizontal="right"/>
    </xf>
    <xf numFmtId="14" fontId="20" fillId="14" borderId="7" xfId="0" applyNumberFormat="1" applyFont="1" applyFill="1" applyBorder="1" applyAlignment="1">
      <alignment horizontal="right"/>
    </xf>
    <xf numFmtId="14" fontId="20" fillId="14" borderId="8" xfId="0" applyNumberFormat="1" applyFont="1" applyFill="1" applyBorder="1" applyAlignment="1">
      <alignment horizontal="right"/>
    </xf>
    <xf numFmtId="14" fontId="20" fillId="14" borderId="15" xfId="0" applyNumberFormat="1" applyFont="1" applyFill="1" applyBorder="1" applyAlignment="1">
      <alignment horizontal="right"/>
    </xf>
    <xf numFmtId="14" fontId="20" fillId="14" borderId="16" xfId="0" applyNumberFormat="1" applyFont="1" applyFill="1" applyBorder="1" applyAlignment="1">
      <alignment horizontal="right"/>
    </xf>
    <xf numFmtId="14" fontId="18" fillId="14" borderId="7" xfId="0" applyNumberFormat="1" applyFont="1" applyFill="1" applyBorder="1" applyAlignment="1">
      <alignment horizontal="right"/>
    </xf>
    <xf numFmtId="14" fontId="18" fillId="14" borderId="8" xfId="0" applyNumberFormat="1" applyFont="1" applyFill="1" applyBorder="1" applyAlignment="1">
      <alignment horizontal="right"/>
    </xf>
    <xf numFmtId="0" fontId="3" fillId="0" borderId="0" xfId="0" applyFont="1" applyFill="1" applyAlignment="1">
      <alignment horizontal="left" indent="2"/>
    </xf>
    <xf numFmtId="0" fontId="3" fillId="0" borderId="24" xfId="0" applyFont="1" applyFill="1" applyBorder="1" applyAlignment="1">
      <alignment horizontal="center"/>
    </xf>
    <xf numFmtId="0" fontId="3" fillId="0" borderId="25" xfId="0" applyFont="1" applyFill="1" applyBorder="1" applyAlignment="1">
      <alignment horizontal="center"/>
    </xf>
    <xf numFmtId="49" fontId="3" fillId="0" borderId="8" xfId="0" applyNumberFormat="1" applyFont="1" applyFill="1" applyBorder="1" applyAlignment="1">
      <alignment horizontal="center" vertical="center"/>
    </xf>
    <xf numFmtId="49" fontId="3" fillId="0" borderId="10" xfId="0" applyNumberFormat="1" applyFont="1" applyFill="1" applyBorder="1" applyAlignment="1">
      <alignment horizontal="center" vertical="center"/>
    </xf>
    <xf numFmtId="14" fontId="4" fillId="0" borderId="14" xfId="0" applyNumberFormat="1" applyFont="1" applyFill="1" applyBorder="1"/>
    <xf numFmtId="0" fontId="4" fillId="0" borderId="15" xfId="0" applyFont="1" applyFill="1" applyBorder="1"/>
    <xf numFmtId="3" fontId="4" fillId="0" borderId="15" xfId="0" applyNumberFormat="1" applyFont="1" applyFill="1" applyBorder="1"/>
    <xf numFmtId="9" fontId="4" fillId="0" borderId="15" xfId="4" applyFont="1" applyFill="1" applyBorder="1"/>
    <xf numFmtId="165" fontId="4" fillId="0" borderId="15" xfId="0" applyNumberFormat="1" applyFont="1" applyFill="1" applyBorder="1" applyAlignment="1">
      <alignment vertical="center"/>
    </xf>
    <xf numFmtId="49" fontId="4" fillId="0" borderId="16" xfId="0" applyNumberFormat="1" applyFont="1" applyFill="1" applyBorder="1" applyAlignment="1">
      <alignment horizontal="center" vertical="center"/>
    </xf>
    <xf numFmtId="0" fontId="3" fillId="0" borderId="0" xfId="0" applyFont="1" applyFill="1" applyAlignment="1"/>
    <xf numFmtId="49" fontId="3" fillId="0" borderId="10" xfId="0" applyNumberFormat="1" applyFont="1" applyFill="1" applyBorder="1" applyAlignment="1">
      <alignment vertical="center"/>
    </xf>
    <xf numFmtId="165" fontId="0" fillId="0" borderId="1" xfId="0" applyNumberFormat="1" applyFill="1" applyBorder="1"/>
    <xf numFmtId="167" fontId="12" fillId="0" borderId="0" xfId="0" applyNumberFormat="1" applyFont="1" applyFill="1"/>
    <xf numFmtId="0" fontId="12" fillId="0" borderId="0" xfId="0" applyFont="1" applyFill="1" applyAlignment="1">
      <alignment horizontal="center"/>
    </xf>
    <xf numFmtId="167" fontId="12" fillId="0" borderId="0" xfId="0" applyNumberFormat="1" applyFont="1" applyFill="1" applyBorder="1" applyAlignment="1">
      <alignment horizontal="center"/>
    </xf>
    <xf numFmtId="0" fontId="12" fillId="0" borderId="0" xfId="0" applyFont="1" applyFill="1" applyBorder="1" applyAlignment="1">
      <alignment horizontal="center"/>
    </xf>
    <xf numFmtId="167" fontId="12" fillId="0" borderId="0" xfId="0" applyNumberFormat="1" applyFont="1" applyFill="1" applyBorder="1" applyAlignment="1">
      <alignment horizontal="center" vertical="center"/>
    </xf>
    <xf numFmtId="0" fontId="12" fillId="0" borderId="0" xfId="0" applyFont="1" applyFill="1" applyBorder="1" applyAlignment="1">
      <alignment horizontal="center" vertical="center"/>
    </xf>
    <xf numFmtId="165" fontId="4" fillId="0" borderId="0" xfId="0" applyNumberFormat="1" applyFont="1" applyFill="1" applyAlignment="1">
      <alignment horizontal="center" vertical="center"/>
    </xf>
    <xf numFmtId="167" fontId="12" fillId="0" borderId="0" xfId="0" applyNumberFormat="1" applyFont="1" applyFill="1" applyBorder="1" applyAlignment="1">
      <alignment vertical="center"/>
    </xf>
    <xf numFmtId="0" fontId="12" fillId="0" borderId="0" xfId="0" applyFont="1" applyFill="1" applyBorder="1" applyAlignment="1">
      <alignment vertical="center"/>
    </xf>
    <xf numFmtId="165" fontId="4" fillId="0" borderId="0" xfId="0" applyNumberFormat="1" applyFont="1" applyFill="1" applyBorder="1"/>
    <xf numFmtId="0" fontId="4" fillId="0" borderId="0" xfId="0" applyFont="1" applyFill="1" applyBorder="1" applyAlignment="1">
      <alignment vertical="center"/>
    </xf>
    <xf numFmtId="10" fontId="0" fillId="0" borderId="0" xfId="0" applyNumberFormat="1"/>
    <xf numFmtId="0" fontId="24" fillId="14" borderId="36" xfId="0" applyFont="1" applyFill="1" applyBorder="1"/>
    <xf numFmtId="0" fontId="24" fillId="14" borderId="14" xfId="0" applyFont="1" applyFill="1" applyBorder="1"/>
    <xf numFmtId="14" fontId="24" fillId="14" borderId="15" xfId="0" applyNumberFormat="1" applyFont="1" applyFill="1" applyBorder="1"/>
    <xf numFmtId="0" fontId="24" fillId="14" borderId="15" xfId="0" applyFont="1" applyFill="1" applyBorder="1"/>
    <xf numFmtId="4" fontId="24" fillId="14" borderId="15" xfId="0" applyNumberFormat="1" applyFont="1" applyFill="1" applyBorder="1"/>
    <xf numFmtId="165" fontId="24" fillId="14" borderId="15" xfId="0" applyNumberFormat="1" applyFont="1" applyFill="1" applyBorder="1"/>
    <xf numFmtId="14" fontId="24" fillId="14" borderId="16" xfId="0" applyNumberFormat="1" applyFont="1" applyFill="1" applyBorder="1"/>
    <xf numFmtId="165" fontId="24" fillId="14" borderId="14" xfId="0" applyNumberFormat="1" applyFont="1" applyFill="1" applyBorder="1"/>
    <xf numFmtId="0" fontId="24" fillId="14" borderId="16" xfId="0" applyFont="1" applyFill="1" applyBorder="1"/>
    <xf numFmtId="4" fontId="24" fillId="14" borderId="14" xfId="0" applyNumberFormat="1" applyFont="1" applyFill="1" applyBorder="1"/>
    <xf numFmtId="4" fontId="24" fillId="14" borderId="43" xfId="0" applyNumberFormat="1" applyFont="1" applyFill="1" applyBorder="1"/>
    <xf numFmtId="165" fontId="28" fillId="14" borderId="14" xfId="0" applyNumberFormat="1" applyFont="1" applyFill="1" applyBorder="1"/>
    <xf numFmtId="14" fontId="28" fillId="14" borderId="15" xfId="0" applyNumberFormat="1" applyFont="1" applyFill="1" applyBorder="1"/>
    <xf numFmtId="14" fontId="28" fillId="14" borderId="16" xfId="0" applyNumberFormat="1" applyFont="1" applyFill="1" applyBorder="1"/>
    <xf numFmtId="4" fontId="32" fillId="8" borderId="6" xfId="0" applyNumberFormat="1" applyFont="1" applyFill="1" applyBorder="1"/>
    <xf numFmtId="4" fontId="32" fillId="8" borderId="14" xfId="0" applyNumberFormat="1" applyFont="1" applyFill="1" applyBorder="1"/>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4" fontId="12" fillId="10" borderId="29" xfId="0" applyNumberFormat="1" applyFont="1" applyFill="1" applyBorder="1" applyAlignment="1">
      <alignment horizontal="center" vertical="center"/>
    </xf>
    <xf numFmtId="0" fontId="20" fillId="14" borderId="9" xfId="0" applyFont="1" applyFill="1" applyBorder="1" applyAlignment="1">
      <alignment horizontal="left"/>
    </xf>
    <xf numFmtId="14" fontId="20" fillId="14" borderId="1" xfId="0" applyNumberFormat="1" applyFont="1" applyFill="1" applyBorder="1" applyAlignment="1">
      <alignment horizontal="left"/>
    </xf>
    <xf numFmtId="3" fontId="20" fillId="14" borderId="1" xfId="0" applyNumberFormat="1" applyFont="1" applyFill="1" applyBorder="1" applyAlignment="1">
      <alignment horizontal="right"/>
    </xf>
    <xf numFmtId="3" fontId="21" fillId="14" borderId="1" xfId="0" applyNumberFormat="1" applyFont="1" applyFill="1" applyBorder="1" applyAlignment="1">
      <alignment horizontal="right"/>
    </xf>
    <xf numFmtId="14" fontId="20" fillId="14" borderId="1" xfId="0" applyNumberFormat="1" applyFont="1" applyFill="1" applyBorder="1" applyAlignment="1">
      <alignment horizontal="right"/>
    </xf>
    <xf numFmtId="14" fontId="20" fillId="14" borderId="10" xfId="0" applyNumberFormat="1" applyFont="1" applyFill="1" applyBorder="1" applyAlignment="1">
      <alignment horizontal="right"/>
    </xf>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65" fontId="3" fillId="0" borderId="0" xfId="0" applyNumberFormat="1" applyFont="1" applyFill="1" applyAlignment="1">
      <alignment horizontal="center"/>
    </xf>
    <xf numFmtId="0" fontId="25" fillId="14" borderId="35" xfId="0" applyFont="1" applyFill="1" applyBorder="1"/>
    <xf numFmtId="4" fontId="25" fillId="14" borderId="12" xfId="0" applyNumberFormat="1" applyFont="1" applyFill="1" applyBorder="1"/>
    <xf numFmtId="4" fontId="25" fillId="14" borderId="42" xfId="0" applyNumberFormat="1" applyFont="1" applyFill="1" applyBorder="1"/>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4" fontId="3" fillId="10" borderId="27" xfId="0" applyNumberFormat="1" applyFont="1" applyFill="1" applyBorder="1" applyAlignment="1">
      <alignment horizontal="center" vertical="center"/>
    </xf>
    <xf numFmtId="14" fontId="3" fillId="10" borderId="28" xfId="0" applyNumberFormat="1" applyFont="1" applyFill="1" applyBorder="1" applyAlignment="1">
      <alignment horizontal="center" vertical="center"/>
    </xf>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3" fontId="4" fillId="0" borderId="39" xfId="0" applyNumberFormat="1" applyFont="1" applyBorder="1"/>
    <xf numFmtId="0" fontId="26" fillId="0" borderId="0" xfId="0" applyFont="1"/>
    <xf numFmtId="0" fontId="26" fillId="0" borderId="0" xfId="0" applyFont="1" applyFill="1"/>
    <xf numFmtId="0" fontId="47" fillId="0" borderId="0" xfId="0" applyFont="1"/>
    <xf numFmtId="2" fontId="28" fillId="0" borderId="0" xfId="0" applyNumberFormat="1" applyFont="1"/>
    <xf numFmtId="0" fontId="28" fillId="14" borderId="42" xfId="0" applyFont="1" applyFill="1" applyBorder="1"/>
    <xf numFmtId="0" fontId="28" fillId="14" borderId="12" xfId="0" applyFont="1" applyFill="1" applyBorder="1"/>
    <xf numFmtId="14" fontId="28" fillId="14" borderId="13" xfId="0" applyNumberFormat="1" applyFont="1" applyFill="1" applyBorder="1"/>
    <xf numFmtId="0" fontId="28" fillId="14" borderId="13" xfId="0" applyFont="1" applyFill="1" applyBorder="1"/>
    <xf numFmtId="4" fontId="28" fillId="14" borderId="13" xfId="0" applyNumberFormat="1" applyFont="1" applyFill="1" applyBorder="1"/>
    <xf numFmtId="165" fontId="28" fillId="14" borderId="13" xfId="0" applyNumberFormat="1" applyFont="1" applyFill="1" applyBorder="1"/>
    <xf numFmtId="14" fontId="28" fillId="14" borderId="11" xfId="0" applyNumberFormat="1" applyFont="1" applyFill="1" applyBorder="1"/>
    <xf numFmtId="165" fontId="28" fillId="14" borderId="12" xfId="0" applyNumberFormat="1" applyFont="1" applyFill="1" applyBorder="1"/>
    <xf numFmtId="4" fontId="28" fillId="14" borderId="12" xfId="0" applyNumberFormat="1" applyFont="1" applyFill="1" applyBorder="1"/>
    <xf numFmtId="0" fontId="28" fillId="14" borderId="11" xfId="0" applyFont="1" applyFill="1" applyBorder="1"/>
    <xf numFmtId="4" fontId="28" fillId="14" borderId="47" xfId="0" applyNumberFormat="1" applyFont="1" applyFill="1" applyBorder="1"/>
    <xf numFmtId="0" fontId="28" fillId="14" borderId="43" xfId="0" applyFont="1" applyFill="1" applyBorder="1"/>
    <xf numFmtId="0" fontId="28" fillId="14" borderId="14" xfId="0" applyFont="1" applyFill="1" applyBorder="1"/>
    <xf numFmtId="0" fontId="28" fillId="14" borderId="15" xfId="0" applyFont="1" applyFill="1" applyBorder="1"/>
    <xf numFmtId="4" fontId="28" fillId="14" borderId="15" xfId="0" applyNumberFormat="1" applyFont="1" applyFill="1" applyBorder="1"/>
    <xf numFmtId="165" fontId="28" fillId="14" borderId="15" xfId="0" applyNumberFormat="1" applyFont="1" applyFill="1" applyBorder="1"/>
    <xf numFmtId="4" fontId="28" fillId="14" borderId="14" xfId="0" applyNumberFormat="1" applyFont="1" applyFill="1" applyBorder="1"/>
    <xf numFmtId="0" fontId="28" fillId="14" borderId="16" xfId="0" applyFont="1" applyFill="1" applyBorder="1"/>
    <xf numFmtId="4" fontId="28" fillId="14" borderId="43" xfId="0" applyNumberFormat="1" applyFont="1" applyFill="1" applyBorder="1"/>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4" fontId="3" fillId="10" borderId="27" xfId="0" applyNumberFormat="1" applyFont="1" applyFill="1" applyBorder="1" applyAlignment="1">
      <alignment horizontal="center" vertical="center"/>
    </xf>
    <xf numFmtId="14" fontId="3" fillId="10" borderId="28" xfId="0" applyNumberFormat="1" applyFont="1" applyFill="1" applyBorder="1" applyAlignment="1">
      <alignment horizontal="center" vertical="center"/>
    </xf>
    <xf numFmtId="14" fontId="3" fillId="10" borderId="29" xfId="0" applyNumberFormat="1" applyFont="1" applyFill="1" applyBorder="1" applyAlignment="1">
      <alignment horizontal="center" vertical="center"/>
    </xf>
    <xf numFmtId="165" fontId="25" fillId="0" borderId="0" xfId="0" applyNumberFormat="1" applyFont="1" applyFill="1"/>
    <xf numFmtId="0" fontId="25" fillId="14" borderId="48" xfId="0" applyFont="1" applyFill="1" applyBorder="1"/>
    <xf numFmtId="14" fontId="4" fillId="0" borderId="9" xfId="0" applyNumberFormat="1" applyFont="1" applyFill="1" applyBorder="1"/>
    <xf numFmtId="0" fontId="4" fillId="0" borderId="1" xfId="0" applyFont="1" applyFill="1" applyBorder="1"/>
    <xf numFmtId="3" fontId="4" fillId="0" borderId="1" xfId="0" applyNumberFormat="1" applyFont="1" applyFill="1" applyBorder="1"/>
    <xf numFmtId="165" fontId="4" fillId="0" borderId="1" xfId="0" applyNumberFormat="1" applyFont="1" applyFill="1" applyBorder="1" applyAlignment="1">
      <alignment horizontal="center" vertical="center"/>
    </xf>
    <xf numFmtId="0" fontId="12" fillId="0" borderId="10" xfId="0" applyFont="1" applyFill="1" applyBorder="1" applyAlignment="1">
      <alignment horizontal="center" vertical="center"/>
    </xf>
    <xf numFmtId="165" fontId="4" fillId="0" borderId="15" xfId="0" applyNumberFormat="1" applyFont="1" applyFill="1" applyBorder="1" applyAlignment="1">
      <alignment horizontal="center" vertical="center"/>
    </xf>
    <xf numFmtId="0" fontId="12" fillId="0" borderId="16" xfId="0" applyFont="1" applyFill="1" applyBorder="1" applyAlignment="1">
      <alignment horizontal="center" vertical="center"/>
    </xf>
    <xf numFmtId="14" fontId="4" fillId="0" borderId="6" xfId="0" applyNumberFormat="1" applyFont="1" applyFill="1" applyBorder="1"/>
    <xf numFmtId="0" fontId="4" fillId="0" borderId="7" xfId="0" applyFont="1" applyFill="1" applyBorder="1"/>
    <xf numFmtId="3" fontId="4" fillId="0" borderId="7" xfId="0" applyNumberFormat="1" applyFont="1" applyFill="1" applyBorder="1"/>
    <xf numFmtId="165" fontId="4" fillId="0" borderId="7" xfId="0" applyNumberFormat="1" applyFont="1" applyFill="1" applyBorder="1" applyAlignment="1">
      <alignment horizontal="center" vertical="center"/>
    </xf>
    <xf numFmtId="0" fontId="12" fillId="0" borderId="8" xfId="0" applyFont="1" applyFill="1" applyBorder="1" applyAlignment="1">
      <alignment horizontal="center" vertical="center"/>
    </xf>
    <xf numFmtId="14" fontId="28" fillId="0" borderId="0" xfId="0" applyNumberFormat="1" applyFont="1"/>
    <xf numFmtId="165" fontId="0" fillId="0" borderId="0" xfId="0" applyNumberFormat="1" applyFont="1" applyFill="1"/>
    <xf numFmtId="0" fontId="0" fillId="0" borderId="0" xfId="0" applyFont="1" applyFill="1"/>
    <xf numFmtId="0" fontId="24" fillId="14" borderId="9" xfId="0" applyFont="1" applyFill="1" applyBorder="1"/>
    <xf numFmtId="0" fontId="24" fillId="14" borderId="1" xfId="0" applyFont="1" applyFill="1" applyBorder="1"/>
    <xf numFmtId="14" fontId="24" fillId="14" borderId="1" xfId="0" applyNumberFormat="1" applyFont="1" applyFill="1" applyBorder="1"/>
    <xf numFmtId="4" fontId="24" fillId="14" borderId="1" xfId="0" applyNumberFormat="1" applyFont="1" applyFill="1" applyBorder="1"/>
    <xf numFmtId="14" fontId="24" fillId="14" borderId="10" xfId="0" applyNumberFormat="1" applyFont="1" applyFill="1" applyBorder="1"/>
    <xf numFmtId="165" fontId="24" fillId="14" borderId="9" xfId="0" applyNumberFormat="1" applyFont="1" applyFill="1" applyBorder="1"/>
    <xf numFmtId="0" fontId="24" fillId="14" borderId="10" xfId="0" applyFont="1" applyFill="1" applyBorder="1"/>
    <xf numFmtId="4" fontId="24" fillId="14" borderId="9" xfId="0" applyNumberFormat="1" applyFont="1" applyFill="1" applyBorder="1"/>
    <xf numFmtId="4" fontId="24" fillId="14" borderId="47" xfId="0" applyNumberFormat="1" applyFont="1" applyFill="1" applyBorder="1"/>
    <xf numFmtId="0" fontId="3" fillId="0" borderId="0" xfId="0" applyFont="1" applyFill="1" applyBorder="1" applyAlignment="1">
      <alignment horizontal="center"/>
    </xf>
    <xf numFmtId="165" fontId="0" fillId="0" borderId="0" xfId="0" applyNumberFormat="1" applyFill="1" applyAlignment="1">
      <alignment horizontal="center"/>
    </xf>
    <xf numFmtId="0" fontId="28" fillId="14" borderId="33" xfId="0" applyFont="1" applyFill="1" applyBorder="1"/>
    <xf numFmtId="0" fontId="28" fillId="14" borderId="51" xfId="0" applyFont="1" applyFill="1" applyBorder="1"/>
    <xf numFmtId="14" fontId="28" fillId="14" borderId="52" xfId="0" applyNumberFormat="1" applyFont="1" applyFill="1" applyBorder="1"/>
    <xf numFmtId="0" fontId="28" fillId="14" borderId="52" xfId="0" applyFont="1" applyFill="1" applyBorder="1"/>
    <xf numFmtId="4" fontId="28" fillId="14" borderId="52" xfId="0" applyNumberFormat="1" applyFont="1" applyFill="1" applyBorder="1"/>
    <xf numFmtId="165" fontId="28" fillId="14" borderId="52" xfId="0" applyNumberFormat="1" applyFont="1" applyFill="1" applyBorder="1"/>
    <xf numFmtId="14" fontId="28" fillId="14" borderId="53" xfId="0" applyNumberFormat="1" applyFont="1" applyFill="1" applyBorder="1"/>
    <xf numFmtId="165" fontId="28" fillId="14" borderId="51" xfId="0" applyNumberFormat="1" applyFont="1" applyFill="1" applyBorder="1"/>
    <xf numFmtId="4" fontId="28" fillId="14" borderId="51" xfId="0" applyNumberFormat="1" applyFont="1" applyFill="1" applyBorder="1"/>
    <xf numFmtId="4" fontId="28" fillId="14" borderId="33" xfId="0" applyNumberFormat="1" applyFont="1" applyFill="1" applyBorder="1"/>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4" fontId="12" fillId="10" borderId="29" xfId="0" applyNumberFormat="1" applyFont="1" applyFill="1" applyBorder="1" applyAlignment="1">
      <alignment horizontal="center" vertical="center"/>
    </xf>
    <xf numFmtId="14" fontId="3" fillId="10" borderId="27" xfId="0" applyNumberFormat="1" applyFont="1" applyFill="1" applyBorder="1" applyAlignment="1">
      <alignment horizontal="center" vertical="center"/>
    </xf>
    <xf numFmtId="14" fontId="3" fillId="10" borderId="28" xfId="0" applyNumberFormat="1" applyFont="1" applyFill="1" applyBorder="1" applyAlignment="1">
      <alignment horizontal="center" vertical="center"/>
    </xf>
    <xf numFmtId="165" fontId="2" fillId="0" borderId="0" xfId="0" applyNumberFormat="1" applyFont="1" applyFill="1"/>
    <xf numFmtId="174" fontId="0" fillId="0" borderId="0" xfId="0" applyNumberFormat="1" applyFill="1"/>
    <xf numFmtId="165" fontId="18" fillId="0" borderId="0" xfId="0" applyNumberFormat="1" applyFont="1" applyAlignment="1">
      <alignment horizontal="right"/>
    </xf>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4" fontId="12" fillId="10" borderId="29" xfId="0" applyNumberFormat="1" applyFont="1" applyFill="1" applyBorder="1" applyAlignment="1">
      <alignment horizontal="center" vertical="center"/>
    </xf>
    <xf numFmtId="3" fontId="49" fillId="18" borderId="0" xfId="0" applyNumberFormat="1" applyFont="1" applyFill="1" applyBorder="1"/>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4" fontId="12" fillId="10" borderId="29" xfId="0" applyNumberFormat="1" applyFont="1" applyFill="1" applyBorder="1" applyAlignment="1">
      <alignment horizontal="center" vertical="center"/>
    </xf>
    <xf numFmtId="43" fontId="28" fillId="0" borderId="0" xfId="6" applyFont="1"/>
    <xf numFmtId="43" fontId="28" fillId="0" borderId="0" xfId="0" applyNumberFormat="1" applyFont="1"/>
    <xf numFmtId="4" fontId="28" fillId="0" borderId="0" xfId="0" applyNumberFormat="1" applyFont="1"/>
    <xf numFmtId="17" fontId="24" fillId="0" borderId="0" xfId="0" applyNumberFormat="1" applyFont="1"/>
    <xf numFmtId="165" fontId="11" fillId="12" borderId="0" xfId="0" applyNumberFormat="1" applyFont="1" applyFill="1" applyAlignment="1">
      <alignment horizontal="right" wrapText="1"/>
    </xf>
    <xf numFmtId="165" fontId="11" fillId="13" borderId="0" xfId="0" applyNumberFormat="1" applyFont="1" applyFill="1" applyAlignment="1">
      <alignment horizontal="right" wrapText="1"/>
    </xf>
    <xf numFmtId="3" fontId="38" fillId="0" borderId="0" xfId="0" applyNumberFormat="1" applyFont="1" applyFill="1" applyBorder="1"/>
    <xf numFmtId="165" fontId="27" fillId="0" borderId="13" xfId="0" applyNumberFormat="1" applyFont="1" applyBorder="1"/>
    <xf numFmtId="165" fontId="25" fillId="0" borderId="13" xfId="0" applyNumberFormat="1" applyFont="1" applyBorder="1"/>
    <xf numFmtId="176" fontId="14" fillId="3" borderId="23" xfId="0" applyNumberFormat="1" applyFont="1" applyFill="1" applyBorder="1" applyAlignment="1">
      <alignment horizontal="right"/>
    </xf>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4" fontId="12" fillId="10" borderId="29" xfId="0" applyNumberFormat="1" applyFont="1" applyFill="1" applyBorder="1" applyAlignment="1">
      <alignment horizontal="center" vertical="center"/>
    </xf>
    <xf numFmtId="0" fontId="58" fillId="5" borderId="6" xfId="0" applyFont="1" applyFill="1" applyBorder="1" applyAlignment="1">
      <alignment horizontal="left"/>
    </xf>
    <xf numFmtId="14" fontId="58" fillId="5" borderId="7" xfId="0" applyNumberFormat="1" applyFont="1" applyFill="1" applyBorder="1" applyAlignment="1">
      <alignment horizontal="left"/>
    </xf>
    <xf numFmtId="3" fontId="58" fillId="5" borderId="7" xfId="0" applyNumberFormat="1" applyFont="1" applyFill="1" applyBorder="1" applyAlignment="1">
      <alignment horizontal="right"/>
    </xf>
    <xf numFmtId="3" fontId="59" fillId="5" borderId="7" xfId="0" applyNumberFormat="1" applyFont="1" applyFill="1" applyBorder="1" applyAlignment="1">
      <alignment horizontal="right"/>
    </xf>
    <xf numFmtId="14" fontId="58" fillId="5" borderId="7" xfId="0" applyNumberFormat="1" applyFont="1" applyFill="1" applyBorder="1" applyAlignment="1">
      <alignment horizontal="right"/>
    </xf>
    <xf numFmtId="14" fontId="58" fillId="5" borderId="8" xfId="0" applyNumberFormat="1" applyFont="1" applyFill="1" applyBorder="1" applyAlignment="1">
      <alignment horizontal="right"/>
    </xf>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4" fontId="12" fillId="10" borderId="29" xfId="0" applyNumberFormat="1" applyFont="1" applyFill="1" applyBorder="1" applyAlignment="1">
      <alignment horizontal="center" vertical="center"/>
    </xf>
    <xf numFmtId="0" fontId="20" fillId="14" borderId="24" xfId="0" applyFont="1" applyFill="1" applyBorder="1" applyAlignment="1">
      <alignment horizontal="left"/>
    </xf>
    <xf numFmtId="14" fontId="20" fillId="14" borderId="25" xfId="0" applyNumberFormat="1" applyFont="1" applyFill="1" applyBorder="1" applyAlignment="1">
      <alignment horizontal="left"/>
    </xf>
    <xf numFmtId="3" fontId="20" fillId="14" borderId="25" xfId="0" applyNumberFormat="1" applyFont="1" applyFill="1" applyBorder="1" applyAlignment="1">
      <alignment horizontal="right"/>
    </xf>
    <xf numFmtId="3" fontId="21" fillId="14" borderId="25" xfId="0" applyNumberFormat="1" applyFont="1" applyFill="1" applyBorder="1" applyAlignment="1">
      <alignment horizontal="right"/>
    </xf>
    <xf numFmtId="14" fontId="20" fillId="14" borderId="25" xfId="0" applyNumberFormat="1" applyFont="1" applyFill="1" applyBorder="1" applyAlignment="1">
      <alignment horizontal="right"/>
    </xf>
    <xf numFmtId="14" fontId="20" fillId="14" borderId="26" xfId="0" applyNumberFormat="1" applyFont="1" applyFill="1" applyBorder="1" applyAlignment="1">
      <alignment horizontal="right"/>
    </xf>
    <xf numFmtId="165" fontId="38" fillId="0" borderId="0" xfId="0" applyNumberFormat="1" applyFont="1" applyFill="1"/>
    <xf numFmtId="0" fontId="38" fillId="0" borderId="0" xfId="0" applyFont="1" applyFill="1"/>
    <xf numFmtId="4" fontId="27" fillId="0" borderId="0" xfId="0" applyNumberFormat="1" applyFont="1" applyFill="1"/>
    <xf numFmtId="4" fontId="28" fillId="14" borderId="42" xfId="0" applyNumberFormat="1" applyFont="1" applyFill="1" applyBorder="1"/>
    <xf numFmtId="0" fontId="24" fillId="14" borderId="12" xfId="0" applyFont="1" applyFill="1" applyBorder="1"/>
    <xf numFmtId="0" fontId="24" fillId="14" borderId="13" xfId="0" applyFont="1" applyFill="1" applyBorder="1"/>
    <xf numFmtId="14" fontId="24" fillId="14" borderId="13" xfId="0" applyNumberFormat="1" applyFont="1" applyFill="1" applyBorder="1"/>
    <xf numFmtId="4" fontId="24" fillId="14" borderId="13" xfId="0" applyNumberFormat="1" applyFont="1" applyFill="1" applyBorder="1"/>
    <xf numFmtId="14" fontId="24" fillId="14" borderId="11" xfId="0" applyNumberFormat="1" applyFont="1" applyFill="1" applyBorder="1"/>
    <xf numFmtId="165" fontId="24" fillId="14" borderId="12" xfId="0" applyNumberFormat="1" applyFont="1" applyFill="1" applyBorder="1"/>
    <xf numFmtId="0" fontId="24" fillId="14" borderId="11" xfId="0" applyFont="1" applyFill="1" applyBorder="1"/>
    <xf numFmtId="4" fontId="24" fillId="14" borderId="12" xfId="0" applyNumberFormat="1" applyFont="1" applyFill="1" applyBorder="1"/>
    <xf numFmtId="0" fontId="24" fillId="14" borderId="6" xfId="0" applyFont="1" applyFill="1" applyBorder="1"/>
    <xf numFmtId="0" fontId="24" fillId="14" borderId="7" xfId="0" applyFont="1" applyFill="1" applyBorder="1"/>
    <xf numFmtId="14" fontId="24" fillId="14" borderId="7" xfId="0" applyNumberFormat="1" applyFont="1" applyFill="1" applyBorder="1"/>
    <xf numFmtId="4" fontId="24" fillId="14" borderId="7" xfId="0" applyNumberFormat="1" applyFont="1" applyFill="1" applyBorder="1"/>
    <xf numFmtId="165" fontId="27" fillId="14" borderId="7" xfId="0" applyNumberFormat="1" applyFont="1" applyFill="1" applyBorder="1"/>
    <xf numFmtId="14" fontId="24" fillId="14" borderId="8" xfId="0" applyNumberFormat="1" applyFont="1" applyFill="1" applyBorder="1"/>
    <xf numFmtId="165" fontId="24" fillId="14" borderId="6" xfId="0" applyNumberFormat="1" applyFont="1" applyFill="1" applyBorder="1"/>
    <xf numFmtId="0" fontId="24" fillId="14" borderId="8" xfId="0" applyFont="1" applyFill="1" applyBorder="1"/>
    <xf numFmtId="4" fontId="24" fillId="14" borderId="6" xfId="0" applyNumberFormat="1" applyFont="1" applyFill="1" applyBorder="1"/>
    <xf numFmtId="4" fontId="24" fillId="14" borderId="20" xfId="0" applyNumberFormat="1" applyFont="1" applyFill="1" applyBorder="1"/>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4" fontId="12" fillId="10" borderId="29" xfId="0" applyNumberFormat="1" applyFont="1" applyFill="1" applyBorder="1" applyAlignment="1">
      <alignment horizontal="center" vertical="center"/>
    </xf>
    <xf numFmtId="0" fontId="28" fillId="0" borderId="0" xfId="0" applyFont="1" applyFill="1"/>
    <xf numFmtId="43" fontId="24" fillId="0" borderId="0" xfId="6" applyFont="1" applyFill="1"/>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4" fontId="3" fillId="10" borderId="27" xfId="0" applyNumberFormat="1" applyFont="1" applyFill="1" applyBorder="1" applyAlignment="1">
      <alignment horizontal="center" vertical="center"/>
    </xf>
    <xf numFmtId="14" fontId="3" fillId="10" borderId="28" xfId="0" applyNumberFormat="1" applyFont="1" applyFill="1" applyBorder="1" applyAlignment="1">
      <alignment horizontal="center" vertical="center"/>
    </xf>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0" fontId="42" fillId="0" borderId="1" xfId="0" applyFont="1" applyFill="1" applyBorder="1" applyAlignment="1">
      <alignment horizontal="center"/>
    </xf>
    <xf numFmtId="0" fontId="42" fillId="0" borderId="1" xfId="0" applyFont="1" applyFill="1" applyBorder="1"/>
    <xf numFmtId="14" fontId="42" fillId="0" borderId="1" xfId="0" applyNumberFormat="1" applyFont="1" applyFill="1" applyBorder="1" applyAlignment="1">
      <alignment horizontal="center"/>
    </xf>
    <xf numFmtId="165" fontId="5" fillId="0" borderId="1" xfId="1" applyNumberFormat="1" applyFont="1" applyFill="1" applyBorder="1" applyAlignment="1">
      <alignment horizontal="right"/>
    </xf>
    <xf numFmtId="165" fontId="42" fillId="0" borderId="1" xfId="0" applyNumberFormat="1" applyFont="1" applyFill="1" applyBorder="1" applyAlignment="1">
      <alignment horizontal="center"/>
    </xf>
    <xf numFmtId="49" fontId="42" fillId="0" borderId="1" xfId="0" applyNumberFormat="1" applyFont="1" applyFill="1" applyBorder="1" applyAlignment="1">
      <alignment horizontal="center"/>
    </xf>
    <xf numFmtId="0" fontId="60" fillId="3" borderId="3" xfId="0" applyFont="1" applyFill="1" applyBorder="1" applyAlignment="1">
      <alignment horizontal="center"/>
    </xf>
    <xf numFmtId="0" fontId="60" fillId="3" borderId="4" xfId="0" applyFont="1" applyFill="1" applyBorder="1" applyAlignment="1">
      <alignment horizontal="center"/>
    </xf>
    <xf numFmtId="0" fontId="60" fillId="3" borderId="5" xfId="0" applyFont="1" applyFill="1" applyBorder="1" applyAlignment="1">
      <alignment horizontal="center"/>
    </xf>
    <xf numFmtId="4" fontId="10" fillId="5" borderId="13" xfId="0" applyNumberFormat="1" applyFont="1" applyFill="1" applyBorder="1" applyAlignment="1">
      <alignment horizontal="center"/>
    </xf>
    <xf numFmtId="4" fontId="8" fillId="0" borderId="13" xfId="0" applyNumberFormat="1" applyFont="1" applyFill="1" applyBorder="1" applyAlignment="1">
      <alignment horizontal="center"/>
    </xf>
    <xf numFmtId="14" fontId="8" fillId="0" borderId="13" xfId="0" applyNumberFormat="1" applyFont="1" applyFill="1" applyBorder="1"/>
    <xf numFmtId="0" fontId="61" fillId="0" borderId="14" xfId="0" applyFont="1" applyFill="1" applyBorder="1"/>
    <xf numFmtId="4" fontId="8" fillId="0" borderId="15" xfId="0" applyNumberFormat="1" applyFont="1" applyFill="1" applyBorder="1" applyAlignment="1">
      <alignment horizontal="center"/>
    </xf>
    <xf numFmtId="4" fontId="62" fillId="0" borderId="0" xfId="0" applyNumberFormat="1" applyFont="1" applyFill="1" applyBorder="1" applyAlignment="1">
      <alignment horizontal="center"/>
    </xf>
    <xf numFmtId="14" fontId="10" fillId="5" borderId="13" xfId="0" applyNumberFormat="1" applyFont="1" applyFill="1" applyBorder="1"/>
    <xf numFmtId="14" fontId="8" fillId="0" borderId="15" xfId="0" applyNumberFormat="1" applyFont="1" applyFill="1" applyBorder="1"/>
    <xf numFmtId="14" fontId="63" fillId="0" borderId="0" xfId="0" applyNumberFormat="1" applyFont="1" applyFill="1"/>
    <xf numFmtId="0" fontId="63" fillId="0" borderId="0" xfId="0" applyFont="1"/>
    <xf numFmtId="14" fontId="63" fillId="0" borderId="0" xfId="0" applyNumberFormat="1" applyFont="1"/>
    <xf numFmtId="0" fontId="63" fillId="0" borderId="0" xfId="0" applyFont="1" applyFill="1"/>
    <xf numFmtId="0" fontId="8" fillId="0" borderId="0" xfId="0" applyFont="1" applyFill="1"/>
    <xf numFmtId="0" fontId="8" fillId="0" borderId="11" xfId="0" applyFont="1" applyFill="1" applyBorder="1" applyAlignment="1">
      <alignment horizontal="left" vertical="center"/>
    </xf>
    <xf numFmtId="0" fontId="8" fillId="0" borderId="11" xfId="0" applyFont="1" applyFill="1" applyBorder="1"/>
    <xf numFmtId="0" fontId="8" fillId="0" borderId="16" xfId="0" applyFont="1" applyFill="1" applyBorder="1" applyAlignment="1">
      <alignment horizontal="left" vertical="center"/>
    </xf>
    <xf numFmtId="4" fontId="65" fillId="4" borderId="0" xfId="0" applyNumberFormat="1" applyFont="1" applyFill="1" applyAlignment="1"/>
    <xf numFmtId="4" fontId="63" fillId="0" borderId="0" xfId="0" applyNumberFormat="1" applyFont="1"/>
    <xf numFmtId="165" fontId="63" fillId="0" borderId="0" xfId="0" applyNumberFormat="1" applyFont="1"/>
    <xf numFmtId="0" fontId="10" fillId="5" borderId="11" xfId="0" applyFont="1" applyFill="1" applyBorder="1"/>
    <xf numFmtId="0" fontId="63" fillId="0" borderId="16" xfId="0" applyFont="1" applyFill="1" applyBorder="1"/>
    <xf numFmtId="0" fontId="63" fillId="0" borderId="0" xfId="0" applyFont="1" applyAlignment="1">
      <alignment horizontal="center"/>
    </xf>
    <xf numFmtId="0" fontId="65" fillId="0" borderId="0" xfId="0" applyFont="1" applyFill="1" applyAlignment="1">
      <alignment horizontal="left"/>
    </xf>
    <xf numFmtId="14" fontId="3" fillId="10" borderId="27" xfId="0" applyNumberFormat="1" applyFont="1" applyFill="1" applyBorder="1" applyAlignment="1">
      <alignment horizontal="center" vertical="center"/>
    </xf>
    <xf numFmtId="14" fontId="3" fillId="10" borderId="28" xfId="0" applyNumberFormat="1" applyFont="1" applyFill="1" applyBorder="1" applyAlignment="1">
      <alignment horizontal="center" vertical="center"/>
    </xf>
    <xf numFmtId="4" fontId="32" fillId="8" borderId="20" xfId="0" applyNumberFormat="1" applyFont="1" applyFill="1" applyBorder="1"/>
    <xf numFmtId="165" fontId="28" fillId="0" borderId="0" xfId="0" applyNumberFormat="1" applyFont="1"/>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4" fontId="12" fillId="10" borderId="29" xfId="0" applyNumberFormat="1" applyFont="1" applyFill="1" applyBorder="1" applyAlignment="1">
      <alignment horizontal="center" vertical="center"/>
    </xf>
    <xf numFmtId="3" fontId="38" fillId="0" borderId="0" xfId="0" applyNumberFormat="1" applyFont="1" applyFill="1"/>
    <xf numFmtId="4" fontId="28" fillId="0" borderId="0" xfId="0" applyNumberFormat="1" applyFont="1" applyFill="1"/>
    <xf numFmtId="4" fontId="26" fillId="14" borderId="42" xfId="0" applyNumberFormat="1" applyFont="1" applyFill="1" applyBorder="1"/>
    <xf numFmtId="0" fontId="24" fillId="14" borderId="42" xfId="0" applyFont="1" applyFill="1" applyBorder="1"/>
    <xf numFmtId="165" fontId="24" fillId="14" borderId="13" xfId="0" applyNumberFormat="1" applyFont="1" applyFill="1" applyBorder="1"/>
    <xf numFmtId="4" fontId="24" fillId="14" borderId="42" xfId="0" applyNumberFormat="1" applyFont="1" applyFill="1" applyBorder="1"/>
    <xf numFmtId="0" fontId="3" fillId="0" borderId="26" xfId="0" applyFont="1" applyFill="1" applyBorder="1" applyAlignment="1">
      <alignment horizontal="center" vertical="center"/>
    </xf>
    <xf numFmtId="14" fontId="0" fillId="0" borderId="12" xfId="0" applyNumberFormat="1" applyFill="1" applyBorder="1"/>
    <xf numFmtId="3" fontId="0" fillId="0" borderId="13" xfId="0" applyNumberFormat="1" applyFill="1" applyBorder="1"/>
    <xf numFmtId="165" fontId="0" fillId="0" borderId="13" xfId="0" applyNumberFormat="1" applyFill="1" applyBorder="1" applyAlignment="1">
      <alignment vertical="center"/>
    </xf>
    <xf numFmtId="0" fontId="3" fillId="0" borderId="11" xfId="0" applyFont="1" applyFill="1" applyBorder="1" applyAlignment="1">
      <alignment horizontal="center" vertical="center"/>
    </xf>
    <xf numFmtId="3" fontId="0" fillId="0" borderId="13" xfId="0" applyNumberFormat="1" applyFont="1" applyFill="1" applyBorder="1"/>
    <xf numFmtId="165" fontId="4" fillId="0" borderId="13" xfId="0" applyNumberFormat="1" applyFont="1" applyFill="1" applyBorder="1" applyAlignment="1">
      <alignment vertical="center"/>
    </xf>
    <xf numFmtId="165" fontId="4" fillId="0" borderId="1" xfId="0" applyNumberFormat="1" applyFont="1" applyFill="1" applyBorder="1" applyAlignment="1">
      <alignment vertical="center"/>
    </xf>
    <xf numFmtId="3" fontId="0" fillId="0" borderId="1" xfId="0" applyNumberFormat="1" applyFont="1" applyFill="1" applyBorder="1"/>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4" fontId="12" fillId="10" borderId="29" xfId="0" applyNumberFormat="1" applyFont="1" applyFill="1" applyBorder="1" applyAlignment="1">
      <alignment horizontal="center" vertical="center"/>
    </xf>
    <xf numFmtId="14" fontId="3" fillId="10" borderId="27" xfId="0" applyNumberFormat="1" applyFont="1" applyFill="1" applyBorder="1" applyAlignment="1">
      <alignment horizontal="center" vertical="center"/>
    </xf>
    <xf numFmtId="14" fontId="3" fillId="10" borderId="28" xfId="0" applyNumberFormat="1" applyFont="1" applyFill="1" applyBorder="1" applyAlignment="1">
      <alignment horizontal="center" vertical="center"/>
    </xf>
    <xf numFmtId="14" fontId="3" fillId="10" borderId="29" xfId="0" applyNumberFormat="1" applyFont="1" applyFill="1" applyBorder="1" applyAlignment="1">
      <alignment horizontal="center" vertical="center"/>
    </xf>
    <xf numFmtId="4" fontId="14" fillId="3" borderId="23" xfId="0" applyNumberFormat="1" applyFont="1" applyFill="1" applyBorder="1"/>
    <xf numFmtId="0" fontId="8" fillId="0" borderId="30" xfId="0" applyFont="1" applyFill="1" applyBorder="1"/>
    <xf numFmtId="167" fontId="8" fillId="0" borderId="30" xfId="0" applyNumberFormat="1" applyFont="1" applyFill="1" applyBorder="1"/>
    <xf numFmtId="168" fontId="8" fillId="0" borderId="30" xfId="0" applyNumberFormat="1" applyFont="1" applyFill="1" applyBorder="1"/>
    <xf numFmtId="4" fontId="8" fillId="0" borderId="30" xfId="0" applyNumberFormat="1" applyFont="1" applyFill="1" applyBorder="1"/>
    <xf numFmtId="14" fontId="8" fillId="0" borderId="22" xfId="0" applyNumberFormat="1" applyFont="1" applyFill="1" applyBorder="1" applyAlignment="1">
      <alignment horizontal="right"/>
    </xf>
    <xf numFmtId="14" fontId="8" fillId="0" borderId="29" xfId="0" applyNumberFormat="1" applyFont="1" applyFill="1" applyBorder="1" applyAlignment="1">
      <alignment horizontal="right"/>
    </xf>
    <xf numFmtId="14" fontId="8" fillId="0" borderId="30" xfId="0" applyNumberFormat="1" applyFont="1" applyFill="1" applyBorder="1"/>
    <xf numFmtId="14" fontId="8" fillId="0" borderId="23" xfId="0" applyNumberFormat="1" applyFont="1" applyFill="1" applyBorder="1"/>
    <xf numFmtId="0" fontId="4" fillId="0" borderId="10" xfId="0" applyFont="1" applyFill="1" applyBorder="1" applyAlignment="1">
      <alignment horizontal="center" vertical="center"/>
    </xf>
    <xf numFmtId="0" fontId="4" fillId="0" borderId="16" xfId="0" applyFont="1" applyFill="1" applyBorder="1" applyAlignment="1">
      <alignment horizontal="center" vertical="center"/>
    </xf>
    <xf numFmtId="165" fontId="4" fillId="0" borderId="7" xfId="0" applyNumberFormat="1" applyFont="1" applyFill="1" applyBorder="1" applyAlignment="1">
      <alignment vertical="center"/>
    </xf>
    <xf numFmtId="0" fontId="4" fillId="0" borderId="8" xfId="0" applyFont="1" applyFill="1" applyBorder="1" applyAlignment="1">
      <alignment horizontal="center" vertical="center"/>
    </xf>
    <xf numFmtId="175" fontId="8" fillId="0" borderId="30" xfId="0" applyNumberFormat="1" applyFont="1" applyFill="1" applyBorder="1"/>
    <xf numFmtId="14" fontId="8" fillId="0" borderId="30" xfId="0" applyNumberFormat="1" applyFont="1" applyFill="1" applyBorder="1" applyAlignment="1">
      <alignment horizontal="right"/>
    </xf>
    <xf numFmtId="0" fontId="0" fillId="0" borderId="30" xfId="0" applyBorder="1" applyAlignment="1">
      <alignment wrapText="1"/>
    </xf>
    <xf numFmtId="176" fontId="0" fillId="0" borderId="30" xfId="0" applyNumberFormat="1" applyBorder="1" applyAlignment="1">
      <alignment horizontal="right" wrapText="1"/>
    </xf>
    <xf numFmtId="0" fontId="24" fillId="0" borderId="42" xfId="0" applyFont="1" applyBorder="1"/>
    <xf numFmtId="165" fontId="24" fillId="0" borderId="13" xfId="0" applyNumberFormat="1" applyFont="1" applyBorder="1"/>
    <xf numFmtId="0" fontId="24" fillId="0" borderId="11" xfId="0" applyFont="1" applyBorder="1"/>
    <xf numFmtId="0" fontId="3" fillId="0" borderId="27" xfId="0" applyFont="1" applyFill="1" applyBorder="1" applyAlignment="1">
      <alignment horizontal="center"/>
    </xf>
    <xf numFmtId="14" fontId="28" fillId="0" borderId="54" xfId="0" applyNumberFormat="1" applyFont="1" applyBorder="1"/>
    <xf numFmtId="14" fontId="28" fillId="0" borderId="9" xfId="0" applyNumberFormat="1" applyFont="1" applyBorder="1"/>
    <xf numFmtId="14" fontId="4" fillId="0" borderId="12" xfId="0" applyNumberFormat="1" applyFont="1" applyFill="1" applyBorder="1"/>
    <xf numFmtId="3" fontId="4" fillId="0" borderId="13" xfId="0" applyNumberFormat="1" applyFont="1" applyFill="1" applyBorder="1"/>
    <xf numFmtId="0" fontId="4" fillId="0" borderId="11" xfId="0" applyFont="1" applyFill="1" applyBorder="1" applyAlignment="1">
      <alignment horizontal="center" vertical="center"/>
    </xf>
    <xf numFmtId="14" fontId="4" fillId="5" borderId="9" xfId="0" applyNumberFormat="1" applyFont="1" applyFill="1" applyBorder="1"/>
    <xf numFmtId="3" fontId="4" fillId="5" borderId="1" xfId="0" applyNumberFormat="1" applyFont="1" applyFill="1" applyBorder="1"/>
    <xf numFmtId="165" fontId="4" fillId="5" borderId="1" xfId="0" applyNumberFormat="1" applyFont="1" applyFill="1" applyBorder="1" applyAlignment="1">
      <alignment vertical="center"/>
    </xf>
    <xf numFmtId="0" fontId="4" fillId="5" borderId="10" xfId="0" applyFont="1" applyFill="1" applyBorder="1" applyAlignment="1">
      <alignment horizontal="center" vertical="center"/>
    </xf>
    <xf numFmtId="14" fontId="4" fillId="5" borderId="12" xfId="0" applyNumberFormat="1" applyFont="1" applyFill="1" applyBorder="1"/>
    <xf numFmtId="3" fontId="4" fillId="5" borderId="13" xfId="0" applyNumberFormat="1" applyFont="1" applyFill="1" applyBorder="1"/>
    <xf numFmtId="165" fontId="4" fillId="5" borderId="13" xfId="0" applyNumberFormat="1" applyFont="1" applyFill="1" applyBorder="1" applyAlignment="1">
      <alignment vertical="center"/>
    </xf>
    <xf numFmtId="0" fontId="3" fillId="0" borderId="0" xfId="0" applyFont="1" applyFill="1" applyAlignment="1">
      <alignment horizontal="center"/>
    </xf>
    <xf numFmtId="165" fontId="0" fillId="0" borderId="7" xfId="0" applyNumberFormat="1" applyFill="1" applyBorder="1" applyAlignment="1">
      <alignment horizontal="center" vertical="center"/>
    </xf>
    <xf numFmtId="165" fontId="0" fillId="0" borderId="1" xfId="0" applyNumberFormat="1" applyFill="1" applyBorder="1" applyAlignment="1">
      <alignment horizontal="center" vertical="center"/>
    </xf>
    <xf numFmtId="0" fontId="3" fillId="0" borderId="8" xfId="0" applyFont="1" applyFill="1" applyBorder="1" applyAlignment="1">
      <alignment horizontal="center" vertical="center"/>
    </xf>
    <xf numFmtId="0" fontId="3" fillId="0" borderId="10" xfId="0" applyFont="1" applyFill="1" applyBorder="1" applyAlignment="1">
      <alignment horizontal="center" vertical="center"/>
    </xf>
    <xf numFmtId="165" fontId="0" fillId="0" borderId="15" xfId="0" applyNumberFormat="1" applyFill="1" applyBorder="1" applyAlignment="1">
      <alignment horizontal="center" vertical="center"/>
    </xf>
    <xf numFmtId="0" fontId="3" fillId="0" borderId="16" xfId="0" applyFont="1" applyFill="1" applyBorder="1" applyAlignment="1">
      <alignment horizontal="center" vertical="center"/>
    </xf>
    <xf numFmtId="0" fontId="3" fillId="0" borderId="24" xfId="0" applyFont="1" applyFill="1" applyBorder="1" applyAlignment="1">
      <alignment horizontal="center"/>
    </xf>
    <xf numFmtId="0" fontId="3" fillId="0" borderId="25" xfId="0" applyFont="1" applyFill="1" applyBorder="1" applyAlignment="1">
      <alignment horizontal="center"/>
    </xf>
    <xf numFmtId="0" fontId="0" fillId="0" borderId="0" xfId="0" applyFill="1" applyAlignment="1">
      <alignment horizontal="center"/>
    </xf>
    <xf numFmtId="0" fontId="3" fillId="0" borderId="21" xfId="0" applyFont="1" applyFill="1" applyBorder="1" applyAlignment="1">
      <alignment horizontal="center"/>
    </xf>
    <xf numFmtId="14" fontId="2" fillId="14" borderId="6" xfId="0" applyNumberFormat="1" applyFont="1" applyFill="1" applyBorder="1"/>
    <xf numFmtId="3" fontId="2" fillId="14" borderId="7" xfId="0" applyNumberFormat="1" applyFont="1" applyFill="1" applyBorder="1"/>
    <xf numFmtId="165" fontId="2" fillId="14" borderId="7" xfId="0" applyNumberFormat="1" applyFont="1" applyFill="1" applyBorder="1" applyAlignment="1">
      <alignment vertical="center"/>
    </xf>
    <xf numFmtId="0" fontId="2" fillId="14" borderId="8" xfId="0" applyFont="1" applyFill="1" applyBorder="1" applyAlignment="1">
      <alignment horizontal="center" vertical="center"/>
    </xf>
    <xf numFmtId="14" fontId="2" fillId="14" borderId="9" xfId="0" applyNumberFormat="1" applyFont="1" applyFill="1" applyBorder="1"/>
    <xf numFmtId="3" fontId="2" fillId="14" borderId="1" xfId="0" applyNumberFormat="1" applyFont="1" applyFill="1" applyBorder="1"/>
    <xf numFmtId="165" fontId="2" fillId="14" borderId="1" xfId="0" applyNumberFormat="1" applyFont="1" applyFill="1" applyBorder="1" applyAlignment="1">
      <alignment vertical="center"/>
    </xf>
    <xf numFmtId="0" fontId="2" fillId="14" borderId="10" xfId="0" applyFont="1" applyFill="1" applyBorder="1" applyAlignment="1">
      <alignment horizontal="center" vertical="center"/>
    </xf>
    <xf numFmtId="14" fontId="2" fillId="14" borderId="14" xfId="0" applyNumberFormat="1" applyFont="1" applyFill="1" applyBorder="1"/>
    <xf numFmtId="3" fontId="2" fillId="14" borderId="15" xfId="0" applyNumberFormat="1" applyFont="1" applyFill="1" applyBorder="1"/>
    <xf numFmtId="165" fontId="2" fillId="14" borderId="15" xfId="0" applyNumberFormat="1" applyFont="1" applyFill="1" applyBorder="1" applyAlignment="1">
      <alignment vertical="center"/>
    </xf>
    <xf numFmtId="0" fontId="2" fillId="14" borderId="16" xfId="0" applyFont="1" applyFill="1" applyBorder="1" applyAlignment="1">
      <alignment horizontal="center" vertical="center"/>
    </xf>
    <xf numFmtId="0" fontId="67" fillId="0" borderId="47" xfId="0" applyFont="1" applyBorder="1"/>
    <xf numFmtId="0" fontId="67" fillId="0" borderId="9" xfId="0" applyFont="1" applyBorder="1"/>
    <xf numFmtId="14" fontId="67" fillId="0" borderId="1" xfId="0" applyNumberFormat="1" applyFont="1" applyBorder="1"/>
    <xf numFmtId="0" fontId="67" fillId="0" borderId="1" xfId="0" applyFont="1" applyBorder="1"/>
    <xf numFmtId="4" fontId="67" fillId="0" borderId="1" xfId="0" applyNumberFormat="1" applyFont="1" applyBorder="1"/>
    <xf numFmtId="165" fontId="67" fillId="0" borderId="1" xfId="0" applyNumberFormat="1" applyFont="1" applyBorder="1"/>
    <xf numFmtId="14" fontId="67" fillId="0" borderId="10" xfId="0" applyNumberFormat="1" applyFont="1" applyBorder="1"/>
    <xf numFmtId="165" fontId="67" fillId="0" borderId="9" xfId="0" applyNumberFormat="1" applyFont="1" applyBorder="1"/>
    <xf numFmtId="0" fontId="67" fillId="0" borderId="10" xfId="0" applyFont="1" applyBorder="1"/>
    <xf numFmtId="4" fontId="67" fillId="0" borderId="9" xfId="0" applyNumberFormat="1" applyFont="1" applyBorder="1"/>
    <xf numFmtId="4" fontId="67" fillId="0" borderId="47" xfId="0" applyNumberFormat="1" applyFont="1" applyBorder="1"/>
    <xf numFmtId="0" fontId="68" fillId="0" borderId="0" xfId="0" applyFont="1"/>
    <xf numFmtId="0" fontId="67" fillId="0" borderId="0" xfId="0" applyFont="1"/>
    <xf numFmtId="0" fontId="69" fillId="0" borderId="47" xfId="0" applyFont="1" applyBorder="1"/>
    <xf numFmtId="0" fontId="69" fillId="0" borderId="9" xfId="0" applyFont="1" applyBorder="1"/>
    <xf numFmtId="14" fontId="69" fillId="0" borderId="1" xfId="0" applyNumberFormat="1" applyFont="1" applyBorder="1"/>
    <xf numFmtId="0" fontId="69" fillId="0" borderId="1" xfId="0" applyFont="1" applyBorder="1"/>
    <xf numFmtId="4" fontId="69" fillId="0" borderId="1" xfId="0" applyNumberFormat="1" applyFont="1" applyBorder="1"/>
    <xf numFmtId="165" fontId="69" fillId="0" borderId="1" xfId="0" applyNumberFormat="1" applyFont="1" applyBorder="1"/>
    <xf numFmtId="14" fontId="69" fillId="0" borderId="10" xfId="0" applyNumberFormat="1" applyFont="1" applyBorder="1"/>
    <xf numFmtId="165" fontId="69" fillId="0" borderId="9" xfId="0" applyNumberFormat="1" applyFont="1" applyBorder="1"/>
    <xf numFmtId="0" fontId="69" fillId="0" borderId="10" xfId="0" applyFont="1" applyBorder="1"/>
    <xf numFmtId="4" fontId="69" fillId="0" borderId="9" xfId="0" applyNumberFormat="1" applyFont="1" applyBorder="1"/>
    <xf numFmtId="4" fontId="24" fillId="0" borderId="47" xfId="0" applyNumberFormat="1" applyFont="1" applyBorder="1"/>
    <xf numFmtId="0" fontId="70" fillId="0" borderId="0" xfId="0" applyFont="1"/>
    <xf numFmtId="0" fontId="69" fillId="0" borderId="0" xfId="0" applyFont="1"/>
    <xf numFmtId="0" fontId="69" fillId="0" borderId="43" xfId="0" applyFont="1" applyBorder="1"/>
    <xf numFmtId="0" fontId="69" fillId="0" borderId="14" xfId="0" applyFont="1" applyBorder="1"/>
    <xf numFmtId="14" fontId="69" fillId="0" borderId="15" xfId="0" applyNumberFormat="1" applyFont="1" applyBorder="1"/>
    <xf numFmtId="0" fontId="69" fillId="0" borderId="15" xfId="0" applyFont="1" applyBorder="1"/>
    <xf numFmtId="4" fontId="69" fillId="0" borderId="15" xfId="0" applyNumberFormat="1" applyFont="1" applyBorder="1"/>
    <xf numFmtId="165" fontId="69" fillId="0" borderId="15" xfId="0" applyNumberFormat="1" applyFont="1" applyBorder="1"/>
    <xf numFmtId="14" fontId="69" fillId="0" borderId="16" xfId="0" applyNumberFormat="1" applyFont="1" applyBorder="1"/>
    <xf numFmtId="165" fontId="69" fillId="0" borderId="14" xfId="0" applyNumberFormat="1" applyFont="1" applyBorder="1"/>
    <xf numFmtId="0" fontId="69" fillId="0" borderId="16" xfId="0" applyFont="1" applyBorder="1"/>
    <xf numFmtId="4" fontId="69" fillId="0" borderId="14" xfId="0" applyNumberFormat="1" applyFont="1" applyBorder="1"/>
    <xf numFmtId="0" fontId="71" fillId="3" borderId="24" xfId="0" applyFont="1" applyFill="1" applyBorder="1" applyAlignment="1">
      <alignment horizontal="center"/>
    </xf>
    <xf numFmtId="0" fontId="71" fillId="3" borderId="25" xfId="0" applyFont="1" applyFill="1" applyBorder="1" applyAlignment="1">
      <alignment horizontal="center"/>
    </xf>
    <xf numFmtId="4" fontId="71" fillId="3" borderId="25" xfId="0" applyNumberFormat="1" applyFont="1" applyFill="1" applyBorder="1" applyAlignment="1">
      <alignment horizontal="center"/>
    </xf>
    <xf numFmtId="165" fontId="71" fillId="3" borderId="25" xfId="0" applyNumberFormat="1" applyFont="1" applyFill="1" applyBorder="1" applyAlignment="1">
      <alignment horizontal="center"/>
    </xf>
    <xf numFmtId="169" fontId="71" fillId="3" borderId="26" xfId="0" applyNumberFormat="1" applyFont="1" applyFill="1" applyBorder="1" applyAlignment="1">
      <alignment horizontal="center"/>
    </xf>
    <xf numFmtId="165" fontId="71" fillId="3" borderId="19" xfId="0" applyNumberFormat="1" applyFont="1" applyFill="1" applyBorder="1" applyAlignment="1">
      <alignment horizontal="center"/>
    </xf>
    <xf numFmtId="0" fontId="71" fillId="3" borderId="19" xfId="0" applyFont="1" applyFill="1" applyBorder="1" applyAlignment="1">
      <alignment horizontal="center"/>
    </xf>
    <xf numFmtId="169" fontId="71" fillId="3" borderId="17" xfId="0" applyNumberFormat="1" applyFont="1" applyFill="1" applyBorder="1" applyAlignment="1">
      <alignment horizontal="center"/>
    </xf>
    <xf numFmtId="4" fontId="71" fillId="3" borderId="24" xfId="0" applyNumberFormat="1" applyFont="1" applyFill="1" applyBorder="1" applyAlignment="1">
      <alignment horizontal="center"/>
    </xf>
    <xf numFmtId="14" fontId="71" fillId="3" borderId="26" xfId="0" applyNumberFormat="1" applyFont="1" applyFill="1" applyBorder="1" applyAlignment="1">
      <alignment horizontal="center"/>
    </xf>
    <xf numFmtId="0" fontId="69" fillId="14" borderId="20" xfId="0" applyFont="1" applyFill="1" applyBorder="1"/>
    <xf numFmtId="0" fontId="69" fillId="14" borderId="6" xfId="0" applyFont="1" applyFill="1" applyBorder="1"/>
    <xf numFmtId="14" fontId="69" fillId="14" borderId="7" xfId="0" applyNumberFormat="1" applyFont="1" applyFill="1" applyBorder="1"/>
    <xf numFmtId="0" fontId="69" fillId="14" borderId="7" xfId="0" applyFont="1" applyFill="1" applyBorder="1"/>
    <xf numFmtId="4" fontId="69" fillId="14" borderId="7" xfId="0" applyNumberFormat="1" applyFont="1" applyFill="1" applyBorder="1"/>
    <xf numFmtId="165" fontId="39" fillId="14" borderId="7" xfId="0" applyNumberFormat="1" applyFont="1" applyFill="1" applyBorder="1"/>
    <xf numFmtId="14" fontId="69" fillId="14" borderId="8" xfId="0" applyNumberFormat="1" applyFont="1" applyFill="1" applyBorder="1"/>
    <xf numFmtId="165" fontId="69" fillId="14" borderId="6" xfId="0" applyNumberFormat="1" applyFont="1" applyFill="1" applyBorder="1"/>
    <xf numFmtId="0" fontId="69" fillId="14" borderId="8" xfId="0" applyFont="1" applyFill="1" applyBorder="1"/>
    <xf numFmtId="4" fontId="69" fillId="14" borderId="6" xfId="0" applyNumberFormat="1" applyFont="1" applyFill="1" applyBorder="1"/>
    <xf numFmtId="4" fontId="69" fillId="14" borderId="20" xfId="0" applyNumberFormat="1" applyFont="1" applyFill="1" applyBorder="1"/>
    <xf numFmtId="0" fontId="69" fillId="14" borderId="47" xfId="0" applyFont="1" applyFill="1" applyBorder="1"/>
    <xf numFmtId="0" fontId="69" fillId="14" borderId="9" xfId="0" applyFont="1" applyFill="1" applyBorder="1"/>
    <xf numFmtId="14" fontId="69" fillId="14" borderId="1" xfId="0" applyNumberFormat="1" applyFont="1" applyFill="1" applyBorder="1"/>
    <xf numFmtId="0" fontId="69" fillId="14" borderId="1" xfId="0" applyFont="1" applyFill="1" applyBorder="1"/>
    <xf numFmtId="4" fontId="69" fillId="14" borderId="1" xfId="0" applyNumberFormat="1" applyFont="1" applyFill="1" applyBorder="1"/>
    <xf numFmtId="165" fontId="39" fillId="14" borderId="1" xfId="0" applyNumberFormat="1" applyFont="1" applyFill="1" applyBorder="1"/>
    <xf numFmtId="14" fontId="69" fillId="14" borderId="10" xfId="0" applyNumberFormat="1" applyFont="1" applyFill="1" applyBorder="1"/>
    <xf numFmtId="165" fontId="69" fillId="14" borderId="9" xfId="0" applyNumberFormat="1" applyFont="1" applyFill="1" applyBorder="1"/>
    <xf numFmtId="0" fontId="69" fillId="14" borderId="10" xfId="0" applyFont="1" applyFill="1" applyBorder="1"/>
    <xf numFmtId="4" fontId="69" fillId="14" borderId="9" xfId="0" applyNumberFormat="1" applyFont="1" applyFill="1" applyBorder="1"/>
    <xf numFmtId="4" fontId="69" fillId="14" borderId="47" xfId="0" applyNumberFormat="1" applyFont="1" applyFill="1" applyBorder="1"/>
    <xf numFmtId="0" fontId="67" fillId="14" borderId="47" xfId="0" applyFont="1" applyFill="1" applyBorder="1"/>
    <xf numFmtId="0" fontId="67" fillId="14" borderId="9" xfId="0" applyFont="1" applyFill="1" applyBorder="1"/>
    <xf numFmtId="14" fontId="67" fillId="14" borderId="1" xfId="0" applyNumberFormat="1" applyFont="1" applyFill="1" applyBorder="1"/>
    <xf numFmtId="0" fontId="67" fillId="14" borderId="1" xfId="0" applyFont="1" applyFill="1" applyBorder="1"/>
    <xf numFmtId="4" fontId="67" fillId="14" borderId="1" xfId="0" applyNumberFormat="1" applyFont="1" applyFill="1" applyBorder="1"/>
    <xf numFmtId="165" fontId="71" fillId="14" borderId="1" xfId="0" applyNumberFormat="1" applyFont="1" applyFill="1" applyBorder="1"/>
    <xf numFmtId="14" fontId="67" fillId="14" borderId="10" xfId="0" applyNumberFormat="1" applyFont="1" applyFill="1" applyBorder="1"/>
    <xf numFmtId="165" fontId="67" fillId="14" borderId="9" xfId="0" applyNumberFormat="1" applyFont="1" applyFill="1" applyBorder="1"/>
    <xf numFmtId="0" fontId="67" fillId="14" borderId="10" xfId="0" applyFont="1" applyFill="1" applyBorder="1"/>
    <xf numFmtId="4" fontId="67" fillId="14" borderId="9" xfId="0" applyNumberFormat="1" applyFont="1" applyFill="1" applyBorder="1"/>
    <xf numFmtId="4" fontId="67" fillId="14" borderId="47" xfId="0" applyNumberFormat="1" applyFont="1" applyFill="1" applyBorder="1"/>
    <xf numFmtId="4" fontId="39" fillId="14" borderId="9" xfId="0" applyNumberFormat="1" applyFont="1" applyFill="1" applyBorder="1"/>
    <xf numFmtId="165" fontId="71" fillId="14" borderId="9" xfId="0" applyNumberFormat="1" applyFont="1" applyFill="1" applyBorder="1"/>
    <xf numFmtId="14" fontId="71" fillId="14" borderId="1" xfId="0" applyNumberFormat="1" applyFont="1" applyFill="1" applyBorder="1"/>
    <xf numFmtId="14" fontId="71" fillId="14" borderId="10" xfId="0" applyNumberFormat="1" applyFont="1" applyFill="1" applyBorder="1"/>
    <xf numFmtId="4" fontId="39" fillId="14" borderId="1" xfId="0" applyNumberFormat="1" applyFont="1" applyFill="1" applyBorder="1"/>
    <xf numFmtId="4" fontId="70" fillId="14" borderId="47" xfId="0" applyNumberFormat="1" applyFont="1" applyFill="1" applyBorder="1"/>
    <xf numFmtId="165" fontId="71" fillId="0" borderId="1" xfId="0" applyNumberFormat="1" applyFont="1" applyBorder="1"/>
    <xf numFmtId="165" fontId="39" fillId="0" borderId="1" xfId="0" applyNumberFormat="1" applyFont="1" applyBorder="1"/>
    <xf numFmtId="4" fontId="69" fillId="0" borderId="47" xfId="0" applyNumberFormat="1" applyFont="1" applyBorder="1"/>
    <xf numFmtId="165" fontId="39" fillId="0" borderId="1" xfId="0" applyNumberFormat="1" applyFont="1" applyFill="1" applyBorder="1"/>
    <xf numFmtId="14" fontId="67" fillId="0" borderId="9" xfId="0" applyNumberFormat="1" applyFont="1" applyBorder="1"/>
    <xf numFmtId="4" fontId="69" fillId="0" borderId="43" xfId="0" applyNumberFormat="1" applyFont="1" applyBorder="1"/>
    <xf numFmtId="4" fontId="69" fillId="0" borderId="0" xfId="0" applyNumberFormat="1" applyFont="1"/>
    <xf numFmtId="165" fontId="69" fillId="0" borderId="0" xfId="0" applyNumberFormat="1" applyFont="1"/>
    <xf numFmtId="165" fontId="67" fillId="0" borderId="0" xfId="0" applyNumberFormat="1" applyFont="1"/>
    <xf numFmtId="9" fontId="67" fillId="0" borderId="0" xfId="4" applyFont="1"/>
    <xf numFmtId="9" fontId="69" fillId="0" borderId="0" xfId="4" applyFont="1"/>
    <xf numFmtId="4" fontId="71" fillId="14" borderId="9" xfId="0" applyNumberFormat="1" applyFont="1" applyFill="1" applyBorder="1"/>
    <xf numFmtId="0" fontId="25" fillId="14" borderId="11" xfId="0" applyFont="1" applyFill="1" applyBorder="1"/>
    <xf numFmtId="14" fontId="12" fillId="10" borderId="31" xfId="0" applyNumberFormat="1" applyFont="1" applyFill="1" applyBorder="1" applyAlignment="1">
      <alignment horizontal="center" vertical="center"/>
    </xf>
    <xf numFmtId="14" fontId="12" fillId="10" borderId="32" xfId="0" applyNumberFormat="1" applyFont="1" applyFill="1" applyBorder="1" applyAlignment="1">
      <alignment horizontal="center" vertical="center"/>
    </xf>
    <xf numFmtId="14" fontId="12" fillId="10" borderId="40" xfId="0" applyNumberFormat="1" applyFont="1" applyFill="1" applyBorder="1" applyAlignment="1">
      <alignment horizontal="center" vertical="center"/>
    </xf>
    <xf numFmtId="17" fontId="12" fillId="10" borderId="18" xfId="0" applyNumberFormat="1" applyFont="1" applyFill="1" applyBorder="1" applyAlignment="1">
      <alignment horizontal="center" vertical="center"/>
    </xf>
    <xf numFmtId="17" fontId="12" fillId="10" borderId="23" xfId="0" applyNumberFormat="1" applyFont="1" applyFill="1" applyBorder="1" applyAlignment="1">
      <alignment horizontal="center" vertical="center"/>
    </xf>
    <xf numFmtId="17" fontId="12" fillId="10" borderId="22" xfId="0" applyNumberFormat="1" applyFont="1" applyFill="1" applyBorder="1" applyAlignment="1">
      <alignment horizontal="center" vertical="center"/>
    </xf>
    <xf numFmtId="17" fontId="38" fillId="5" borderId="31" xfId="0" applyNumberFormat="1" applyFont="1" applyFill="1" applyBorder="1" applyAlignment="1">
      <alignment horizontal="center" vertical="center"/>
    </xf>
    <xf numFmtId="17" fontId="38" fillId="5" borderId="32" xfId="0" applyNumberFormat="1" applyFont="1" applyFill="1" applyBorder="1" applyAlignment="1">
      <alignment horizontal="center" vertical="center"/>
    </xf>
    <xf numFmtId="17" fontId="38" fillId="5" borderId="40" xfId="0" applyNumberFormat="1" applyFont="1" applyFill="1" applyBorder="1" applyAlignment="1">
      <alignment horizontal="center" vertical="center"/>
    </xf>
    <xf numFmtId="17" fontId="38" fillId="5" borderId="18" xfId="0" applyNumberFormat="1" applyFont="1" applyFill="1" applyBorder="1" applyAlignment="1">
      <alignment horizontal="center" vertical="center"/>
    </xf>
    <xf numFmtId="17" fontId="38" fillId="5" borderId="23" xfId="0" applyNumberFormat="1" applyFont="1" applyFill="1" applyBorder="1" applyAlignment="1">
      <alignment horizontal="center" vertical="center"/>
    </xf>
    <xf numFmtId="17" fontId="12" fillId="10" borderId="31" xfId="0" applyNumberFormat="1" applyFont="1" applyFill="1" applyBorder="1" applyAlignment="1">
      <alignment horizontal="center" vertical="center"/>
    </xf>
    <xf numFmtId="17" fontId="12" fillId="10" borderId="32" xfId="0" applyNumberFormat="1" applyFont="1" applyFill="1" applyBorder="1" applyAlignment="1">
      <alignment horizontal="center" vertical="center"/>
    </xf>
    <xf numFmtId="17" fontId="12" fillId="10" borderId="40" xfId="0" applyNumberFormat="1" applyFont="1" applyFill="1" applyBorder="1" applyAlignment="1">
      <alignment horizontal="center" vertical="center"/>
    </xf>
    <xf numFmtId="17" fontId="3" fillId="10" borderId="18" xfId="0" applyNumberFormat="1" applyFont="1" applyFill="1" applyBorder="1" applyAlignment="1">
      <alignment horizontal="center" vertical="center"/>
    </xf>
    <xf numFmtId="17" fontId="3" fillId="10" borderId="23" xfId="0" applyNumberFormat="1" applyFont="1" applyFill="1" applyBorder="1" applyAlignment="1">
      <alignment horizontal="center" vertical="center"/>
    </xf>
    <xf numFmtId="0" fontId="35" fillId="14" borderId="27" xfId="0" applyFont="1" applyFill="1" applyBorder="1" applyAlignment="1">
      <alignment horizontal="center"/>
    </xf>
    <xf numFmtId="0" fontId="35" fillId="14" borderId="28" xfId="0" applyFont="1" applyFill="1" applyBorder="1" applyAlignment="1">
      <alignment horizontal="center"/>
    </xf>
    <xf numFmtId="0" fontId="35" fillId="14" borderId="29" xfId="0" applyFont="1" applyFill="1" applyBorder="1" applyAlignment="1">
      <alignment horizontal="center"/>
    </xf>
    <xf numFmtId="17" fontId="3" fillId="10" borderId="31" xfId="0" applyNumberFormat="1" applyFont="1" applyFill="1" applyBorder="1" applyAlignment="1">
      <alignment horizontal="center" vertical="center"/>
    </xf>
    <xf numFmtId="17" fontId="3" fillId="10" borderId="32" xfId="0" applyNumberFormat="1" applyFont="1" applyFill="1" applyBorder="1" applyAlignment="1">
      <alignment horizontal="center" vertical="center"/>
    </xf>
    <xf numFmtId="17" fontId="3" fillId="10" borderId="40" xfId="0" applyNumberFormat="1" applyFont="1" applyFill="1" applyBorder="1" applyAlignment="1">
      <alignment horizontal="center" vertical="center"/>
    </xf>
    <xf numFmtId="14" fontId="12" fillId="10" borderId="27" xfId="0" applyNumberFormat="1" applyFont="1" applyFill="1" applyBorder="1" applyAlignment="1">
      <alignment horizontal="center" vertical="center"/>
    </xf>
    <xf numFmtId="14" fontId="12" fillId="10" borderId="28" xfId="0" applyNumberFormat="1" applyFont="1" applyFill="1" applyBorder="1" applyAlignment="1">
      <alignment horizontal="center" vertical="center"/>
    </xf>
    <xf numFmtId="14" fontId="12" fillId="10" borderId="29" xfId="0" applyNumberFormat="1" applyFont="1" applyFill="1" applyBorder="1" applyAlignment="1">
      <alignment horizontal="center" vertical="center"/>
    </xf>
    <xf numFmtId="14" fontId="3" fillId="10" borderId="31" xfId="0" applyNumberFormat="1" applyFont="1" applyFill="1" applyBorder="1" applyAlignment="1">
      <alignment horizontal="center" vertical="center"/>
    </xf>
    <xf numFmtId="14" fontId="3" fillId="10" borderId="32" xfId="0" applyNumberFormat="1" applyFont="1" applyFill="1" applyBorder="1" applyAlignment="1">
      <alignment horizontal="center" vertical="center"/>
    </xf>
    <xf numFmtId="14" fontId="3" fillId="10" borderId="40" xfId="0" applyNumberFormat="1" applyFont="1" applyFill="1" applyBorder="1" applyAlignment="1">
      <alignment horizontal="center" vertical="center"/>
    </xf>
    <xf numFmtId="17" fontId="35" fillId="14" borderId="18" xfId="0" applyNumberFormat="1" applyFont="1" applyFill="1" applyBorder="1" applyAlignment="1">
      <alignment horizontal="center" vertical="center"/>
    </xf>
    <xf numFmtId="17" fontId="35" fillId="14" borderId="23" xfId="0" applyNumberFormat="1" applyFont="1" applyFill="1" applyBorder="1" applyAlignment="1">
      <alignment horizontal="center" vertical="center"/>
    </xf>
    <xf numFmtId="3" fontId="52" fillId="14" borderId="0" xfId="0" applyNumberFormat="1" applyFont="1" applyFill="1" applyAlignment="1">
      <alignment horizontal="center"/>
    </xf>
    <xf numFmtId="0" fontId="52" fillId="14" borderId="0" xfId="0" applyFont="1" applyFill="1" applyAlignment="1">
      <alignment horizontal="center"/>
    </xf>
    <xf numFmtId="3" fontId="37" fillId="10" borderId="27" xfId="0" applyNumberFormat="1" applyFont="1" applyFill="1" applyBorder="1" applyAlignment="1">
      <alignment horizontal="center"/>
    </xf>
    <xf numFmtId="3" fontId="37" fillId="10" borderId="28" xfId="0" applyNumberFormat="1" applyFont="1" applyFill="1" applyBorder="1" applyAlignment="1">
      <alignment horizontal="center"/>
    </xf>
    <xf numFmtId="3" fontId="37" fillId="10" borderId="29" xfId="0" applyNumberFormat="1" applyFont="1" applyFill="1" applyBorder="1" applyAlignment="1">
      <alignment horizontal="center"/>
    </xf>
    <xf numFmtId="0" fontId="37" fillId="10" borderId="27" xfId="0" applyFont="1" applyFill="1" applyBorder="1" applyAlignment="1">
      <alignment horizontal="center"/>
    </xf>
    <xf numFmtId="0" fontId="37" fillId="10" borderId="28" xfId="0" applyFont="1" applyFill="1" applyBorder="1" applyAlignment="1">
      <alignment horizontal="center"/>
    </xf>
    <xf numFmtId="0" fontId="37" fillId="10" borderId="29" xfId="0" applyFont="1" applyFill="1" applyBorder="1" applyAlignment="1">
      <alignment horizontal="center"/>
    </xf>
    <xf numFmtId="0" fontId="48" fillId="10" borderId="27" xfId="0" applyFont="1" applyFill="1" applyBorder="1" applyAlignment="1">
      <alignment horizontal="center"/>
    </xf>
    <xf numFmtId="0" fontId="48" fillId="10" borderId="28" xfId="0" applyFont="1" applyFill="1" applyBorder="1" applyAlignment="1">
      <alignment horizontal="center"/>
    </xf>
    <xf numFmtId="0" fontId="48" fillId="10" borderId="29" xfId="0" applyFont="1" applyFill="1" applyBorder="1" applyAlignment="1">
      <alignment horizontal="center"/>
    </xf>
    <xf numFmtId="3" fontId="3" fillId="10" borderId="18" xfId="0" applyNumberFormat="1" applyFont="1" applyFill="1" applyBorder="1" applyAlignment="1">
      <alignment horizontal="center" vertical="center"/>
    </xf>
    <xf numFmtId="3" fontId="3" fillId="10" borderId="23" xfId="0" applyNumberFormat="1" applyFont="1" applyFill="1" applyBorder="1" applyAlignment="1">
      <alignment horizontal="center" vertical="center"/>
    </xf>
    <xf numFmtId="0" fontId="66" fillId="14" borderId="27" xfId="0" applyFont="1" applyFill="1" applyBorder="1" applyAlignment="1">
      <alignment horizontal="center"/>
    </xf>
    <xf numFmtId="0" fontId="66" fillId="14" borderId="28" xfId="0" applyFont="1" applyFill="1" applyBorder="1" applyAlignment="1">
      <alignment horizontal="center"/>
    </xf>
    <xf numFmtId="0" fontId="66" fillId="14" borderId="29" xfId="0" applyFont="1" applyFill="1" applyBorder="1" applyAlignment="1">
      <alignment horizontal="center"/>
    </xf>
    <xf numFmtId="14" fontId="3" fillId="10" borderId="27" xfId="0" applyNumberFormat="1" applyFont="1" applyFill="1" applyBorder="1" applyAlignment="1">
      <alignment horizontal="center" vertical="center"/>
    </xf>
    <xf numFmtId="14" fontId="3" fillId="10" borderId="28" xfId="0" applyNumberFormat="1" applyFont="1" applyFill="1" applyBorder="1" applyAlignment="1">
      <alignment horizontal="center" vertical="center"/>
    </xf>
    <xf numFmtId="14" fontId="35" fillId="14" borderId="31" xfId="0" applyNumberFormat="1" applyFont="1" applyFill="1" applyBorder="1" applyAlignment="1">
      <alignment horizontal="center" vertical="center"/>
    </xf>
    <xf numFmtId="14" fontId="35" fillId="14" borderId="32" xfId="0" applyNumberFormat="1" applyFont="1" applyFill="1" applyBorder="1" applyAlignment="1">
      <alignment horizontal="center" vertical="center"/>
    </xf>
    <xf numFmtId="14" fontId="35" fillId="14" borderId="40" xfId="0" applyNumberFormat="1" applyFont="1" applyFill="1" applyBorder="1" applyAlignment="1">
      <alignment horizontal="center" vertical="center"/>
    </xf>
    <xf numFmtId="3" fontId="12" fillId="10" borderId="18" xfId="0" applyNumberFormat="1" applyFont="1" applyFill="1" applyBorder="1" applyAlignment="1">
      <alignment horizontal="center" vertical="center"/>
    </xf>
    <xf numFmtId="3" fontId="12" fillId="10" borderId="23" xfId="0" applyNumberFormat="1" applyFont="1" applyFill="1" applyBorder="1" applyAlignment="1">
      <alignment horizontal="center" vertical="center"/>
    </xf>
    <xf numFmtId="17" fontId="3" fillId="10" borderId="27" xfId="0" applyNumberFormat="1" applyFont="1" applyFill="1" applyBorder="1" applyAlignment="1">
      <alignment horizontal="center" vertical="center"/>
    </xf>
    <xf numFmtId="17" fontId="3" fillId="10" borderId="29" xfId="0" applyNumberFormat="1" applyFont="1" applyFill="1" applyBorder="1" applyAlignment="1">
      <alignment horizontal="center" vertical="center"/>
    </xf>
    <xf numFmtId="14" fontId="3" fillId="10" borderId="29" xfId="0" applyNumberFormat="1" applyFont="1" applyFill="1" applyBorder="1" applyAlignment="1">
      <alignment horizontal="center" vertical="center"/>
    </xf>
    <xf numFmtId="0" fontId="65" fillId="4" borderId="0" xfId="0" applyFont="1" applyFill="1" applyAlignment="1">
      <alignment horizontal="left"/>
    </xf>
    <xf numFmtId="0" fontId="64" fillId="0" borderId="2" xfId="0" applyFont="1" applyBorder="1" applyAlignment="1">
      <alignment horizontal="center"/>
    </xf>
    <xf numFmtId="0" fontId="64" fillId="0" borderId="0" xfId="0" applyFont="1" applyBorder="1" applyAlignment="1">
      <alignment horizontal="center"/>
    </xf>
    <xf numFmtId="0" fontId="7" fillId="0" borderId="0" xfId="0" applyFont="1" applyAlignment="1">
      <alignment horizontal="center"/>
    </xf>
    <xf numFmtId="0" fontId="13" fillId="0" borderId="0" xfId="0" applyFont="1" applyAlignment="1">
      <alignment horizontal="center"/>
    </xf>
    <xf numFmtId="0" fontId="16" fillId="3" borderId="21" xfId="0" applyFont="1" applyFill="1" applyBorder="1" applyAlignment="1">
      <alignment horizontal="left"/>
    </xf>
    <xf numFmtId="0" fontId="16" fillId="3" borderId="2" xfId="0" applyFont="1" applyFill="1" applyBorder="1" applyAlignment="1">
      <alignment horizontal="left"/>
    </xf>
    <xf numFmtId="0" fontId="16" fillId="3" borderId="22" xfId="0" applyFont="1" applyFill="1" applyBorder="1" applyAlignment="1">
      <alignment horizontal="left"/>
    </xf>
    <xf numFmtId="0" fontId="17" fillId="0" borderId="18" xfId="0" applyFont="1" applyFill="1" applyBorder="1" applyAlignment="1">
      <alignment horizontal="left" vertical="center"/>
    </xf>
    <xf numFmtId="0" fontId="17" fillId="0" borderId="33" xfId="0" applyFont="1" applyFill="1" applyBorder="1" applyAlignment="1">
      <alignment horizontal="left" vertical="center"/>
    </xf>
    <xf numFmtId="0" fontId="17" fillId="0" borderId="23" xfId="0" applyFont="1" applyFill="1" applyBorder="1" applyAlignment="1">
      <alignment horizontal="left" vertical="center"/>
    </xf>
    <xf numFmtId="0" fontId="46" fillId="6" borderId="24" xfId="0" applyFont="1" applyFill="1" applyBorder="1" applyAlignment="1">
      <alignment horizontal="right"/>
    </xf>
    <xf numFmtId="0" fontId="46" fillId="6" borderId="25" xfId="0" applyFont="1" applyFill="1" applyBorder="1" applyAlignment="1">
      <alignment horizontal="right"/>
    </xf>
    <xf numFmtId="0" fontId="22" fillId="7" borderId="24" xfId="0" applyFont="1" applyFill="1" applyBorder="1" applyAlignment="1">
      <alignment horizontal="left"/>
    </xf>
    <xf numFmtId="0" fontId="22" fillId="7" borderId="25" xfId="0" applyFont="1" applyFill="1" applyBorder="1" applyAlignment="1">
      <alignment horizontal="left"/>
    </xf>
    <xf numFmtId="14" fontId="18" fillId="7" borderId="27" xfId="0" applyNumberFormat="1" applyFont="1" applyFill="1" applyBorder="1" applyAlignment="1">
      <alignment horizontal="right"/>
    </xf>
    <xf numFmtId="14" fontId="18" fillId="7" borderId="28" xfId="0" applyNumberFormat="1" applyFont="1" applyFill="1" applyBorder="1" applyAlignment="1">
      <alignment horizontal="right"/>
    </xf>
    <xf numFmtId="14" fontId="18" fillId="7" borderId="31" xfId="0" applyNumberFormat="1" applyFont="1" applyFill="1" applyBorder="1" applyAlignment="1">
      <alignment horizontal="right"/>
    </xf>
    <xf numFmtId="14" fontId="18" fillId="7" borderId="32" xfId="0" applyNumberFormat="1" applyFont="1" applyFill="1" applyBorder="1" applyAlignment="1">
      <alignment horizontal="right"/>
    </xf>
    <xf numFmtId="0" fontId="21" fillId="0" borderId="0" xfId="0" applyFont="1" applyAlignment="1">
      <alignment horizontal="center"/>
    </xf>
    <xf numFmtId="14" fontId="18" fillId="7" borderId="2" xfId="0" applyNumberFormat="1" applyFont="1" applyFill="1" applyBorder="1" applyAlignment="1">
      <alignment horizontal="right"/>
    </xf>
    <xf numFmtId="14" fontId="18" fillId="7" borderId="37" xfId="0" applyNumberFormat="1" applyFont="1" applyFill="1" applyBorder="1" applyAlignment="1">
      <alignment horizontal="right"/>
    </xf>
    <xf numFmtId="14" fontId="18" fillId="7" borderId="0" xfId="0" applyNumberFormat="1" applyFont="1" applyFill="1" applyBorder="1" applyAlignment="1">
      <alignment horizontal="right"/>
    </xf>
    <xf numFmtId="0" fontId="32" fillId="8" borderId="14" xfId="0" applyFont="1" applyFill="1" applyBorder="1" applyAlignment="1">
      <alignment horizontal="left" indent="2"/>
    </xf>
    <xf numFmtId="0" fontId="32" fillId="8" borderId="15" xfId="0" applyFont="1" applyFill="1" applyBorder="1" applyAlignment="1">
      <alignment horizontal="left" indent="2"/>
    </xf>
    <xf numFmtId="0" fontId="29" fillId="8" borderId="27" xfId="0" applyFont="1" applyFill="1" applyBorder="1" applyAlignment="1">
      <alignment horizontal="center"/>
    </xf>
    <xf numFmtId="0" fontId="29" fillId="8" borderId="28" xfId="0" applyFont="1" applyFill="1" applyBorder="1" applyAlignment="1">
      <alignment horizontal="center"/>
    </xf>
    <xf numFmtId="0" fontId="29" fillId="8" borderId="29" xfId="0" applyFont="1" applyFill="1" applyBorder="1" applyAlignment="1">
      <alignment horizontal="center"/>
    </xf>
    <xf numFmtId="0" fontId="31" fillId="8" borderId="27" xfId="0" applyFont="1" applyFill="1" applyBorder="1" applyAlignment="1">
      <alignment horizontal="center"/>
    </xf>
    <xf numFmtId="0" fontId="31" fillId="8" borderId="29" xfId="0" applyFont="1" applyFill="1" applyBorder="1" applyAlignment="1">
      <alignment horizontal="center"/>
    </xf>
    <xf numFmtId="0" fontId="32" fillId="8" borderId="6" xfId="0" applyFont="1" applyFill="1" applyBorder="1" applyAlignment="1">
      <alignment horizontal="left" indent="2"/>
    </xf>
    <xf numFmtId="0" fontId="32" fillId="8" borderId="7" xfId="0" applyFont="1" applyFill="1" applyBorder="1" applyAlignment="1">
      <alignment horizontal="left" indent="2"/>
    </xf>
    <xf numFmtId="169" fontId="25" fillId="3" borderId="18" xfId="0" applyNumberFormat="1" applyFont="1" applyFill="1" applyBorder="1" applyAlignment="1">
      <alignment horizontal="center" vertical="center"/>
    </xf>
    <xf numFmtId="169" fontId="25" fillId="3" borderId="33" xfId="0" applyNumberFormat="1" applyFont="1" applyFill="1" applyBorder="1" applyAlignment="1">
      <alignment horizontal="center" vertical="center"/>
    </xf>
    <xf numFmtId="0" fontId="25" fillId="3" borderId="27" xfId="0" applyFont="1" applyFill="1" applyBorder="1" applyAlignment="1">
      <alignment horizontal="center"/>
    </xf>
    <xf numFmtId="0" fontId="25" fillId="3" borderId="28" xfId="0" applyFont="1" applyFill="1" applyBorder="1" applyAlignment="1">
      <alignment horizontal="center"/>
    </xf>
    <xf numFmtId="0" fontId="25" fillId="3" borderId="29" xfId="0" applyFont="1" applyFill="1" applyBorder="1" applyAlignment="1">
      <alignment horizontal="center"/>
    </xf>
    <xf numFmtId="169" fontId="25" fillId="3" borderId="27" xfId="0" applyNumberFormat="1" applyFont="1" applyFill="1" applyBorder="1" applyAlignment="1">
      <alignment horizontal="center"/>
    </xf>
    <xf numFmtId="169" fontId="25" fillId="3" borderId="28" xfId="0" applyNumberFormat="1" applyFont="1" applyFill="1" applyBorder="1" applyAlignment="1">
      <alignment horizontal="center"/>
    </xf>
    <xf numFmtId="169" fontId="25" fillId="3" borderId="29" xfId="0" applyNumberFormat="1" applyFont="1" applyFill="1" applyBorder="1" applyAlignment="1">
      <alignment horizontal="center"/>
    </xf>
    <xf numFmtId="0" fontId="36" fillId="2" borderId="49" xfId="1" applyFont="1" applyFill="1" applyBorder="1" applyAlignment="1">
      <alignment horizontal="center"/>
    </xf>
    <xf numFmtId="0" fontId="36" fillId="2" borderId="50" xfId="1" applyFont="1" applyFill="1" applyBorder="1" applyAlignment="1">
      <alignment horizontal="center"/>
    </xf>
    <xf numFmtId="0" fontId="43" fillId="9" borderId="49" xfId="1" applyFont="1" applyFill="1" applyBorder="1" applyAlignment="1">
      <alignment horizontal="center"/>
    </xf>
    <xf numFmtId="0" fontId="43" fillId="9" borderId="50" xfId="1" applyFont="1" applyFill="1" applyBorder="1" applyAlignment="1">
      <alignment horizontal="center"/>
    </xf>
    <xf numFmtId="0" fontId="0" fillId="0" borderId="0" xfId="0" applyFill="1" applyAlignment="1">
      <alignment horizontal="center"/>
    </xf>
    <xf numFmtId="0" fontId="3" fillId="0" borderId="0" xfId="0" applyFont="1" applyFill="1" applyAlignment="1">
      <alignment horizontal="left" indent="2"/>
    </xf>
    <xf numFmtId="0" fontId="3" fillId="0" borderId="0" xfId="0" applyFont="1" applyFill="1" applyAlignment="1">
      <alignment horizontal="center"/>
    </xf>
    <xf numFmtId="165" fontId="0" fillId="0" borderId="7" xfId="0" applyNumberFormat="1" applyFill="1" applyBorder="1" applyAlignment="1">
      <alignment horizontal="center" vertical="center"/>
    </xf>
    <xf numFmtId="165" fontId="0" fillId="0" borderId="1" xfId="0" applyNumberFormat="1" applyFill="1" applyBorder="1" applyAlignment="1">
      <alignment horizontal="center" vertical="center"/>
    </xf>
    <xf numFmtId="0" fontId="3" fillId="0" borderId="8" xfId="0" applyFont="1" applyFill="1" applyBorder="1" applyAlignment="1">
      <alignment horizontal="center" vertical="center"/>
    </xf>
    <xf numFmtId="0" fontId="3" fillId="0" borderId="10" xfId="0" applyFont="1" applyFill="1" applyBorder="1" applyAlignment="1">
      <alignment horizontal="center" vertical="center"/>
    </xf>
    <xf numFmtId="165" fontId="0" fillId="0" borderId="15" xfId="0" applyNumberFormat="1" applyFill="1" applyBorder="1" applyAlignment="1">
      <alignment horizontal="center" vertical="center"/>
    </xf>
    <xf numFmtId="0" fontId="3" fillId="0" borderId="16" xfId="0" applyFont="1" applyFill="1" applyBorder="1" applyAlignment="1">
      <alignment horizontal="center" vertical="center"/>
    </xf>
    <xf numFmtId="0" fontId="3" fillId="0" borderId="24" xfId="0" applyFont="1" applyFill="1" applyBorder="1" applyAlignment="1">
      <alignment horizontal="center"/>
    </xf>
    <xf numFmtId="0" fontId="3" fillId="0" borderId="25" xfId="0" applyFont="1" applyFill="1" applyBorder="1" applyAlignment="1">
      <alignment horizontal="center"/>
    </xf>
    <xf numFmtId="0" fontId="3" fillId="0" borderId="46" xfId="0" applyFont="1" applyFill="1" applyBorder="1" applyAlignment="1">
      <alignment horizontal="center"/>
    </xf>
    <xf numFmtId="0" fontId="3" fillId="0" borderId="44" xfId="0" applyFont="1" applyFill="1" applyBorder="1" applyAlignment="1">
      <alignment horizontal="center"/>
    </xf>
    <xf numFmtId="0" fontId="12" fillId="0" borderId="46" xfId="0" applyFont="1" applyFill="1" applyBorder="1" applyAlignment="1">
      <alignment horizontal="center"/>
    </xf>
    <xf numFmtId="0" fontId="12" fillId="0" borderId="44" xfId="0" applyFont="1" applyFill="1" applyBorder="1" applyAlignment="1">
      <alignment horizontal="center"/>
    </xf>
    <xf numFmtId="49" fontId="3" fillId="0" borderId="8" xfId="0" applyNumberFormat="1" applyFont="1" applyFill="1" applyBorder="1" applyAlignment="1">
      <alignment horizontal="center" vertical="center"/>
    </xf>
    <xf numFmtId="49" fontId="3" fillId="0" borderId="10" xfId="0" applyNumberFormat="1" applyFont="1" applyFill="1" applyBorder="1" applyAlignment="1">
      <alignment horizontal="center" vertical="center"/>
    </xf>
    <xf numFmtId="49" fontId="3" fillId="0" borderId="16" xfId="0" applyNumberFormat="1" applyFont="1" applyFill="1" applyBorder="1" applyAlignment="1">
      <alignment horizontal="center" vertical="center"/>
    </xf>
    <xf numFmtId="14" fontId="0" fillId="0" borderId="48" xfId="0" applyNumberFormat="1" applyFill="1" applyBorder="1" applyAlignment="1">
      <alignment horizontal="center"/>
    </xf>
    <xf numFmtId="14" fontId="0" fillId="0" borderId="50" xfId="0" applyNumberFormat="1" applyFill="1" applyBorder="1" applyAlignment="1">
      <alignment horizontal="center"/>
    </xf>
    <xf numFmtId="167" fontId="12" fillId="0" borderId="37" xfId="0" applyNumberFormat="1" applyFont="1" applyFill="1" applyBorder="1" applyAlignment="1">
      <alignment horizontal="center" vertical="center"/>
    </xf>
    <xf numFmtId="0" fontId="12" fillId="0" borderId="0" xfId="0" applyFont="1" applyFill="1" applyBorder="1" applyAlignment="1">
      <alignment horizontal="center" vertical="center"/>
    </xf>
    <xf numFmtId="165" fontId="4" fillId="0" borderId="0" xfId="0" applyNumberFormat="1" applyFont="1" applyFill="1" applyAlignment="1">
      <alignment horizontal="center" vertical="center"/>
    </xf>
    <xf numFmtId="169" fontId="71" fillId="3" borderId="18" xfId="0" applyNumberFormat="1" applyFont="1" applyFill="1" applyBorder="1" applyAlignment="1">
      <alignment horizontal="center" vertical="center"/>
    </xf>
    <xf numFmtId="169" fontId="71" fillId="3" borderId="33" xfId="0" applyNumberFormat="1" applyFont="1" applyFill="1" applyBorder="1" applyAlignment="1">
      <alignment horizontal="center" vertical="center"/>
    </xf>
    <xf numFmtId="0" fontId="71" fillId="3" borderId="27" xfId="0" applyFont="1" applyFill="1" applyBorder="1" applyAlignment="1">
      <alignment horizontal="center"/>
    </xf>
    <xf numFmtId="0" fontId="71" fillId="3" borderId="28" xfId="0" applyFont="1" applyFill="1" applyBorder="1" applyAlignment="1">
      <alignment horizontal="center"/>
    </xf>
    <xf numFmtId="0" fontId="71" fillId="3" borderId="29" xfId="0" applyFont="1" applyFill="1" applyBorder="1" applyAlignment="1">
      <alignment horizontal="center"/>
    </xf>
    <xf numFmtId="169" fontId="71" fillId="3" borderId="27" xfId="0" applyNumberFormat="1" applyFont="1" applyFill="1" applyBorder="1" applyAlignment="1">
      <alignment horizontal="center"/>
    </xf>
    <xf numFmtId="169" fontId="71" fillId="3" borderId="28" xfId="0" applyNumberFormat="1" applyFont="1" applyFill="1" applyBorder="1" applyAlignment="1">
      <alignment horizontal="center"/>
    </xf>
    <xf numFmtId="169" fontId="71" fillId="3" borderId="29" xfId="0" applyNumberFormat="1" applyFont="1" applyFill="1" applyBorder="1" applyAlignment="1">
      <alignment horizontal="center"/>
    </xf>
  </cellXfs>
  <cellStyles count="8">
    <cellStyle name="Lien hypertexte" xfId="5" builtinId="8"/>
    <cellStyle name="Milliers" xfId="6" builtinId="3"/>
    <cellStyle name="Milliers 2" xfId="2"/>
    <cellStyle name="Normal" xfId="0" builtinId="0"/>
    <cellStyle name="Normal 2" xfId="7"/>
    <cellStyle name="Normal_NOUR" xfId="1"/>
    <cellStyle name="Pourcentage" xfId="4" builtinId="5"/>
    <cellStyle name="Pourcentage 2" xfId="3"/>
  </cellStyles>
  <dxfs count="0"/>
  <tableStyles count="0" defaultTableStyle="TableStyleMedium9" defaultPivotStyle="PivotStyleLight16"/>
  <colors>
    <mruColors>
      <color rgb="FFCCCC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8" Type="http://schemas.openxmlformats.org/officeDocument/2006/relationships/hyperlink" Target="http://stbnet.stb.com.tn/Infocentre/menucpt.asp?i=7" TargetMode="External"/><Relationship Id="rId13" Type="http://schemas.openxmlformats.org/officeDocument/2006/relationships/hyperlink" Target="http://stbnet.stb.com.tn/Infocentre/menucpt.asp?i=12" TargetMode="External"/><Relationship Id="rId18" Type="http://schemas.openxmlformats.org/officeDocument/2006/relationships/hyperlink" Target="http://stbnet.stb.com.tn/devise/menucptDevise.asp?i=84017" TargetMode="External"/><Relationship Id="rId26" Type="http://schemas.openxmlformats.org/officeDocument/2006/relationships/printerSettings" Target="../printerSettings/printerSettings11.bin"/><Relationship Id="rId3" Type="http://schemas.openxmlformats.org/officeDocument/2006/relationships/hyperlink" Target="http://stbnet.stb.com.tn/Infocentre/menucpt.asp?i=2" TargetMode="External"/><Relationship Id="rId21" Type="http://schemas.openxmlformats.org/officeDocument/2006/relationships/hyperlink" Target="http://stbnet.stb.com.tn/Infocentre/menucpt.asp?i=20" TargetMode="External"/><Relationship Id="rId7" Type="http://schemas.openxmlformats.org/officeDocument/2006/relationships/hyperlink" Target="http://stbnet.stb.com.tn/Infocentre/menucpt.asp?i=6" TargetMode="External"/><Relationship Id="rId12" Type="http://schemas.openxmlformats.org/officeDocument/2006/relationships/hyperlink" Target="http://stbnet.stb.com.tn/devise/menucptDevise.asp?i=97811" TargetMode="External"/><Relationship Id="rId17" Type="http://schemas.openxmlformats.org/officeDocument/2006/relationships/hyperlink" Target="http://stbnet.stb.com.tn/Infocentre/menucpt.asp?i=16" TargetMode="External"/><Relationship Id="rId25" Type="http://schemas.openxmlformats.org/officeDocument/2006/relationships/hyperlink" Target="http://stbnet.stb.com.tn/Infocentre/menucpt.asp?i=24" TargetMode="External"/><Relationship Id="rId2" Type="http://schemas.openxmlformats.org/officeDocument/2006/relationships/hyperlink" Target="http://stbnet.stb.com.tn/Infocentre/menucpt.asp?i=1" TargetMode="External"/><Relationship Id="rId16" Type="http://schemas.openxmlformats.org/officeDocument/2006/relationships/hyperlink" Target="http://stbnet.stb.com.tn/Infocentre/menucpt.asp?i=15" TargetMode="External"/><Relationship Id="rId20" Type="http://schemas.openxmlformats.org/officeDocument/2006/relationships/hyperlink" Target="http://stbnet.stb.com.tn/Infocentre/menucpt.asp?i=19" TargetMode="External"/><Relationship Id="rId1" Type="http://schemas.openxmlformats.org/officeDocument/2006/relationships/hyperlink" Target="http://stbnet.stb.com.tn/Infocentre/menucpt.asp?i=0" TargetMode="External"/><Relationship Id="rId6" Type="http://schemas.openxmlformats.org/officeDocument/2006/relationships/hyperlink" Target="http://stbnet.stb.com.tn/Infocentre/menucpt.asp?i=5" TargetMode="External"/><Relationship Id="rId11" Type="http://schemas.openxmlformats.org/officeDocument/2006/relationships/hyperlink" Target="http://stbnet.stb.com.tn/devise/menucptDevise.asp?i=97810" TargetMode="External"/><Relationship Id="rId24" Type="http://schemas.openxmlformats.org/officeDocument/2006/relationships/hyperlink" Target="http://stbnet.stb.com.tn/Infocentre/menucpt.asp?i=23" TargetMode="External"/><Relationship Id="rId5" Type="http://schemas.openxmlformats.org/officeDocument/2006/relationships/hyperlink" Target="http://stbnet.stb.com.tn/Infocentre/menucpt.asp?i=4" TargetMode="External"/><Relationship Id="rId15" Type="http://schemas.openxmlformats.org/officeDocument/2006/relationships/hyperlink" Target="http://stbnet.stb.com.tn/Infocentre/menucpt.asp?i=14" TargetMode="External"/><Relationship Id="rId23" Type="http://schemas.openxmlformats.org/officeDocument/2006/relationships/hyperlink" Target="http://stbnet.stb.com.tn/Infocentre/menucpt.asp?i=22" TargetMode="External"/><Relationship Id="rId10" Type="http://schemas.openxmlformats.org/officeDocument/2006/relationships/hyperlink" Target="http://stbnet.stb.com.tn/devise/menucptDevise.asp?i=9789" TargetMode="External"/><Relationship Id="rId19" Type="http://schemas.openxmlformats.org/officeDocument/2006/relationships/hyperlink" Target="http://stbnet.stb.com.tn/devise/menucptDevise.asp?i=84018" TargetMode="External"/><Relationship Id="rId4" Type="http://schemas.openxmlformats.org/officeDocument/2006/relationships/hyperlink" Target="http://stbnet.stb.com.tn/Infocentre/menucpt.asp?i=3" TargetMode="External"/><Relationship Id="rId9" Type="http://schemas.openxmlformats.org/officeDocument/2006/relationships/hyperlink" Target="http://stbnet.stb.com.tn/Infocentre/menucpt.asp?i=8" TargetMode="External"/><Relationship Id="rId14" Type="http://schemas.openxmlformats.org/officeDocument/2006/relationships/hyperlink" Target="http://stbnet.stb.com.tn/Infocentre/menucpt.asp?i=13" TargetMode="External"/><Relationship Id="rId22" Type="http://schemas.openxmlformats.org/officeDocument/2006/relationships/hyperlink" Target="http://stbnet.stb.com.tn/Infocentre/menucpt.asp?i=21"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sheetPr codeName="Feuil1"/>
  <dimension ref="A1:LM282"/>
  <sheetViews>
    <sheetView topLeftCell="B1" zoomScale="70" zoomScaleNormal="70" workbookViewId="0">
      <pane ySplit="2" topLeftCell="A222" activePane="bottomLeft" state="frozen"/>
      <selection activeCell="B1" sqref="B1"/>
      <selection pane="bottomLeft" activeCell="JD261" sqref="JD261:JD268"/>
    </sheetView>
  </sheetViews>
  <sheetFormatPr baseColWidth="10" defaultColWidth="11.42578125" defaultRowHeight="15" outlineLevelCol="2"/>
  <cols>
    <col min="1" max="1" width="6.7109375" bestFit="1" customWidth="1"/>
    <col min="2" max="2" width="26.28515625" bestFit="1" customWidth="1"/>
    <col min="3" max="3" width="16.28515625" hidden="1" customWidth="1" outlineLevel="2"/>
    <col min="4" max="4" width="16.42578125" style="201" hidden="1" customWidth="1" outlineLevel="1" collapsed="1"/>
    <col min="5" max="9" width="14" hidden="1" customWidth="1" outlineLevel="2"/>
    <col min="10" max="10" width="16.42578125" style="201" hidden="1" customWidth="1" outlineLevel="1" collapsed="1"/>
    <col min="11" max="14" width="13.5703125" hidden="1" customWidth="1" outlineLevel="2"/>
    <col min="15" max="15" width="15.7109375" style="201" hidden="1" customWidth="1" outlineLevel="1" collapsed="1"/>
    <col min="16" max="16" width="13.5703125" hidden="1" customWidth="1" outlineLevel="2"/>
    <col min="17" max="17" width="14" hidden="1" customWidth="1" outlineLevel="2"/>
    <col min="18" max="18" width="13.5703125" hidden="1" customWidth="1" outlineLevel="2"/>
    <col min="19" max="20" width="14" hidden="1" customWidth="1" outlineLevel="2"/>
    <col min="21" max="21" width="16" style="201" hidden="1" customWidth="1" outlineLevel="1" collapsed="1"/>
    <col min="22" max="26" width="14" hidden="1" customWidth="1" outlineLevel="2"/>
    <col min="27" max="27" width="16.42578125" style="201" hidden="1" customWidth="1" outlineLevel="1" collapsed="1"/>
    <col min="28" max="28" width="12.5703125" customWidth="1" collapsed="1"/>
    <col min="29" max="33" width="14.42578125" hidden="1" customWidth="1" outlineLevel="2"/>
    <col min="34" max="34" width="17.28515625" hidden="1" customWidth="1" outlineLevel="1" collapsed="1"/>
    <col min="35" max="35" width="14.42578125" hidden="1" customWidth="1" outlineLevel="2"/>
    <col min="36" max="36" width="14" hidden="1" customWidth="1" outlineLevel="2"/>
    <col min="37" max="37" width="13.5703125" hidden="1" customWidth="1" outlineLevel="2"/>
    <col min="38" max="39" width="14" hidden="1" customWidth="1" outlineLevel="2"/>
    <col min="40" max="40" width="16.85546875" hidden="1" customWidth="1" outlineLevel="1" collapsed="1"/>
    <col min="41" max="44" width="14" hidden="1" customWidth="1" outlineLevel="2"/>
    <col min="45" max="45" width="14.42578125" hidden="1" customWidth="1" outlineLevel="2"/>
    <col min="46" max="46" width="16.85546875" hidden="1" customWidth="1" outlineLevel="1" collapsed="1"/>
    <col min="47" max="51" width="14.42578125" hidden="1" customWidth="1" outlineLevel="2"/>
    <col min="52" max="52" width="17.28515625" hidden="1" customWidth="1" outlineLevel="1" collapsed="1"/>
    <col min="53" max="53" width="12.5703125" style="30" customWidth="1" collapsed="1"/>
    <col min="54" max="58" width="14.42578125" style="30" hidden="1" customWidth="1" outlineLevel="2"/>
    <col min="59" max="59" width="17.28515625" style="30" hidden="1" customWidth="1" outlineLevel="1" collapsed="1"/>
    <col min="60" max="60" width="14.42578125" style="30" hidden="1" customWidth="1" outlineLevel="2"/>
    <col min="61" max="61" width="14" style="30" hidden="1" customWidth="1" outlineLevel="2"/>
    <col min="62" max="62" width="13.85546875" style="30" hidden="1" customWidth="1" outlineLevel="2"/>
    <col min="63" max="64" width="14" style="30" hidden="1" customWidth="1" outlineLevel="2"/>
    <col min="65" max="65" width="16.85546875" style="30" hidden="1" customWidth="1" outlineLevel="1" collapsed="1"/>
    <col min="66" max="69" width="14" style="30" hidden="1" customWidth="1" outlineLevel="2"/>
    <col min="70" max="70" width="16.42578125" style="30" hidden="1" customWidth="1" outlineLevel="1" collapsed="1"/>
    <col min="71" max="75" width="14.42578125" style="30" hidden="1" customWidth="1" outlineLevel="2"/>
    <col min="76" max="76" width="17.28515625" style="30" hidden="1" customWidth="1" outlineLevel="1" collapsed="1"/>
    <col min="77" max="77" width="14.42578125" style="30" hidden="1" customWidth="1" outlineLevel="2"/>
    <col min="78" max="78" width="14" style="30" hidden="1" customWidth="1" outlineLevel="2"/>
    <col min="79" max="79" width="16.85546875" style="30" hidden="1" customWidth="1" outlineLevel="1" collapsed="1"/>
    <col min="80" max="80" width="13" style="30" customWidth="1" collapsed="1"/>
    <col min="81" max="81" width="14" style="30" hidden="1" customWidth="1" outlineLevel="2"/>
    <col min="82" max="83" width="14.42578125" style="30" hidden="1" customWidth="1" outlineLevel="2"/>
    <col min="84" max="84" width="16.85546875" style="30" hidden="1" customWidth="1" outlineLevel="1" collapsed="1"/>
    <col min="85" max="87" width="14.42578125" style="30" hidden="1" customWidth="1" outlineLevel="2"/>
    <col min="88" max="88" width="14" style="30" hidden="1" customWidth="1" outlineLevel="2"/>
    <col min="89" max="89" width="16.85546875" style="30" hidden="1" customWidth="1" outlineLevel="1" collapsed="1"/>
    <col min="90" max="94" width="14" style="30" hidden="1" customWidth="1" outlineLevel="2"/>
    <col min="95" max="95" width="16.42578125" style="30" hidden="1" customWidth="1" outlineLevel="1" collapsed="1"/>
    <col min="96" max="96" width="14.42578125" style="30" hidden="1" customWidth="1" outlineLevel="2"/>
    <col min="97" max="97" width="14" style="30" hidden="1" customWidth="1" outlineLevel="2"/>
    <col min="98" max="100" width="14.42578125" style="30" hidden="1" customWidth="1" outlineLevel="2"/>
    <col min="101" max="101" width="17.28515625" style="30" hidden="1" customWidth="1" outlineLevel="1" collapsed="1"/>
    <col min="102" max="105" width="14.42578125" style="30" hidden="1" customWidth="1" outlineLevel="2"/>
    <col min="106" max="106" width="17.28515625" style="30" hidden="1" customWidth="1" outlineLevel="1" collapsed="1"/>
    <col min="107" max="107" width="13.42578125" style="30" customWidth="1" collapsed="1"/>
    <col min="108" max="112" width="14.42578125" style="30" hidden="1" customWidth="1" outlineLevel="2"/>
    <col min="113" max="113" width="16.85546875" style="30" hidden="1" customWidth="1" outlineLevel="1" collapsed="1"/>
    <col min="114" max="114" width="13.85546875" style="30" hidden="1" customWidth="1" outlineLevel="2"/>
    <col min="115" max="118" width="14" style="30" hidden="1" customWidth="1" outlineLevel="2"/>
    <col min="119" max="119" width="16" style="30" hidden="1" customWidth="1" outlineLevel="1"/>
    <col min="120" max="121" width="14" style="30" hidden="1" customWidth="1" outlineLevel="2"/>
    <col min="122" max="122" width="14.42578125" style="30" hidden="1" customWidth="1" outlineLevel="2"/>
    <col min="123" max="123" width="14" style="30" hidden="1" customWidth="1" outlineLevel="2"/>
    <col min="124" max="124" width="14.42578125" style="30" hidden="1" customWidth="1" outlineLevel="2"/>
    <col min="125" max="125" width="16.85546875" style="30" hidden="1" customWidth="1" outlineLevel="1" collapsed="1"/>
    <col min="126" max="130" width="14.42578125" style="30" hidden="1" customWidth="1" outlineLevel="2"/>
    <col min="131" max="131" width="16.85546875" style="30" hidden="1" customWidth="1" outlineLevel="1" collapsed="1"/>
    <col min="132" max="132" width="13.85546875" style="30" customWidth="1" collapsed="1"/>
    <col min="133" max="133" width="14" style="30" hidden="1" customWidth="1" outlineLevel="2"/>
    <col min="134" max="137" width="14.42578125" style="30" hidden="1" customWidth="1" outlineLevel="2"/>
    <col min="138" max="138" width="16.85546875" style="30" hidden="1" customWidth="1" outlineLevel="1" collapsed="1"/>
    <col min="139" max="140" width="14.42578125" style="30" hidden="1" customWidth="1" outlineLevel="2"/>
    <col min="141" max="141" width="14" style="30" hidden="1" customWidth="1" outlineLevel="2"/>
    <col min="142" max="142" width="13.5703125" style="30" hidden="1" customWidth="1" outlineLevel="2"/>
    <col min="143" max="143" width="14" style="30" hidden="1" customWidth="1" outlineLevel="2"/>
    <col min="144" max="144" width="16.85546875" style="30" hidden="1" customWidth="1" outlineLevel="1" collapsed="1"/>
    <col min="145" max="149" width="14" style="30" hidden="1" customWidth="1" outlineLevel="2"/>
    <col min="150" max="150" width="16.42578125" style="30" hidden="1" customWidth="1" outlineLevel="1" collapsed="1"/>
    <col min="151" max="157" width="14.42578125" style="30" hidden="1" customWidth="1" outlineLevel="2"/>
    <col min="158" max="158" width="17.28515625" style="30" hidden="1" customWidth="1" outlineLevel="1" collapsed="1"/>
    <col min="159" max="159" width="13.85546875" style="30" customWidth="1" collapsed="1"/>
    <col min="160" max="160" width="14" style="30" hidden="1" customWidth="1" outlineLevel="2"/>
    <col min="161" max="162" width="14.42578125" style="30" hidden="1" customWidth="1" outlineLevel="2"/>
    <col min="163" max="163" width="16.85546875" style="30" hidden="1" customWidth="1" outlineLevel="1" collapsed="1"/>
    <col min="164" max="167" width="14.42578125" style="30" hidden="1" customWidth="1" outlineLevel="2"/>
    <col min="168" max="168" width="14" style="30" hidden="1" customWidth="1" outlineLevel="2"/>
    <col min="169" max="169" width="16.85546875" style="30" hidden="1" customWidth="1" outlineLevel="1" collapsed="1"/>
    <col min="170" max="170" width="14" style="30" hidden="1" customWidth="1" outlineLevel="2"/>
    <col min="171" max="173" width="14.28515625" style="30" hidden="1" customWidth="1" outlineLevel="2"/>
    <col min="174" max="174" width="16.42578125" style="30" hidden="1" customWidth="1" outlineLevel="1"/>
    <col min="175" max="175" width="14.42578125" style="30" hidden="1" customWidth="1" outlineLevel="2"/>
    <col min="176" max="176" width="14" style="30" hidden="1" customWidth="1" outlineLevel="2"/>
    <col min="177" max="179" width="14.42578125" style="30" hidden="1" customWidth="1" outlineLevel="2"/>
    <col min="180" max="180" width="17.28515625" style="30" hidden="1" customWidth="1" outlineLevel="1" collapsed="1"/>
    <col min="181" max="184" width="14.42578125" style="30" hidden="1" customWidth="1" outlineLevel="2"/>
    <col min="185" max="185" width="14" style="30" hidden="1" customWidth="1" outlineLevel="2"/>
    <col min="186" max="186" width="16.85546875" style="30" hidden="1" customWidth="1" outlineLevel="1"/>
    <col min="187" max="187" width="13.85546875" style="30" customWidth="1" collapsed="1"/>
    <col min="188" max="192" width="14.42578125" style="30" hidden="1" customWidth="1" outlineLevel="2"/>
    <col min="193" max="193" width="16.85546875" style="30" hidden="1" customWidth="1" outlineLevel="1" collapsed="1"/>
    <col min="194" max="194" width="14" style="30" hidden="1" customWidth="1" outlineLevel="2"/>
    <col min="195" max="195" width="13.85546875" style="30" hidden="1" customWidth="1" outlineLevel="2"/>
    <col min="196" max="197" width="14" style="30" hidden="1" customWidth="1" outlineLevel="2"/>
    <col min="198" max="198" width="16.42578125" style="30" hidden="1" customWidth="1" outlineLevel="1" collapsed="1"/>
    <col min="199" max="201" width="14" style="30" hidden="1" customWidth="1" outlineLevel="2"/>
    <col min="202" max="202" width="14.42578125" style="30" hidden="1" customWidth="1" outlineLevel="2"/>
    <col min="203" max="203" width="14" style="30" hidden="1" customWidth="1" outlineLevel="2"/>
    <col min="204" max="204" width="16.85546875" style="30" hidden="1" customWidth="1" outlineLevel="1" collapsed="1"/>
    <col min="205" max="209" width="14.42578125" style="30" hidden="1" customWidth="1" outlineLevel="2"/>
    <col min="210" max="210" width="14" style="30" hidden="1" customWidth="1" outlineLevel="2"/>
    <col min="211" max="211" width="16.85546875" style="30" hidden="1" customWidth="1" outlineLevel="1" collapsed="1"/>
    <col min="212" max="212" width="13.85546875" style="30" customWidth="1" collapsed="1"/>
    <col min="213" max="213" width="14" style="30" hidden="1" customWidth="1" outlineLevel="2"/>
    <col min="214" max="216" width="14.42578125" style="30" hidden="1" customWidth="1" outlineLevel="2"/>
    <col min="217" max="217" width="16.85546875" style="30" hidden="1" customWidth="1" outlineLevel="1" collapsed="1"/>
    <col min="218" max="220" width="14.42578125" style="30" hidden="1" customWidth="1" outlineLevel="2"/>
    <col min="221" max="221" width="14" style="30" hidden="1" customWidth="1" outlineLevel="2"/>
    <col min="222" max="222" width="13.85546875" style="30" hidden="1" customWidth="1" outlineLevel="2"/>
    <col min="223" max="223" width="16.85546875" style="30" hidden="1" customWidth="1" outlineLevel="1" collapsed="1"/>
    <col min="224" max="228" width="14" style="30" hidden="1" customWidth="1" outlineLevel="2"/>
    <col min="229" max="229" width="16.85546875" style="30" hidden="1" customWidth="1" outlineLevel="1" collapsed="1"/>
    <col min="230" max="230" width="14" style="30" hidden="1" customWidth="1" outlineLevel="2"/>
    <col min="231" max="232" width="14.42578125" style="30" hidden="1" customWidth="1" outlineLevel="2"/>
    <col min="233" max="233" width="16.85546875" style="30" hidden="1" customWidth="1" outlineLevel="1" collapsed="1"/>
    <col min="234" max="236" width="14.42578125" style="30" hidden="1" customWidth="1" outlineLevel="2"/>
    <col min="237" max="237" width="17.28515625" style="30" hidden="1" customWidth="1" outlineLevel="1" collapsed="1"/>
    <col min="238" max="238" width="13.85546875" style="30" customWidth="1" collapsed="1"/>
    <col min="239" max="239" width="13.85546875" style="30" hidden="1" customWidth="1" outlineLevel="2"/>
    <col min="240" max="240" width="14" style="30" hidden="1" customWidth="1" outlineLevel="2"/>
    <col min="241" max="241" width="16" style="30" hidden="1" customWidth="1" outlineLevel="1" collapsed="1"/>
    <col min="242" max="246" width="14" style="30" hidden="1" customWidth="1" outlineLevel="2"/>
    <col min="247" max="247" width="15.7109375" style="30" hidden="1" customWidth="1" outlineLevel="1" collapsed="1"/>
    <col min="248" max="249" width="13.85546875" style="30" hidden="1" customWidth="1" outlineLevel="2"/>
    <col min="250" max="250" width="13.5703125" style="30" hidden="1" customWidth="1" outlineLevel="2"/>
    <col min="251" max="251" width="15.7109375" style="30" hidden="1" customWidth="1" outlineLevel="1" collapsed="1"/>
    <col min="252" max="252" width="13.85546875" style="30" hidden="1" customWidth="1" outlineLevel="2"/>
    <col min="253" max="253" width="14" style="30" hidden="1" customWidth="1" outlineLevel="2"/>
    <col min="254" max="254" width="13.85546875" style="30" hidden="1" customWidth="1" outlineLevel="2"/>
    <col min="255" max="256" width="14" style="30" hidden="1" customWidth="1" outlineLevel="2"/>
    <col min="257" max="257" width="16" style="30" hidden="1" customWidth="1" outlineLevel="1" collapsed="1"/>
    <col min="258" max="262" width="14" style="30" hidden="1" customWidth="1" outlineLevel="2"/>
    <col min="263" max="263" width="16" style="30" hidden="1" customWidth="1" outlineLevel="1" collapsed="1"/>
    <col min="264" max="264" width="14.28515625" style="30" bestFit="1" customWidth="1" collapsed="1"/>
    <col min="265" max="269" width="14.28515625" style="30" customWidth="1" outlineLevel="2"/>
    <col min="270" max="270" width="15.28515625" style="30" customWidth="1" outlineLevel="1"/>
    <col min="271" max="275" width="14.28515625" style="30" hidden="1" customWidth="1" outlineLevel="2"/>
    <col min="276" max="276" width="15.28515625" style="30" customWidth="1" outlineLevel="1" collapsed="1"/>
    <col min="277" max="281" width="14.28515625" style="30" hidden="1" customWidth="1" outlineLevel="2"/>
    <col min="282" max="282" width="15.28515625" style="30" customWidth="1" outlineLevel="1" collapsed="1"/>
    <col min="283" max="286" width="14.28515625" style="30" hidden="1" customWidth="1" outlineLevel="2"/>
    <col min="287" max="287" width="13.5703125" style="30" hidden="1" customWidth="1" outlineLevel="2"/>
    <col min="288" max="288" width="14.28515625" style="30" hidden="1" customWidth="1" outlineLevel="2"/>
    <col min="289" max="289" width="15.7109375" style="30" customWidth="1" outlineLevel="1" collapsed="1"/>
    <col min="290" max="290" width="13.85546875" style="30" bestFit="1" customWidth="1"/>
    <col min="291" max="291" width="13.85546875" style="30" hidden="1" customWidth="1" outlineLevel="2"/>
    <col min="292" max="295" width="14" style="30" hidden="1" customWidth="1" outlineLevel="2"/>
    <col min="296" max="296" width="16" style="30" hidden="1" customWidth="1" outlineLevel="1" collapsed="1"/>
    <col min="297" max="298" width="14" style="30" hidden="1" customWidth="1" outlineLevel="2"/>
    <col min="299" max="301" width="13.85546875" style="30" hidden="1" customWidth="1" outlineLevel="2"/>
    <col min="302" max="302" width="16" style="30" hidden="1" customWidth="1" outlineLevel="1" collapsed="1"/>
    <col min="303" max="307" width="13.85546875" style="30" hidden="1" customWidth="1" outlineLevel="2"/>
    <col min="308" max="308" width="15.7109375" style="30" hidden="1" customWidth="1" outlineLevel="1" collapsed="1"/>
    <col min="309" max="313" width="14" style="30" hidden="1" customWidth="1" outlineLevel="2"/>
    <col min="314" max="314" width="16.42578125" style="30" hidden="1" customWidth="1" outlineLevel="1" collapsed="1"/>
    <col min="315" max="316" width="14" style="30" hidden="1" customWidth="1" outlineLevel="2"/>
    <col min="317" max="317" width="13.85546875" style="30" hidden="1" customWidth="1" outlineLevel="2"/>
    <col min="318" max="318" width="16" style="30" hidden="1" customWidth="1" outlineLevel="1" collapsed="1"/>
    <col min="319" max="319" width="14.28515625" style="30" bestFit="1" customWidth="1" collapsed="1"/>
    <col min="320" max="320" width="11.85546875"/>
    <col min="321" max="321" width="15.85546875" bestFit="1" customWidth="1"/>
    <col min="322" max="322" width="1.7109375" style="91" bestFit="1" customWidth="1"/>
    <col min="323" max="324" width="14.85546875" customWidth="1"/>
    <col min="325" max="325" width="15.140625" customWidth="1"/>
  </cols>
  <sheetData>
    <row r="1" spans="2:322" ht="15.75" thickBot="1">
      <c r="C1" s="440" t="s">
        <v>371</v>
      </c>
      <c r="D1" s="990" t="s">
        <v>167</v>
      </c>
      <c r="E1" s="987" t="s">
        <v>319</v>
      </c>
      <c r="F1" s="988"/>
      <c r="G1" s="988"/>
      <c r="H1" s="988"/>
      <c r="I1" s="989"/>
      <c r="J1" s="980" t="s">
        <v>318</v>
      </c>
      <c r="K1" s="955" t="s">
        <v>321</v>
      </c>
      <c r="L1" s="956"/>
      <c r="M1" s="956"/>
      <c r="N1" s="957"/>
      <c r="O1" s="980" t="s">
        <v>320</v>
      </c>
      <c r="P1" s="955" t="s">
        <v>429</v>
      </c>
      <c r="Q1" s="956"/>
      <c r="R1" s="956"/>
      <c r="S1" s="956"/>
      <c r="T1" s="957"/>
      <c r="U1" s="980" t="s">
        <v>322</v>
      </c>
      <c r="V1" s="955" t="s">
        <v>323</v>
      </c>
      <c r="W1" s="956"/>
      <c r="X1" s="956"/>
      <c r="Y1" s="956"/>
      <c r="Z1" s="957"/>
      <c r="AA1" s="980" t="s">
        <v>324</v>
      </c>
      <c r="AB1" s="967">
        <v>42005</v>
      </c>
      <c r="AC1" s="939" t="s">
        <v>325</v>
      </c>
      <c r="AD1" s="940"/>
      <c r="AE1" s="940"/>
      <c r="AF1" s="940"/>
      <c r="AG1" s="941"/>
      <c r="AH1" s="942" t="s">
        <v>433</v>
      </c>
      <c r="AI1" s="939" t="s">
        <v>326</v>
      </c>
      <c r="AJ1" s="940"/>
      <c r="AK1" s="940"/>
      <c r="AL1" s="940"/>
      <c r="AM1" s="941"/>
      <c r="AN1" s="942" t="s">
        <v>434</v>
      </c>
      <c r="AO1" s="939" t="s">
        <v>327</v>
      </c>
      <c r="AP1" s="940"/>
      <c r="AQ1" s="940"/>
      <c r="AR1" s="940"/>
      <c r="AS1" s="941"/>
      <c r="AT1" s="942" t="s">
        <v>435</v>
      </c>
      <c r="AU1" s="939" t="s">
        <v>361</v>
      </c>
      <c r="AV1" s="940"/>
      <c r="AW1" s="940"/>
      <c r="AX1" s="940"/>
      <c r="AY1" s="941"/>
      <c r="AZ1" s="942" t="s">
        <v>436</v>
      </c>
      <c r="BA1" s="967">
        <v>42036</v>
      </c>
      <c r="BB1" s="961" t="s">
        <v>328</v>
      </c>
      <c r="BC1" s="962"/>
      <c r="BD1" s="962"/>
      <c r="BE1" s="962"/>
      <c r="BF1" s="963"/>
      <c r="BG1" s="942" t="s">
        <v>452</v>
      </c>
      <c r="BH1" s="939" t="s">
        <v>329</v>
      </c>
      <c r="BI1" s="940"/>
      <c r="BJ1" s="940"/>
      <c r="BK1" s="940"/>
      <c r="BL1" s="941"/>
      <c r="BM1" s="942" t="s">
        <v>453</v>
      </c>
      <c r="BN1" s="939" t="s">
        <v>330</v>
      </c>
      <c r="BO1" s="940"/>
      <c r="BP1" s="940"/>
      <c r="BQ1" s="941"/>
      <c r="BR1" s="942" t="s">
        <v>454</v>
      </c>
      <c r="BS1" s="939" t="s">
        <v>362</v>
      </c>
      <c r="BT1" s="940"/>
      <c r="BU1" s="940"/>
      <c r="BV1" s="940"/>
      <c r="BW1" s="941"/>
      <c r="BX1" s="942" t="s">
        <v>455</v>
      </c>
      <c r="BY1" s="992"/>
      <c r="BZ1" s="993"/>
      <c r="CA1" s="953" t="s">
        <v>456</v>
      </c>
      <c r="CB1" s="967">
        <v>42064</v>
      </c>
      <c r="CC1" s="961" t="s">
        <v>451</v>
      </c>
      <c r="CD1" s="962"/>
      <c r="CE1" s="962"/>
      <c r="CF1" s="942" t="s">
        <v>450</v>
      </c>
      <c r="CG1" s="961" t="s">
        <v>449</v>
      </c>
      <c r="CH1" s="962"/>
      <c r="CI1" s="962"/>
      <c r="CJ1" s="963"/>
      <c r="CK1" s="942" t="s">
        <v>486</v>
      </c>
      <c r="CL1" s="961" t="s">
        <v>448</v>
      </c>
      <c r="CM1" s="962"/>
      <c r="CN1" s="962"/>
      <c r="CO1" s="962"/>
      <c r="CP1" s="963"/>
      <c r="CQ1" s="942" t="s">
        <v>487</v>
      </c>
      <c r="CR1" s="985" t="s">
        <v>447</v>
      </c>
      <c r="CS1" s="986"/>
      <c r="CT1" s="986"/>
      <c r="CU1" s="986"/>
      <c r="CV1" s="994"/>
      <c r="CW1" s="953" t="s">
        <v>488</v>
      </c>
      <c r="CX1" s="985" t="s">
        <v>334</v>
      </c>
      <c r="CY1" s="986"/>
      <c r="CZ1" s="986"/>
      <c r="DA1" s="986"/>
      <c r="DB1" s="953" t="s">
        <v>489</v>
      </c>
      <c r="DC1" s="967">
        <v>42095</v>
      </c>
      <c r="DD1" s="939" t="s">
        <v>331</v>
      </c>
      <c r="DE1" s="940"/>
      <c r="DF1" s="940"/>
      <c r="DG1" s="940"/>
      <c r="DH1" s="940"/>
      <c r="DI1" s="942" t="s">
        <v>233</v>
      </c>
      <c r="DJ1" s="964" t="s">
        <v>332</v>
      </c>
      <c r="DK1" s="965"/>
      <c r="DL1" s="965"/>
      <c r="DM1" s="965"/>
      <c r="DN1" s="966"/>
      <c r="DO1" s="953" t="s">
        <v>510</v>
      </c>
      <c r="DP1" s="964" t="s">
        <v>333</v>
      </c>
      <c r="DQ1" s="965"/>
      <c r="DR1" s="965"/>
      <c r="DS1" s="965"/>
      <c r="DT1" s="966"/>
      <c r="DU1" s="953" t="s">
        <v>511</v>
      </c>
      <c r="DV1" s="964" t="s">
        <v>363</v>
      </c>
      <c r="DW1" s="965"/>
      <c r="DX1" s="965"/>
      <c r="DY1" s="965"/>
      <c r="DZ1" s="966"/>
      <c r="EA1" s="953" t="s">
        <v>512</v>
      </c>
      <c r="EB1" s="967">
        <v>42125</v>
      </c>
      <c r="EC1" s="961" t="s">
        <v>335</v>
      </c>
      <c r="ED1" s="962"/>
      <c r="EE1" s="962"/>
      <c r="EF1" s="962"/>
      <c r="EG1" s="963"/>
      <c r="EH1" s="942" t="s">
        <v>535</v>
      </c>
      <c r="EI1" s="961" t="s">
        <v>336</v>
      </c>
      <c r="EJ1" s="962"/>
      <c r="EK1" s="962"/>
      <c r="EL1" s="962"/>
      <c r="EM1" s="963"/>
      <c r="EN1" s="942" t="s">
        <v>536</v>
      </c>
      <c r="EO1" s="961" t="s">
        <v>337</v>
      </c>
      <c r="EP1" s="962"/>
      <c r="EQ1" s="962"/>
      <c r="ER1" s="962"/>
      <c r="ES1" s="963"/>
      <c r="ET1" s="942" t="s">
        <v>537</v>
      </c>
      <c r="EU1" s="939" t="s">
        <v>364</v>
      </c>
      <c r="EV1" s="940"/>
      <c r="EW1" s="940"/>
      <c r="EX1" s="940"/>
      <c r="EY1" s="940"/>
      <c r="EZ1" s="940"/>
      <c r="FA1" s="941"/>
      <c r="FB1" s="942" t="s">
        <v>538</v>
      </c>
      <c r="FC1" s="967">
        <v>42156</v>
      </c>
      <c r="FD1" s="950" t="s">
        <v>338</v>
      </c>
      <c r="FE1" s="951"/>
      <c r="FF1" s="952"/>
      <c r="FG1" s="942" t="s">
        <v>339</v>
      </c>
      <c r="FH1" s="961" t="s">
        <v>340</v>
      </c>
      <c r="FI1" s="962"/>
      <c r="FJ1" s="962"/>
      <c r="FK1" s="962"/>
      <c r="FL1" s="963"/>
      <c r="FM1" s="942" t="s">
        <v>562</v>
      </c>
      <c r="FN1" s="961" t="s">
        <v>341</v>
      </c>
      <c r="FO1" s="962"/>
      <c r="FP1" s="962"/>
      <c r="FQ1" s="962"/>
      <c r="FR1" s="942" t="s">
        <v>563</v>
      </c>
      <c r="FS1" s="939" t="s">
        <v>365</v>
      </c>
      <c r="FT1" s="940"/>
      <c r="FU1" s="940"/>
      <c r="FV1" s="940"/>
      <c r="FW1" s="941"/>
      <c r="FX1" s="942" t="s">
        <v>564</v>
      </c>
      <c r="FY1" s="939" t="s">
        <v>565</v>
      </c>
      <c r="FZ1" s="940"/>
      <c r="GA1" s="940"/>
      <c r="GB1" s="940"/>
      <c r="GC1" s="941"/>
      <c r="GD1" s="942" t="s">
        <v>566</v>
      </c>
      <c r="GE1" s="967">
        <v>42186</v>
      </c>
      <c r="GF1" s="950" t="s">
        <v>342</v>
      </c>
      <c r="GG1" s="951"/>
      <c r="GH1" s="951"/>
      <c r="GI1" s="951"/>
      <c r="GJ1" s="951"/>
      <c r="GK1" s="942" t="s">
        <v>254</v>
      </c>
      <c r="GL1" s="950" t="s">
        <v>343</v>
      </c>
      <c r="GM1" s="951"/>
      <c r="GN1" s="951"/>
      <c r="GO1" s="952"/>
      <c r="GP1" s="942" t="s">
        <v>255</v>
      </c>
      <c r="GQ1" s="950" t="s">
        <v>344</v>
      </c>
      <c r="GR1" s="951"/>
      <c r="GS1" s="951"/>
      <c r="GT1" s="951"/>
      <c r="GU1" s="952"/>
      <c r="GV1" s="942" t="s">
        <v>256</v>
      </c>
      <c r="GW1" s="950" t="s">
        <v>366</v>
      </c>
      <c r="GX1" s="951"/>
      <c r="GY1" s="951"/>
      <c r="GZ1" s="951"/>
      <c r="HA1" s="951"/>
      <c r="HB1" s="952"/>
      <c r="HC1" s="942" t="s">
        <v>656</v>
      </c>
      <c r="HD1" s="967">
        <v>42217</v>
      </c>
      <c r="HE1" s="958" t="s">
        <v>345</v>
      </c>
      <c r="HF1" s="959"/>
      <c r="HG1" s="959"/>
      <c r="HH1" s="959"/>
      <c r="HI1" s="953" t="s">
        <v>716</v>
      </c>
      <c r="HJ1" s="958" t="s">
        <v>346</v>
      </c>
      <c r="HK1" s="959"/>
      <c r="HL1" s="959"/>
      <c r="HM1" s="959"/>
      <c r="HN1" s="960"/>
      <c r="HO1" s="953" t="s">
        <v>717</v>
      </c>
      <c r="HP1" s="958" t="s">
        <v>347</v>
      </c>
      <c r="HQ1" s="959"/>
      <c r="HR1" s="959"/>
      <c r="HS1" s="959"/>
      <c r="HT1" s="960"/>
      <c r="HU1" s="953" t="s">
        <v>718</v>
      </c>
      <c r="HV1" s="950" t="s">
        <v>367</v>
      </c>
      <c r="HW1" s="951"/>
      <c r="HX1" s="951"/>
      <c r="HY1" s="942" t="s">
        <v>719</v>
      </c>
      <c r="HZ1" s="950" t="s">
        <v>348</v>
      </c>
      <c r="IA1" s="951"/>
      <c r="IB1" s="952"/>
      <c r="IC1" s="942" t="s">
        <v>258</v>
      </c>
      <c r="ID1" s="967">
        <v>42248</v>
      </c>
      <c r="IE1" s="950" t="s">
        <v>349</v>
      </c>
      <c r="IF1" s="952"/>
      <c r="IG1" s="942" t="s">
        <v>1072</v>
      </c>
      <c r="IH1" s="950" t="s">
        <v>350</v>
      </c>
      <c r="II1" s="951"/>
      <c r="IJ1" s="951"/>
      <c r="IK1" s="951"/>
      <c r="IL1" s="952"/>
      <c r="IM1" s="942" t="s">
        <v>1095</v>
      </c>
      <c r="IN1" s="950" t="s">
        <v>351</v>
      </c>
      <c r="IO1" s="951"/>
      <c r="IP1" s="952"/>
      <c r="IQ1" s="942" t="s">
        <v>1096</v>
      </c>
      <c r="IR1" s="950" t="s">
        <v>368</v>
      </c>
      <c r="IS1" s="951"/>
      <c r="IT1" s="951"/>
      <c r="IU1" s="951"/>
      <c r="IV1" s="952"/>
      <c r="IW1" s="942" t="s">
        <v>1097</v>
      </c>
      <c r="IX1" s="950" t="s">
        <v>352</v>
      </c>
      <c r="IY1" s="951"/>
      <c r="IZ1" s="951"/>
      <c r="JA1" s="951"/>
      <c r="JB1" s="952"/>
      <c r="JC1" s="942" t="s">
        <v>1098</v>
      </c>
      <c r="JD1" s="967">
        <v>42278</v>
      </c>
      <c r="JE1" s="958" t="s">
        <v>353</v>
      </c>
      <c r="JF1" s="959"/>
      <c r="JG1" s="959"/>
      <c r="JH1" s="959"/>
      <c r="JI1" s="960"/>
      <c r="JJ1" s="953" t="s">
        <v>1099</v>
      </c>
      <c r="JK1" s="945" t="s">
        <v>354</v>
      </c>
      <c r="JL1" s="946"/>
      <c r="JM1" s="946"/>
      <c r="JN1" s="946"/>
      <c r="JO1" s="947"/>
      <c r="JP1" s="948" t="s">
        <v>1100</v>
      </c>
      <c r="JQ1" s="945" t="s">
        <v>355</v>
      </c>
      <c r="JR1" s="946"/>
      <c r="JS1" s="946"/>
      <c r="JT1" s="946"/>
      <c r="JU1" s="947"/>
      <c r="JV1" s="948" t="s">
        <v>1101</v>
      </c>
      <c r="JW1" s="945" t="s">
        <v>369</v>
      </c>
      <c r="JX1" s="946"/>
      <c r="JY1" s="946"/>
      <c r="JZ1" s="946"/>
      <c r="KA1" s="946"/>
      <c r="KB1" s="947"/>
      <c r="KC1" s="948" t="s">
        <v>1102</v>
      </c>
      <c r="KD1" s="948">
        <v>42309</v>
      </c>
      <c r="KE1" s="945" t="s">
        <v>356</v>
      </c>
      <c r="KF1" s="946"/>
      <c r="KG1" s="946"/>
      <c r="KH1" s="946"/>
      <c r="KI1" s="947"/>
      <c r="KJ1" s="948" t="s">
        <v>288</v>
      </c>
      <c r="KK1" s="945" t="s">
        <v>357</v>
      </c>
      <c r="KL1" s="946"/>
      <c r="KM1" s="946"/>
      <c r="KN1" s="946"/>
      <c r="KO1" s="947"/>
      <c r="KP1" s="948" t="s">
        <v>358</v>
      </c>
      <c r="KQ1" s="945" t="s">
        <v>359</v>
      </c>
      <c r="KR1" s="946"/>
      <c r="KS1" s="946"/>
      <c r="KT1" s="946"/>
      <c r="KU1" s="947"/>
      <c r="KV1" s="948" t="s">
        <v>289</v>
      </c>
      <c r="KW1" s="945" t="s">
        <v>370</v>
      </c>
      <c r="KX1" s="946"/>
      <c r="KY1" s="946"/>
      <c r="KZ1" s="946"/>
      <c r="LA1" s="947"/>
      <c r="LB1" s="948" t="s">
        <v>290</v>
      </c>
      <c r="LC1" s="945" t="s">
        <v>360</v>
      </c>
      <c r="LD1" s="946"/>
      <c r="LE1" s="946"/>
      <c r="LF1" s="948" t="s">
        <v>291</v>
      </c>
      <c r="LG1" s="948">
        <v>42339</v>
      </c>
    </row>
    <row r="2" spans="2:322" ht="15.75" thickBot="1">
      <c r="C2" s="157">
        <v>42006</v>
      </c>
      <c r="D2" s="991"/>
      <c r="E2" s="157">
        <v>42009</v>
      </c>
      <c r="F2" s="158">
        <v>42010</v>
      </c>
      <c r="G2" s="159">
        <v>42011</v>
      </c>
      <c r="H2" s="159">
        <v>42012</v>
      </c>
      <c r="I2" s="160">
        <v>42013</v>
      </c>
      <c r="J2" s="981"/>
      <c r="K2" s="161">
        <v>42016</v>
      </c>
      <c r="L2" s="162">
        <v>42017</v>
      </c>
      <c r="M2" s="162">
        <v>42019</v>
      </c>
      <c r="N2" s="163">
        <v>42020</v>
      </c>
      <c r="O2" s="981"/>
      <c r="P2" s="164">
        <v>42023</v>
      </c>
      <c r="Q2" s="159">
        <v>42024</v>
      </c>
      <c r="R2" s="159">
        <v>42025</v>
      </c>
      <c r="S2" s="159">
        <v>42026</v>
      </c>
      <c r="T2" s="160">
        <v>42027</v>
      </c>
      <c r="U2" s="981"/>
      <c r="V2" s="165">
        <v>42030</v>
      </c>
      <c r="W2" s="166">
        <v>42031</v>
      </c>
      <c r="X2" s="166">
        <v>42032</v>
      </c>
      <c r="Y2" s="166">
        <v>42033</v>
      </c>
      <c r="Z2" s="160">
        <v>42034</v>
      </c>
      <c r="AA2" s="981"/>
      <c r="AB2" s="968"/>
      <c r="AC2" s="157">
        <v>42037</v>
      </c>
      <c r="AD2" s="158">
        <v>42038</v>
      </c>
      <c r="AE2" s="158">
        <v>42039</v>
      </c>
      <c r="AF2" s="158">
        <v>42040</v>
      </c>
      <c r="AG2" s="496">
        <v>42041</v>
      </c>
      <c r="AH2" s="943"/>
      <c r="AI2" s="157">
        <v>42044</v>
      </c>
      <c r="AJ2" s="158">
        <v>42045</v>
      </c>
      <c r="AK2" s="158">
        <v>42046</v>
      </c>
      <c r="AL2" s="158">
        <v>42047</v>
      </c>
      <c r="AM2" s="496">
        <v>42048</v>
      </c>
      <c r="AN2" s="943"/>
      <c r="AO2" s="157">
        <v>42051</v>
      </c>
      <c r="AP2" s="158">
        <v>42052</v>
      </c>
      <c r="AQ2" s="158">
        <v>42053</v>
      </c>
      <c r="AR2" s="158">
        <v>42054</v>
      </c>
      <c r="AS2" s="496">
        <v>42055</v>
      </c>
      <c r="AT2" s="943"/>
      <c r="AU2" s="157">
        <v>42058</v>
      </c>
      <c r="AV2" s="158">
        <v>42059</v>
      </c>
      <c r="AW2" s="158">
        <v>42060</v>
      </c>
      <c r="AX2" s="158">
        <v>42061</v>
      </c>
      <c r="AY2" s="496">
        <v>42062</v>
      </c>
      <c r="AZ2" s="943"/>
      <c r="BA2" s="968"/>
      <c r="BB2" s="157">
        <v>42065</v>
      </c>
      <c r="BC2" s="158">
        <v>42066</v>
      </c>
      <c r="BD2" s="158">
        <v>42067</v>
      </c>
      <c r="BE2" s="158">
        <v>42068</v>
      </c>
      <c r="BF2" s="496">
        <v>42069</v>
      </c>
      <c r="BG2" s="943"/>
      <c r="BH2" s="561">
        <v>42072</v>
      </c>
      <c r="BI2" s="562">
        <v>42073</v>
      </c>
      <c r="BJ2" s="562">
        <v>42074</v>
      </c>
      <c r="BK2" s="562">
        <v>42075</v>
      </c>
      <c r="BL2" s="563">
        <v>42076</v>
      </c>
      <c r="BM2" s="943"/>
      <c r="BN2" s="561">
        <v>42079</v>
      </c>
      <c r="BO2" s="562">
        <v>42080</v>
      </c>
      <c r="BP2" s="562">
        <v>42081</v>
      </c>
      <c r="BQ2" s="563">
        <v>42082</v>
      </c>
      <c r="BR2" s="943"/>
      <c r="BS2" s="570">
        <v>42086</v>
      </c>
      <c r="BT2" s="571">
        <v>42087</v>
      </c>
      <c r="BU2" s="571">
        <v>42088</v>
      </c>
      <c r="BV2" s="571">
        <v>42089</v>
      </c>
      <c r="BW2" s="571">
        <v>42090</v>
      </c>
      <c r="BX2" s="943"/>
      <c r="BY2" s="578">
        <v>42093</v>
      </c>
      <c r="BZ2" s="579">
        <v>42094</v>
      </c>
      <c r="CA2" s="954"/>
      <c r="CB2" s="968"/>
      <c r="CC2" s="576">
        <v>41730</v>
      </c>
      <c r="CD2" s="577">
        <v>41731</v>
      </c>
      <c r="CE2" s="577">
        <v>41732</v>
      </c>
      <c r="CF2" s="943"/>
      <c r="CG2" s="576">
        <v>42100</v>
      </c>
      <c r="CH2" s="577">
        <v>42101</v>
      </c>
      <c r="CI2" s="577">
        <v>42102</v>
      </c>
      <c r="CJ2" s="577">
        <v>42104</v>
      </c>
      <c r="CK2" s="943"/>
      <c r="CL2" s="580">
        <v>42107</v>
      </c>
      <c r="CM2" s="581">
        <v>42108</v>
      </c>
      <c r="CN2" s="581">
        <v>42109</v>
      </c>
      <c r="CO2" s="581">
        <v>42110</v>
      </c>
      <c r="CP2" s="581">
        <v>42111</v>
      </c>
      <c r="CQ2" s="943"/>
      <c r="CR2" s="578">
        <v>42114</v>
      </c>
      <c r="CS2" s="579">
        <v>42115</v>
      </c>
      <c r="CT2" s="579">
        <v>42116</v>
      </c>
      <c r="CU2" s="579">
        <v>42117</v>
      </c>
      <c r="CV2" s="579">
        <v>42118</v>
      </c>
      <c r="CW2" s="954"/>
      <c r="CX2" s="608">
        <v>42121</v>
      </c>
      <c r="CY2" s="609">
        <v>42122</v>
      </c>
      <c r="CZ2" s="609">
        <v>41758</v>
      </c>
      <c r="DA2" s="610">
        <v>41759</v>
      </c>
      <c r="DB2" s="954"/>
      <c r="DC2" s="968"/>
      <c r="DD2" s="606">
        <v>42128</v>
      </c>
      <c r="DE2" s="607">
        <v>42129</v>
      </c>
      <c r="DF2" s="607">
        <v>42130</v>
      </c>
      <c r="DG2" s="607">
        <v>41766</v>
      </c>
      <c r="DH2" s="607">
        <v>41767</v>
      </c>
      <c r="DI2" s="943"/>
      <c r="DJ2" s="652">
        <v>42135</v>
      </c>
      <c r="DK2" s="653">
        <v>42136</v>
      </c>
      <c r="DL2" s="653">
        <v>42137</v>
      </c>
      <c r="DM2" s="653">
        <v>42138</v>
      </c>
      <c r="DN2" s="653">
        <v>42139</v>
      </c>
      <c r="DO2" s="954"/>
      <c r="DP2" s="652">
        <v>42142</v>
      </c>
      <c r="DQ2" s="653">
        <v>42143</v>
      </c>
      <c r="DR2" s="653">
        <v>42144</v>
      </c>
      <c r="DS2" s="653">
        <v>42145</v>
      </c>
      <c r="DT2" s="653">
        <v>42146</v>
      </c>
      <c r="DU2" s="954"/>
      <c r="DV2" s="652">
        <v>42149</v>
      </c>
      <c r="DW2" s="653">
        <v>42150</v>
      </c>
      <c r="DX2" s="653">
        <v>42151</v>
      </c>
      <c r="DY2" s="653">
        <v>42152</v>
      </c>
      <c r="DZ2" s="653">
        <v>42153</v>
      </c>
      <c r="EA2" s="954"/>
      <c r="EB2" s="968"/>
      <c r="EC2" s="649">
        <v>42156</v>
      </c>
      <c r="ED2" s="650">
        <v>42157</v>
      </c>
      <c r="EE2" s="650">
        <v>42158</v>
      </c>
      <c r="EF2" s="650">
        <v>42159</v>
      </c>
      <c r="EG2" s="651">
        <v>42160</v>
      </c>
      <c r="EH2" s="943"/>
      <c r="EI2" s="661">
        <v>42163</v>
      </c>
      <c r="EJ2" s="662">
        <v>42164</v>
      </c>
      <c r="EK2" s="662">
        <v>42165</v>
      </c>
      <c r="EL2" s="662">
        <v>42166</v>
      </c>
      <c r="EM2" s="663">
        <v>42167</v>
      </c>
      <c r="EN2" s="943"/>
      <c r="EO2" s="657">
        <v>42170</v>
      </c>
      <c r="EP2" s="658">
        <v>42171</v>
      </c>
      <c r="EQ2" s="658">
        <v>42172</v>
      </c>
      <c r="ER2" s="658">
        <v>42173</v>
      </c>
      <c r="ES2" s="659">
        <v>42174</v>
      </c>
      <c r="ET2" s="943"/>
      <c r="EU2" s="657">
        <v>42177</v>
      </c>
      <c r="EV2" s="658">
        <v>42178</v>
      </c>
      <c r="EW2" s="658">
        <v>42179</v>
      </c>
      <c r="EX2" s="658">
        <v>42180</v>
      </c>
      <c r="EY2" s="658">
        <v>42181</v>
      </c>
      <c r="EZ2" s="658">
        <v>42184</v>
      </c>
      <c r="FA2" s="659">
        <v>42185</v>
      </c>
      <c r="FB2" s="943"/>
      <c r="FC2" s="968"/>
      <c r="FD2" s="674">
        <v>42186</v>
      </c>
      <c r="FE2" s="675">
        <v>42187</v>
      </c>
      <c r="FF2" s="675">
        <v>42188</v>
      </c>
      <c r="FG2" s="943"/>
      <c r="FH2" s="674">
        <v>42191</v>
      </c>
      <c r="FI2" s="675">
        <v>42192</v>
      </c>
      <c r="FJ2" s="675">
        <v>42193</v>
      </c>
      <c r="FK2" s="675">
        <v>42194</v>
      </c>
      <c r="FL2" s="676">
        <v>42195</v>
      </c>
      <c r="FM2" s="943"/>
      <c r="FN2" s="674">
        <v>42198</v>
      </c>
      <c r="FO2" s="675">
        <v>42199</v>
      </c>
      <c r="FP2" s="675">
        <v>42200</v>
      </c>
      <c r="FQ2" s="675">
        <v>42201</v>
      </c>
      <c r="FR2" s="943"/>
      <c r="FS2" s="683">
        <v>42205</v>
      </c>
      <c r="FT2" s="684">
        <v>42206</v>
      </c>
      <c r="FU2" s="684">
        <v>42207</v>
      </c>
      <c r="FV2" s="684">
        <v>42208</v>
      </c>
      <c r="FW2" s="685">
        <v>42209</v>
      </c>
      <c r="FX2" s="944"/>
      <c r="FY2" s="714">
        <v>42212</v>
      </c>
      <c r="FZ2" s="715">
        <v>42213</v>
      </c>
      <c r="GA2" s="715">
        <v>42214</v>
      </c>
      <c r="GB2" s="715">
        <v>42215</v>
      </c>
      <c r="GC2" s="716">
        <v>42216</v>
      </c>
      <c r="GD2" s="944"/>
      <c r="GE2" s="968"/>
      <c r="GF2" s="719">
        <v>42219</v>
      </c>
      <c r="GG2" s="720">
        <v>42220</v>
      </c>
      <c r="GH2" s="720">
        <v>42221</v>
      </c>
      <c r="GI2" s="720">
        <v>41857</v>
      </c>
      <c r="GJ2" s="720">
        <v>41858</v>
      </c>
      <c r="GK2" s="943"/>
      <c r="GL2" s="723">
        <v>42226</v>
      </c>
      <c r="GM2" s="724">
        <v>42227</v>
      </c>
      <c r="GN2" s="724">
        <v>42228</v>
      </c>
      <c r="GO2" s="724">
        <v>42230</v>
      </c>
      <c r="GP2" s="943"/>
      <c r="GQ2" s="723">
        <v>42233</v>
      </c>
      <c r="GR2" s="724">
        <v>42234</v>
      </c>
      <c r="GS2" s="724">
        <v>42235</v>
      </c>
      <c r="GT2" s="724">
        <v>42236</v>
      </c>
      <c r="GU2" s="724">
        <v>42237</v>
      </c>
      <c r="GV2" s="943"/>
      <c r="GW2" s="723">
        <v>42240</v>
      </c>
      <c r="GX2" s="724">
        <v>42241</v>
      </c>
      <c r="GY2" s="724">
        <v>42242</v>
      </c>
      <c r="GZ2" s="724">
        <v>42243</v>
      </c>
      <c r="HA2" s="724">
        <v>41879</v>
      </c>
      <c r="HB2" s="724">
        <v>42247</v>
      </c>
      <c r="HC2" s="943"/>
      <c r="HD2" s="968"/>
      <c r="HE2" s="721">
        <v>41883</v>
      </c>
      <c r="HF2" s="722">
        <v>41884</v>
      </c>
      <c r="HG2" s="722">
        <v>41885</v>
      </c>
      <c r="HH2" s="722">
        <v>41886</v>
      </c>
      <c r="HI2" s="954"/>
      <c r="HJ2" s="757">
        <v>42254</v>
      </c>
      <c r="HK2" s="758">
        <v>42255</v>
      </c>
      <c r="HL2" s="758">
        <v>42256</v>
      </c>
      <c r="HM2" s="758">
        <v>42257</v>
      </c>
      <c r="HN2" s="758">
        <v>42258</v>
      </c>
      <c r="HO2" s="954"/>
      <c r="HP2" s="757">
        <v>42261</v>
      </c>
      <c r="HQ2" s="758">
        <v>42262</v>
      </c>
      <c r="HR2" s="758">
        <v>42263</v>
      </c>
      <c r="HS2" s="758">
        <v>42264</v>
      </c>
      <c r="HT2" s="758">
        <v>42265</v>
      </c>
      <c r="HU2" s="954"/>
      <c r="HV2" s="761">
        <v>42268</v>
      </c>
      <c r="HW2" s="762">
        <v>42269</v>
      </c>
      <c r="HX2" s="762">
        <v>42270</v>
      </c>
      <c r="HY2" s="943"/>
      <c r="HZ2" s="761">
        <v>42275</v>
      </c>
      <c r="IA2" s="762">
        <v>42276</v>
      </c>
      <c r="IB2" s="763">
        <v>42277</v>
      </c>
      <c r="IC2" s="943"/>
      <c r="ID2" s="968"/>
      <c r="IE2" s="779">
        <v>42278</v>
      </c>
      <c r="IF2" s="781">
        <v>42279</v>
      </c>
      <c r="IG2" s="943"/>
      <c r="IH2" s="779">
        <v>42282</v>
      </c>
      <c r="II2" s="780">
        <v>42283</v>
      </c>
      <c r="IJ2" s="780">
        <v>42284</v>
      </c>
      <c r="IK2" s="780">
        <v>42285</v>
      </c>
      <c r="IL2" s="780">
        <v>42286</v>
      </c>
      <c r="IM2" s="943"/>
      <c r="IN2" s="779">
        <v>42289</v>
      </c>
      <c r="IO2" s="780">
        <v>42290</v>
      </c>
      <c r="IP2" s="780">
        <v>42293</v>
      </c>
      <c r="IQ2" s="943"/>
      <c r="IR2" s="779">
        <v>42296</v>
      </c>
      <c r="IS2" s="780">
        <v>42297</v>
      </c>
      <c r="IT2" s="780">
        <v>42298</v>
      </c>
      <c r="IU2" s="780">
        <v>42299</v>
      </c>
      <c r="IV2" s="780">
        <v>42300</v>
      </c>
      <c r="IW2" s="943"/>
      <c r="IX2" s="779">
        <v>42303</v>
      </c>
      <c r="IY2" s="780">
        <v>42304</v>
      </c>
      <c r="IZ2" s="780">
        <v>42305</v>
      </c>
      <c r="JA2" s="780">
        <v>42306</v>
      </c>
      <c r="JB2" s="780">
        <v>42307</v>
      </c>
      <c r="JC2" s="943"/>
      <c r="JD2" s="968"/>
      <c r="JE2" s="782">
        <v>42310</v>
      </c>
      <c r="JF2" s="783">
        <v>42311</v>
      </c>
      <c r="JG2" s="783">
        <v>42312</v>
      </c>
      <c r="JH2" s="783">
        <v>42313</v>
      </c>
      <c r="JI2" s="784">
        <v>42314</v>
      </c>
      <c r="JJ2" s="954"/>
      <c r="JK2" s="443">
        <v>42317</v>
      </c>
      <c r="JL2" s="444">
        <v>42318</v>
      </c>
      <c r="JM2" s="444">
        <v>42319</v>
      </c>
      <c r="JN2" s="444">
        <v>42320</v>
      </c>
      <c r="JO2" s="444">
        <v>42321</v>
      </c>
      <c r="JP2" s="949"/>
      <c r="JQ2" s="443">
        <v>42324</v>
      </c>
      <c r="JR2" s="444">
        <v>42325</v>
      </c>
      <c r="JS2" s="444">
        <v>42326</v>
      </c>
      <c r="JT2" s="444">
        <v>42327</v>
      </c>
      <c r="JU2" s="444">
        <v>42328</v>
      </c>
      <c r="JV2" s="949"/>
      <c r="JW2" s="443">
        <v>42331</v>
      </c>
      <c r="JX2" s="444">
        <v>42332</v>
      </c>
      <c r="JY2" s="444">
        <v>42333</v>
      </c>
      <c r="JZ2" s="444">
        <v>42334</v>
      </c>
      <c r="KA2" s="444">
        <v>42335</v>
      </c>
      <c r="KB2" s="444">
        <v>42338</v>
      </c>
      <c r="KC2" s="949"/>
      <c r="KD2" s="949"/>
      <c r="KE2" s="443">
        <v>41974</v>
      </c>
      <c r="KF2" s="444">
        <v>41975</v>
      </c>
      <c r="KG2" s="444">
        <v>41976</v>
      </c>
      <c r="KH2" s="444">
        <v>41977</v>
      </c>
      <c r="KI2" s="445">
        <v>41978</v>
      </c>
      <c r="KJ2" s="949"/>
      <c r="KK2" s="443">
        <v>41981</v>
      </c>
      <c r="KL2" s="444">
        <v>41982</v>
      </c>
      <c r="KM2" s="444">
        <v>41983</v>
      </c>
      <c r="KN2" s="444">
        <v>41984</v>
      </c>
      <c r="KO2" s="444">
        <v>41985</v>
      </c>
      <c r="KP2" s="949"/>
      <c r="KQ2" s="443">
        <v>41988</v>
      </c>
      <c r="KR2" s="444">
        <v>41989</v>
      </c>
      <c r="KS2" s="444">
        <v>41990</v>
      </c>
      <c r="KT2" s="444">
        <v>41991</v>
      </c>
      <c r="KU2" s="444">
        <v>41992</v>
      </c>
      <c r="KV2" s="949"/>
      <c r="KW2" s="443">
        <v>41995</v>
      </c>
      <c r="KX2" s="444">
        <v>41996</v>
      </c>
      <c r="KY2" s="444">
        <v>41997</v>
      </c>
      <c r="KZ2" s="444">
        <v>41998</v>
      </c>
      <c r="LA2" s="444">
        <v>41999</v>
      </c>
      <c r="LB2" s="949"/>
      <c r="LC2" s="443">
        <v>42002</v>
      </c>
      <c r="LD2" s="444">
        <v>42003</v>
      </c>
      <c r="LE2" s="444">
        <v>42004</v>
      </c>
      <c r="LF2" s="949"/>
      <c r="LG2" s="949"/>
    </row>
    <row r="3" spans="2:322" ht="16.5" thickBot="1">
      <c r="B3" s="974" t="s">
        <v>97</v>
      </c>
      <c r="C3" s="975"/>
      <c r="D3" s="975"/>
      <c r="E3" s="975"/>
      <c r="F3" s="975"/>
      <c r="G3" s="975"/>
      <c r="H3" s="975"/>
      <c r="I3" s="975"/>
      <c r="J3" s="975"/>
      <c r="K3" s="975"/>
      <c r="L3" s="975"/>
      <c r="M3" s="975"/>
      <c r="N3" s="975"/>
      <c r="O3" s="975"/>
      <c r="P3" s="975"/>
      <c r="Q3" s="975"/>
      <c r="R3" s="975"/>
      <c r="S3" s="975"/>
      <c r="T3" s="975"/>
      <c r="U3" s="975"/>
      <c r="V3" s="975"/>
      <c r="W3" s="975"/>
      <c r="X3" s="975"/>
      <c r="Y3" s="975"/>
      <c r="Z3" s="975"/>
      <c r="AA3" s="975"/>
      <c r="AB3" s="975"/>
      <c r="AC3" s="975"/>
      <c r="AD3" s="975"/>
      <c r="AE3" s="975"/>
      <c r="AF3" s="975"/>
      <c r="AG3" s="975"/>
      <c r="AH3" s="975"/>
      <c r="AI3" s="975"/>
      <c r="AJ3" s="975"/>
      <c r="AK3" s="975"/>
      <c r="AL3" s="975"/>
      <c r="AM3" s="975"/>
      <c r="AN3" s="975"/>
      <c r="AO3" s="975"/>
      <c r="AP3" s="975"/>
      <c r="AQ3" s="975"/>
      <c r="AR3" s="975"/>
      <c r="AS3" s="975"/>
      <c r="AT3" s="975"/>
      <c r="AU3" s="975"/>
      <c r="AV3" s="975"/>
      <c r="AW3" s="975"/>
      <c r="AX3" s="975"/>
      <c r="AY3" s="975"/>
      <c r="AZ3" s="975"/>
      <c r="BA3" s="975"/>
      <c r="BB3" s="975"/>
      <c r="BC3" s="975"/>
      <c r="BD3" s="975"/>
      <c r="BE3" s="975"/>
      <c r="BF3" s="975"/>
      <c r="BG3" s="975"/>
      <c r="BH3" s="975"/>
      <c r="BI3" s="975"/>
      <c r="BJ3" s="975"/>
      <c r="BK3" s="975"/>
      <c r="BL3" s="975"/>
      <c r="BM3" s="975"/>
      <c r="BN3" s="975"/>
      <c r="BO3" s="975"/>
      <c r="BP3" s="975"/>
      <c r="BQ3" s="975"/>
      <c r="BR3" s="975"/>
      <c r="BS3" s="975"/>
      <c r="BT3" s="975"/>
      <c r="BU3" s="975"/>
      <c r="BV3" s="975"/>
      <c r="BW3" s="975"/>
      <c r="BX3" s="975"/>
      <c r="BY3" s="975"/>
      <c r="BZ3" s="975"/>
      <c r="CA3" s="975"/>
      <c r="CB3" s="975"/>
      <c r="CC3" s="975"/>
      <c r="CD3" s="975"/>
      <c r="CE3" s="975"/>
      <c r="CF3" s="975"/>
      <c r="CG3" s="975"/>
      <c r="CH3" s="975"/>
      <c r="CI3" s="975"/>
      <c r="CJ3" s="975"/>
      <c r="CK3" s="975"/>
      <c r="CL3" s="975"/>
      <c r="CM3" s="975"/>
      <c r="CN3" s="975"/>
      <c r="CO3" s="975"/>
      <c r="CP3" s="975"/>
      <c r="CQ3" s="975"/>
      <c r="CR3" s="975"/>
      <c r="CS3" s="975"/>
      <c r="CT3" s="975"/>
      <c r="CU3" s="975"/>
      <c r="CV3" s="975"/>
      <c r="CW3" s="975"/>
      <c r="CX3" s="975"/>
      <c r="CY3" s="975"/>
      <c r="CZ3" s="975"/>
      <c r="DA3" s="975"/>
      <c r="DB3" s="975"/>
      <c r="DC3" s="975"/>
      <c r="DD3" s="975"/>
      <c r="DE3" s="975"/>
      <c r="DF3" s="975"/>
      <c r="DG3" s="975"/>
      <c r="DH3" s="975"/>
      <c r="DI3" s="975"/>
      <c r="DJ3" s="975"/>
      <c r="DK3" s="975"/>
      <c r="DL3" s="975"/>
      <c r="DM3" s="975"/>
      <c r="DN3" s="975"/>
      <c r="DO3" s="975"/>
      <c r="DP3" s="975"/>
      <c r="DQ3" s="975"/>
      <c r="DR3" s="975"/>
      <c r="DS3" s="975"/>
      <c r="DT3" s="975"/>
      <c r="DU3" s="975"/>
      <c r="DV3" s="975"/>
      <c r="DW3" s="975"/>
      <c r="DX3" s="975"/>
      <c r="DY3" s="975"/>
      <c r="DZ3" s="975"/>
      <c r="EA3" s="975"/>
      <c r="EB3" s="975"/>
      <c r="EC3" s="975"/>
      <c r="ED3" s="975"/>
      <c r="EE3" s="975"/>
      <c r="EF3" s="975"/>
      <c r="EG3" s="975"/>
      <c r="EH3" s="975"/>
      <c r="EI3" s="975"/>
      <c r="EJ3" s="975"/>
      <c r="EK3" s="975"/>
      <c r="EL3" s="975"/>
      <c r="EM3" s="975"/>
      <c r="EN3" s="975"/>
      <c r="EO3" s="975"/>
      <c r="EP3" s="975"/>
      <c r="EQ3" s="975"/>
      <c r="ER3" s="975"/>
      <c r="ES3" s="975"/>
      <c r="ET3" s="975"/>
      <c r="EU3" s="975"/>
      <c r="EV3" s="975"/>
      <c r="EW3" s="975"/>
      <c r="EX3" s="975"/>
      <c r="EY3" s="975"/>
      <c r="EZ3" s="975"/>
      <c r="FA3" s="975"/>
      <c r="FB3" s="975"/>
      <c r="FC3" s="975"/>
      <c r="FD3" s="975"/>
      <c r="FE3" s="975"/>
      <c r="FF3" s="975"/>
      <c r="FG3" s="975"/>
      <c r="FH3" s="975"/>
      <c r="FI3" s="975"/>
      <c r="FJ3" s="975"/>
      <c r="FK3" s="975"/>
      <c r="FL3" s="975"/>
      <c r="FM3" s="975"/>
      <c r="FN3" s="975"/>
      <c r="FO3" s="975"/>
      <c r="FP3" s="975"/>
      <c r="FQ3" s="975"/>
      <c r="FR3" s="975"/>
      <c r="FS3" s="975"/>
      <c r="FT3" s="975"/>
      <c r="FU3" s="975"/>
      <c r="FV3" s="975"/>
      <c r="FW3" s="975"/>
      <c r="FX3" s="975"/>
      <c r="FY3" s="975"/>
      <c r="FZ3" s="975"/>
      <c r="GA3" s="975"/>
      <c r="GB3" s="975"/>
      <c r="GC3" s="975"/>
      <c r="GD3" s="975"/>
      <c r="GE3" s="975"/>
      <c r="GF3" s="975"/>
      <c r="GG3" s="975"/>
      <c r="GH3" s="975"/>
      <c r="GI3" s="975"/>
      <c r="GJ3" s="975"/>
      <c r="GK3" s="975"/>
      <c r="GL3" s="975"/>
      <c r="GM3" s="975"/>
      <c r="GN3" s="975"/>
      <c r="GO3" s="975"/>
      <c r="GP3" s="975"/>
      <c r="GQ3" s="975"/>
      <c r="GR3" s="975"/>
      <c r="GS3" s="975"/>
      <c r="GT3" s="975"/>
      <c r="GU3" s="975"/>
      <c r="GV3" s="975"/>
      <c r="GW3" s="975"/>
      <c r="GX3" s="975"/>
      <c r="GY3" s="975"/>
      <c r="GZ3" s="975"/>
      <c r="HA3" s="975"/>
      <c r="HB3" s="975"/>
      <c r="HC3" s="975"/>
      <c r="HD3" s="975"/>
      <c r="HE3" s="975"/>
      <c r="HF3" s="975"/>
      <c r="HG3" s="975"/>
      <c r="HH3" s="975"/>
      <c r="HI3" s="975"/>
      <c r="HJ3" s="975"/>
      <c r="HK3" s="975"/>
      <c r="HL3" s="975"/>
      <c r="HM3" s="975"/>
      <c r="HN3" s="975"/>
      <c r="HO3" s="975"/>
      <c r="HP3" s="975"/>
      <c r="HQ3" s="975"/>
      <c r="HR3" s="975"/>
      <c r="HS3" s="975"/>
      <c r="HT3" s="975"/>
      <c r="HU3" s="975"/>
      <c r="HV3" s="975"/>
      <c r="HW3" s="975"/>
      <c r="HX3" s="975"/>
      <c r="HY3" s="975"/>
      <c r="HZ3" s="975"/>
      <c r="IA3" s="975"/>
      <c r="IB3" s="975"/>
      <c r="IC3" s="975"/>
      <c r="ID3" s="975"/>
      <c r="IE3" s="975"/>
      <c r="IF3" s="975"/>
      <c r="IG3" s="975"/>
      <c r="IH3" s="975"/>
      <c r="II3" s="975"/>
      <c r="IJ3" s="975"/>
      <c r="IK3" s="975"/>
      <c r="IL3" s="975"/>
      <c r="IM3" s="975"/>
      <c r="IN3" s="975"/>
      <c r="IO3" s="975"/>
      <c r="IP3" s="975"/>
      <c r="IQ3" s="975"/>
      <c r="IR3" s="975"/>
      <c r="IS3" s="975"/>
      <c r="IT3" s="975"/>
      <c r="IU3" s="975"/>
      <c r="IV3" s="975"/>
      <c r="IW3" s="975"/>
      <c r="IX3" s="975"/>
      <c r="IY3" s="975"/>
      <c r="IZ3" s="975"/>
      <c r="JA3" s="975"/>
      <c r="JB3" s="975"/>
      <c r="JC3" s="975"/>
      <c r="JD3" s="975"/>
      <c r="JE3" s="975"/>
      <c r="JF3" s="975"/>
      <c r="JG3" s="975"/>
      <c r="JH3" s="975"/>
      <c r="JI3" s="975"/>
      <c r="JJ3" s="975"/>
      <c r="JK3" s="975"/>
      <c r="JL3" s="975"/>
      <c r="JM3" s="975"/>
      <c r="JN3" s="975"/>
      <c r="JO3" s="975"/>
      <c r="JP3" s="975"/>
      <c r="JQ3" s="975"/>
      <c r="JR3" s="975"/>
      <c r="JS3" s="975"/>
      <c r="JT3" s="975"/>
      <c r="JU3" s="975"/>
      <c r="JV3" s="975"/>
      <c r="JW3" s="975"/>
      <c r="JX3" s="975"/>
      <c r="JY3" s="975"/>
      <c r="JZ3" s="975"/>
      <c r="KA3" s="975"/>
      <c r="KB3" s="975"/>
      <c r="KC3" s="975"/>
      <c r="KD3" s="975"/>
      <c r="KE3" s="975"/>
      <c r="KF3" s="975"/>
      <c r="KG3" s="975"/>
      <c r="KH3" s="975"/>
      <c r="KI3" s="975"/>
      <c r="KJ3" s="975"/>
      <c r="KK3" s="975"/>
      <c r="KL3" s="975"/>
      <c r="KM3" s="975"/>
      <c r="KN3" s="975"/>
      <c r="KO3" s="975"/>
      <c r="KP3" s="975"/>
      <c r="KQ3" s="975"/>
      <c r="KR3" s="975"/>
      <c r="KS3" s="975"/>
      <c r="KT3" s="975"/>
      <c r="KU3" s="975"/>
      <c r="KV3" s="975"/>
      <c r="KW3" s="975"/>
      <c r="KX3" s="975"/>
      <c r="KY3" s="975"/>
      <c r="KZ3" s="975"/>
      <c r="LA3" s="975"/>
      <c r="LB3" s="975"/>
      <c r="LC3" s="975"/>
      <c r="LD3" s="975"/>
      <c r="LE3" s="975"/>
      <c r="LF3" s="975"/>
      <c r="LG3" s="976"/>
    </row>
    <row r="4" spans="2:322" s="30" customFormat="1">
      <c r="B4" s="92" t="s">
        <v>77</v>
      </c>
      <c r="C4" s="171">
        <f>SUM(C5:C37)</f>
        <v>70337.314000000013</v>
      </c>
      <c r="D4" s="171">
        <f>SUM(D5:D37)</f>
        <v>70337.314000000013</v>
      </c>
      <c r="E4" s="171">
        <f t="shared" ref="E4:AA4" si="0">SUM(E5:E37)</f>
        <v>82.009999999999991</v>
      </c>
      <c r="F4" s="171">
        <f t="shared" si="0"/>
        <v>156308.59699999998</v>
      </c>
      <c r="G4" s="171">
        <f t="shared" si="0"/>
        <v>8.8289999999999988</v>
      </c>
      <c r="H4" s="171">
        <f t="shared" si="0"/>
        <v>7.9060000000000006</v>
      </c>
      <c r="I4" s="171">
        <f t="shared" si="0"/>
        <v>145384.86099999998</v>
      </c>
      <c r="J4" s="171">
        <f t="shared" si="0"/>
        <v>301792.20300000004</v>
      </c>
      <c r="K4" s="171">
        <f t="shared" si="0"/>
        <v>65928.364000000001</v>
      </c>
      <c r="L4" s="171">
        <f t="shared" si="0"/>
        <v>150019.38100000002</v>
      </c>
      <c r="M4" s="171">
        <f t="shared" si="0"/>
        <v>61028.123</v>
      </c>
      <c r="N4" s="171">
        <f t="shared" si="0"/>
        <v>579.90300000000002</v>
      </c>
      <c r="O4" s="171">
        <f t="shared" si="0"/>
        <v>277555.77099999995</v>
      </c>
      <c r="P4" s="171">
        <f t="shared" si="0"/>
        <v>40333.288</v>
      </c>
      <c r="Q4" s="171">
        <f t="shared" si="0"/>
        <v>59650.872000000003</v>
      </c>
      <c r="R4" s="171">
        <f t="shared" si="0"/>
        <v>137206.22999999998</v>
      </c>
      <c r="S4" s="171">
        <f t="shared" si="0"/>
        <v>716.01400000000001</v>
      </c>
      <c r="T4" s="171">
        <f t="shared" si="0"/>
        <v>420.05</v>
      </c>
      <c r="U4" s="171">
        <f t="shared" si="0"/>
        <v>238326.45400000003</v>
      </c>
      <c r="V4" s="171">
        <f t="shared" si="0"/>
        <v>368948.01999999996</v>
      </c>
      <c r="W4" s="171">
        <f t="shared" si="0"/>
        <v>227732.652</v>
      </c>
      <c r="X4" s="171">
        <f t="shared" si="0"/>
        <v>102146.36599999999</v>
      </c>
      <c r="Y4" s="171">
        <f t="shared" si="0"/>
        <v>80747.467999999993</v>
      </c>
      <c r="Z4" s="171">
        <f t="shared" si="0"/>
        <v>59143.426000000014</v>
      </c>
      <c r="AA4" s="171">
        <f t="shared" si="0"/>
        <v>838717.93200000003</v>
      </c>
      <c r="AB4" s="233">
        <f t="shared" ref="AB4:AH4" si="1">SUM(AB5:AB37)</f>
        <v>1726729.6739999999</v>
      </c>
      <c r="AC4" s="171">
        <f t="shared" si="1"/>
        <v>171473.85099999997</v>
      </c>
      <c r="AD4" s="240">
        <f t="shared" si="1"/>
        <v>2027.2820000000002</v>
      </c>
      <c r="AE4" s="240">
        <f t="shared" si="1"/>
        <v>942.24599999999987</v>
      </c>
      <c r="AF4" s="240">
        <f t="shared" si="1"/>
        <v>31051.07</v>
      </c>
      <c r="AG4" s="498">
        <f t="shared" si="1"/>
        <v>2995.8350000000005</v>
      </c>
      <c r="AH4" s="197">
        <f t="shared" si="1"/>
        <v>208490.28399999999</v>
      </c>
      <c r="AI4" s="171">
        <f>SUM(AI5:AI30)</f>
        <v>129.95599999999999</v>
      </c>
      <c r="AJ4" s="240">
        <f>SUM(AJ5:AJ30)</f>
        <v>244680.71299999999</v>
      </c>
      <c r="AK4" s="240">
        <f>SUM(AK5:AK30)</f>
        <v>16.88</v>
      </c>
      <c r="AL4" s="240">
        <f>SUM(AL5:AL30)</f>
        <v>350018.76</v>
      </c>
      <c r="AM4" s="498">
        <f>SUM(AM5:AM30)</f>
        <v>25313.739999999998</v>
      </c>
      <c r="AN4" s="197">
        <f t="shared" ref="AN4:AZ4" si="2">SUM(AN5:AN37)</f>
        <v>620206.34399999992</v>
      </c>
      <c r="AO4" s="171">
        <f t="shared" si="2"/>
        <v>44464.405999999995</v>
      </c>
      <c r="AP4" s="240">
        <f t="shared" si="2"/>
        <v>1311.992</v>
      </c>
      <c r="AQ4" s="240">
        <f t="shared" si="2"/>
        <v>56.053999999999995</v>
      </c>
      <c r="AR4" s="240">
        <f t="shared" si="2"/>
        <v>110017.819</v>
      </c>
      <c r="AS4" s="498">
        <f t="shared" si="2"/>
        <v>53643.527999999998</v>
      </c>
      <c r="AT4" s="197">
        <f t="shared" si="2"/>
        <v>209493.79900000003</v>
      </c>
      <c r="AU4" s="171">
        <f t="shared" si="2"/>
        <v>300008.84999999998</v>
      </c>
      <c r="AV4" s="240">
        <f t="shared" si="2"/>
        <v>25.068999999999999</v>
      </c>
      <c r="AW4" s="240">
        <f t="shared" si="2"/>
        <v>10564.864000000001</v>
      </c>
      <c r="AX4" s="240">
        <f t="shared" si="2"/>
        <v>4.13</v>
      </c>
      <c r="AY4" s="240">
        <f t="shared" si="2"/>
        <v>818.03500000000008</v>
      </c>
      <c r="AZ4" s="197">
        <f t="shared" si="2"/>
        <v>311420.94800000003</v>
      </c>
      <c r="BA4" s="233">
        <f>SUM(BA5:BA38)</f>
        <v>1349611.375</v>
      </c>
      <c r="BB4" s="171">
        <f t="shared" ref="BB4:FX4" si="3">SUM(BB5:BB38)</f>
        <v>271322.28000000003</v>
      </c>
      <c r="BC4" s="240">
        <f t="shared" si="3"/>
        <v>84489.107000000004</v>
      </c>
      <c r="BD4" s="240">
        <f t="shared" si="3"/>
        <v>233421.807</v>
      </c>
      <c r="BE4" s="240">
        <f t="shared" si="3"/>
        <v>40025.375999999997</v>
      </c>
      <c r="BF4" s="498">
        <f t="shared" si="3"/>
        <v>428.64800000000002</v>
      </c>
      <c r="BG4" s="197">
        <f t="shared" si="3"/>
        <v>629687.21799999988</v>
      </c>
      <c r="BH4" s="171">
        <f t="shared" si="3"/>
        <v>170407.00700000001</v>
      </c>
      <c r="BI4" s="240">
        <f t="shared" si="3"/>
        <v>525.99400000000003</v>
      </c>
      <c r="BJ4" s="240">
        <f t="shared" si="3"/>
        <v>40632.472000000002</v>
      </c>
      <c r="BK4" s="240">
        <f t="shared" si="3"/>
        <v>22.963999999999999</v>
      </c>
      <c r="BL4" s="498">
        <f t="shared" si="3"/>
        <v>252099.595</v>
      </c>
      <c r="BM4" s="197">
        <f t="shared" si="3"/>
        <v>463688.03199999995</v>
      </c>
      <c r="BN4" s="171">
        <f t="shared" si="3"/>
        <v>80145.407000000007</v>
      </c>
      <c r="BO4" s="240">
        <f t="shared" si="3"/>
        <v>117094.27599999998</v>
      </c>
      <c r="BP4" s="240">
        <f t="shared" si="3"/>
        <v>445.37800000000004</v>
      </c>
      <c r="BQ4" s="498">
        <f t="shared" si="3"/>
        <v>112.48400000000001</v>
      </c>
      <c r="BR4" s="197">
        <f t="shared" si="3"/>
        <v>197797.54500000001</v>
      </c>
      <c r="BS4" s="171">
        <f t="shared" si="3"/>
        <v>200006.36199999999</v>
      </c>
      <c r="BT4" s="240">
        <f t="shared" si="3"/>
        <v>40011.328000000001</v>
      </c>
      <c r="BU4" s="240">
        <f t="shared" si="3"/>
        <v>9628.4550000000017</v>
      </c>
      <c r="BV4" s="240">
        <f t="shared" si="3"/>
        <v>172390.62299999999</v>
      </c>
      <c r="BW4" s="498">
        <f t="shared" si="3"/>
        <v>40502.142</v>
      </c>
      <c r="BX4" s="498">
        <f t="shared" si="3"/>
        <v>462538.91</v>
      </c>
      <c r="BY4" s="171">
        <f>SUM(BY5:BY38)</f>
        <v>14.068999999999999</v>
      </c>
      <c r="BZ4" s="240">
        <f>SUM(BZ5:BZ38)</f>
        <v>300750.99000000005</v>
      </c>
      <c r="CA4" s="197">
        <f t="shared" si="3"/>
        <v>300765.05900000001</v>
      </c>
      <c r="CB4" s="233">
        <f t="shared" si="3"/>
        <v>2054476.7639999997</v>
      </c>
      <c r="CC4" s="171">
        <f t="shared" si="3"/>
        <v>71207.968000000008</v>
      </c>
      <c r="CD4" s="240">
        <f t="shared" si="3"/>
        <v>120988.48600000002</v>
      </c>
      <c r="CE4" s="240">
        <f t="shared" si="3"/>
        <v>79.248999999999995</v>
      </c>
      <c r="CF4" s="197">
        <f t="shared" si="3"/>
        <v>192275.70300000001</v>
      </c>
      <c r="CG4" s="171">
        <f t="shared" si="3"/>
        <v>320429.33399999997</v>
      </c>
      <c r="CH4" s="240">
        <f t="shared" si="3"/>
        <v>40374.057000000001</v>
      </c>
      <c r="CI4" s="240">
        <f t="shared" si="3"/>
        <v>29.027999999999999</v>
      </c>
      <c r="CJ4" s="498">
        <f t="shared" si="3"/>
        <v>87019.847999999984</v>
      </c>
      <c r="CK4" s="197">
        <f t="shared" si="3"/>
        <v>447852.26699999999</v>
      </c>
      <c r="CL4" s="171">
        <f t="shared" si="3"/>
        <v>826.71500000000003</v>
      </c>
      <c r="CM4" s="240">
        <f t="shared" si="3"/>
        <v>3051.06</v>
      </c>
      <c r="CN4" s="240">
        <f t="shared" si="3"/>
        <v>207442.11</v>
      </c>
      <c r="CO4" s="240">
        <f t="shared" si="3"/>
        <v>63096.182000000008</v>
      </c>
      <c r="CP4" s="498">
        <f t="shared" si="3"/>
        <v>15667.424000000003</v>
      </c>
      <c r="CQ4" s="197">
        <f t="shared" si="3"/>
        <v>290083.49100000004</v>
      </c>
      <c r="CR4" s="171">
        <f t="shared" si="3"/>
        <v>1273.4949999999999</v>
      </c>
      <c r="CS4" s="240">
        <f t="shared" si="3"/>
        <v>152240.51500000001</v>
      </c>
      <c r="CT4" s="240">
        <f t="shared" si="3"/>
        <v>20027.257999999998</v>
      </c>
      <c r="CU4" s="240">
        <f t="shared" si="3"/>
        <v>3000.027</v>
      </c>
      <c r="CV4" s="498">
        <f t="shared" si="3"/>
        <v>130275.78899999999</v>
      </c>
      <c r="CW4" s="197">
        <f t="shared" si="3"/>
        <v>306817.08400000003</v>
      </c>
      <c r="CX4" s="171">
        <f t="shared" si="3"/>
        <v>14998.724000000002</v>
      </c>
      <c r="CY4" s="240">
        <f t="shared" si="3"/>
        <v>29.784999999999997</v>
      </c>
      <c r="CZ4" s="240">
        <f t="shared" si="3"/>
        <v>3912.3109999999997</v>
      </c>
      <c r="DA4" s="498">
        <f t="shared" si="3"/>
        <v>281194.41899999999</v>
      </c>
      <c r="DB4" s="197">
        <f t="shared" si="3"/>
        <v>300135.23900000006</v>
      </c>
      <c r="DC4" s="233">
        <f t="shared" si="3"/>
        <v>1537163.7839999991</v>
      </c>
      <c r="DD4" s="171">
        <f t="shared" si="3"/>
        <v>216962.14499999999</v>
      </c>
      <c r="DE4" s="240">
        <f t="shared" si="3"/>
        <v>11085.414000000001</v>
      </c>
      <c r="DF4" s="240">
        <f t="shared" si="3"/>
        <v>61199.017999999996</v>
      </c>
      <c r="DG4" s="240">
        <f t="shared" si="3"/>
        <v>60551.044000000002</v>
      </c>
      <c r="DH4" s="240">
        <f t="shared" si="3"/>
        <v>1708.77</v>
      </c>
      <c r="DI4" s="197">
        <f t="shared" si="3"/>
        <v>351506.391</v>
      </c>
      <c r="DJ4" s="171">
        <f t="shared" si="3"/>
        <v>120265.92099999999</v>
      </c>
      <c r="DK4" s="240">
        <f t="shared" si="3"/>
        <v>1294.72</v>
      </c>
      <c r="DL4" s="240">
        <f t="shared" si="3"/>
        <v>1879.088</v>
      </c>
      <c r="DM4" s="240">
        <f t="shared" si="3"/>
        <v>551.82399999999984</v>
      </c>
      <c r="DN4" s="498">
        <f t="shared" si="3"/>
        <v>53962.880000000005</v>
      </c>
      <c r="DO4" s="197">
        <f t="shared" si="3"/>
        <v>177954.43299999999</v>
      </c>
      <c r="DP4" s="171">
        <f t="shared" si="3"/>
        <v>51762.84</v>
      </c>
      <c r="DQ4" s="240">
        <f t="shared" si="3"/>
        <v>80037.288</v>
      </c>
      <c r="DR4" s="240">
        <f t="shared" si="3"/>
        <v>300012.52100000001</v>
      </c>
      <c r="DS4" s="240">
        <f t="shared" si="3"/>
        <v>6108.1020000000008</v>
      </c>
      <c r="DT4" s="498">
        <f t="shared" si="3"/>
        <v>1672.8509999999999</v>
      </c>
      <c r="DU4" s="197">
        <f t="shared" si="3"/>
        <v>439593.60200000007</v>
      </c>
      <c r="DV4" s="171">
        <f t="shared" si="3"/>
        <v>32135.909</v>
      </c>
      <c r="DW4" s="240">
        <f t="shared" si="3"/>
        <v>10242.947</v>
      </c>
      <c r="DX4" s="240">
        <f t="shared" si="3"/>
        <v>50009.936999999998</v>
      </c>
      <c r="DY4" s="240">
        <f t="shared" si="3"/>
        <v>1526.616</v>
      </c>
      <c r="DZ4" s="498">
        <f t="shared" si="3"/>
        <v>1868.097</v>
      </c>
      <c r="EA4" s="197">
        <f t="shared" si="3"/>
        <v>95783.506000000023</v>
      </c>
      <c r="EB4" s="233">
        <f t="shared" si="3"/>
        <v>1064837.9320000003</v>
      </c>
      <c r="EC4" s="171">
        <f t="shared" si="3"/>
        <v>144926.389</v>
      </c>
      <c r="ED4" s="240">
        <f t="shared" si="3"/>
        <v>113462.383</v>
      </c>
      <c r="EE4" s="240">
        <f t="shared" si="3"/>
        <v>50046.042999999998</v>
      </c>
      <c r="EF4" s="240">
        <f t="shared" si="3"/>
        <v>20011.519</v>
      </c>
      <c r="EG4" s="498">
        <f t="shared" si="3"/>
        <v>2.95</v>
      </c>
      <c r="EH4" s="197">
        <f t="shared" si="3"/>
        <v>328449.28400000004</v>
      </c>
      <c r="EI4" s="171">
        <f t="shared" si="3"/>
        <v>1010.03</v>
      </c>
      <c r="EJ4" s="240">
        <f t="shared" si="3"/>
        <v>159883.84299999999</v>
      </c>
      <c r="EK4" s="240">
        <f t="shared" si="3"/>
        <v>5453.41</v>
      </c>
      <c r="EL4" s="240">
        <f t="shared" si="3"/>
        <v>127775.632</v>
      </c>
      <c r="EM4" s="498">
        <f t="shared" si="3"/>
        <v>19.542000000000002</v>
      </c>
      <c r="EN4" s="197">
        <f t="shared" si="3"/>
        <v>294142.45699999999</v>
      </c>
      <c r="EO4" s="171">
        <f t="shared" si="3"/>
        <v>142886.85500000001</v>
      </c>
      <c r="EP4" s="240">
        <f t="shared" si="3"/>
        <v>22058.880000000001</v>
      </c>
      <c r="EQ4" s="240">
        <f t="shared" si="3"/>
        <v>191.108</v>
      </c>
      <c r="ER4" s="240">
        <f t="shared" si="3"/>
        <v>70652.391999999993</v>
      </c>
      <c r="ES4" s="498">
        <f t="shared" si="3"/>
        <v>603.30499999999995</v>
      </c>
      <c r="ET4" s="197">
        <f t="shared" si="3"/>
        <v>236392.53999999998</v>
      </c>
      <c r="EU4" s="171">
        <f t="shared" si="3"/>
        <v>50004.179000000004</v>
      </c>
      <c r="EV4" s="240">
        <f t="shared" si="3"/>
        <v>66186.023000000001</v>
      </c>
      <c r="EW4" s="240">
        <f t="shared" si="3"/>
        <v>31.887</v>
      </c>
      <c r="EX4" s="240">
        <f t="shared" si="3"/>
        <v>9592.2540000000008</v>
      </c>
      <c r="EY4" s="240">
        <f t="shared" si="3"/>
        <v>100000.614</v>
      </c>
      <c r="EZ4" s="240">
        <f>SUM(EZ5:EZ38)</f>
        <v>21669.803</v>
      </c>
      <c r="FA4" s="498">
        <f t="shared" si="3"/>
        <v>109529.546</v>
      </c>
      <c r="FB4" s="197">
        <f t="shared" si="3"/>
        <v>357014.30599999998</v>
      </c>
      <c r="FC4" s="233">
        <f t="shared" si="3"/>
        <v>1215998.5869999998</v>
      </c>
      <c r="FD4" s="171">
        <f t="shared" si="3"/>
        <v>177353.48499999999</v>
      </c>
      <c r="FE4" s="240">
        <f t="shared" si="3"/>
        <v>55822.26</v>
      </c>
      <c r="FF4" s="498">
        <f t="shared" si="3"/>
        <v>3855.9790000000003</v>
      </c>
      <c r="FG4" s="197">
        <f t="shared" si="3"/>
        <v>237031.72399999996</v>
      </c>
      <c r="FH4" s="171">
        <f t="shared" si="3"/>
        <v>174671.33800000002</v>
      </c>
      <c r="FI4" s="240">
        <f t="shared" si="3"/>
        <v>5.2890000000000006</v>
      </c>
      <c r="FJ4" s="240">
        <f t="shared" si="3"/>
        <v>28.347000000000001</v>
      </c>
      <c r="FK4" s="240">
        <f t="shared" si="3"/>
        <v>110037.878</v>
      </c>
      <c r="FL4" s="498">
        <f t="shared" si="3"/>
        <v>35130.199000000001</v>
      </c>
      <c r="FM4" s="197">
        <f>SUM(FM5:FM38)</f>
        <v>319873.05099999998</v>
      </c>
      <c r="FN4" s="171">
        <f t="shared" si="3"/>
        <v>18933.787</v>
      </c>
      <c r="FO4" s="240">
        <f t="shared" si="3"/>
        <v>669.14499999999998</v>
      </c>
      <c r="FP4" s="240">
        <f t="shared" si="3"/>
        <v>157222.85100000002</v>
      </c>
      <c r="FQ4" s="240">
        <f t="shared" si="3"/>
        <v>26992.686999999998</v>
      </c>
      <c r="FR4" s="197">
        <f t="shared" si="3"/>
        <v>203818.46999999997</v>
      </c>
      <c r="FS4" s="171">
        <f t="shared" si="3"/>
        <v>1036.2369999999999</v>
      </c>
      <c r="FT4" s="240">
        <f t="shared" si="3"/>
        <v>962.12900000000002</v>
      </c>
      <c r="FU4" s="240">
        <f t="shared" si="3"/>
        <v>351.50700000000001</v>
      </c>
      <c r="FV4" s="240">
        <f t="shared" si="3"/>
        <v>179145.57</v>
      </c>
      <c r="FW4" s="498">
        <f t="shared" si="3"/>
        <v>252.28300000000002</v>
      </c>
      <c r="FX4" s="197">
        <f t="shared" si="3"/>
        <v>185399.66800000001</v>
      </c>
      <c r="FY4" s="171">
        <f t="shared" ref="FY4:GD4" si="4">SUM(FY5:FY38)</f>
        <v>10027.32</v>
      </c>
      <c r="FZ4" s="240">
        <f t="shared" si="4"/>
        <v>13488.925000000001</v>
      </c>
      <c r="GA4" s="240">
        <f t="shared" si="4"/>
        <v>25777.004000000001</v>
      </c>
      <c r="GB4" s="240">
        <f t="shared" si="4"/>
        <v>64207.169000000002</v>
      </c>
      <c r="GC4" s="498">
        <f t="shared" si="4"/>
        <v>176923.78200000001</v>
      </c>
      <c r="GD4" s="197">
        <f t="shared" si="4"/>
        <v>290424.2</v>
      </c>
      <c r="GE4" s="233">
        <f>SUM(GE5:GE38)</f>
        <v>1236547.1130000001</v>
      </c>
      <c r="GF4" s="171">
        <f t="shared" ref="GF4:LG4" si="5">SUM(GF5:GF38)</f>
        <v>55040.002</v>
      </c>
      <c r="GG4" s="240">
        <f t="shared" si="5"/>
        <v>3655.799</v>
      </c>
      <c r="GH4" s="240">
        <f t="shared" si="5"/>
        <v>447.15</v>
      </c>
      <c r="GI4" s="240">
        <f t="shared" si="5"/>
        <v>2615.8450000000003</v>
      </c>
      <c r="GJ4" s="240">
        <f t="shared" si="5"/>
        <v>151203.61199999999</v>
      </c>
      <c r="GK4" s="197">
        <f t="shared" si="5"/>
        <v>212962.408</v>
      </c>
      <c r="GL4" s="171">
        <f t="shared" si="5"/>
        <v>5190.1909999999998</v>
      </c>
      <c r="GM4" s="240">
        <f t="shared" si="5"/>
        <v>150097.68600000002</v>
      </c>
      <c r="GN4" s="240">
        <f t="shared" si="5"/>
        <v>30017.936000000002</v>
      </c>
      <c r="GO4" s="498">
        <f t="shared" si="5"/>
        <v>12398.633000000002</v>
      </c>
      <c r="GP4" s="197">
        <f t="shared" si="5"/>
        <v>197704.446</v>
      </c>
      <c r="GQ4" s="171">
        <f t="shared" si="5"/>
        <v>350467.89</v>
      </c>
      <c r="GR4" s="240">
        <f t="shared" si="5"/>
        <v>70708.865000000005</v>
      </c>
      <c r="GS4" s="240">
        <f t="shared" si="5"/>
        <v>69.905000000000001</v>
      </c>
      <c r="GT4" s="240">
        <f t="shared" si="5"/>
        <v>10.645</v>
      </c>
      <c r="GU4" s="498">
        <f t="shared" si="5"/>
        <v>41647.292999999998</v>
      </c>
      <c r="GV4" s="197">
        <f t="shared" si="5"/>
        <v>462904.598</v>
      </c>
      <c r="GW4" s="171">
        <f t="shared" si="5"/>
        <v>2502.306</v>
      </c>
      <c r="GX4" s="240">
        <f t="shared" si="5"/>
        <v>10249.794</v>
      </c>
      <c r="GY4" s="240">
        <f t="shared" si="5"/>
        <v>4.8880000000000008</v>
      </c>
      <c r="GZ4" s="240">
        <f t="shared" si="5"/>
        <v>26.198</v>
      </c>
      <c r="HA4" s="240">
        <f t="shared" si="5"/>
        <v>4.6030000000000006</v>
      </c>
      <c r="HB4" s="498">
        <f t="shared" si="5"/>
        <v>206759.71699999998</v>
      </c>
      <c r="HC4" s="197">
        <f t="shared" si="5"/>
        <v>219547.50599999996</v>
      </c>
      <c r="HD4" s="233">
        <f t="shared" si="5"/>
        <v>1093118.9579999999</v>
      </c>
      <c r="HE4" s="171">
        <f t="shared" si="5"/>
        <v>148285.29799999998</v>
      </c>
      <c r="HF4" s="240">
        <f t="shared" si="5"/>
        <v>138.96200000000002</v>
      </c>
      <c r="HG4" s="240">
        <f t="shared" si="5"/>
        <v>36.49</v>
      </c>
      <c r="HH4" s="240">
        <f t="shared" si="5"/>
        <v>120017.60699999999</v>
      </c>
      <c r="HI4" s="197">
        <f t="shared" si="5"/>
        <v>268478.35700000002</v>
      </c>
      <c r="HJ4" s="171">
        <f t="shared" si="5"/>
        <v>41377.875000000007</v>
      </c>
      <c r="HK4" s="240">
        <f t="shared" si="5"/>
        <v>100499.18400000001</v>
      </c>
      <c r="HL4" s="240">
        <f t="shared" si="5"/>
        <v>341.14800000000002</v>
      </c>
      <c r="HM4" s="240">
        <f t="shared" si="5"/>
        <v>27004.951999999994</v>
      </c>
      <c r="HN4" s="498">
        <f t="shared" si="5"/>
        <v>28224.656000000003</v>
      </c>
      <c r="HO4" s="197">
        <f t="shared" si="5"/>
        <v>197447.81499999997</v>
      </c>
      <c r="HP4" s="171">
        <f t="shared" si="5"/>
        <v>18.644000000000002</v>
      </c>
      <c r="HQ4" s="240">
        <f t="shared" si="5"/>
        <v>160955.91500000001</v>
      </c>
      <c r="HR4" s="240">
        <f t="shared" si="5"/>
        <v>281202.03100000002</v>
      </c>
      <c r="HS4" s="240">
        <f t="shared" si="5"/>
        <v>195.297</v>
      </c>
      <c r="HT4" s="498">
        <f t="shared" si="5"/>
        <v>5.2169999999999996</v>
      </c>
      <c r="HU4" s="197">
        <f t="shared" si="5"/>
        <v>442377.10400000005</v>
      </c>
      <c r="HV4" s="171">
        <f t="shared" si="5"/>
        <v>45009.866999999998</v>
      </c>
      <c r="HW4" s="240">
        <f t="shared" si="5"/>
        <v>671.07</v>
      </c>
      <c r="HX4" s="240">
        <f t="shared" si="5"/>
        <v>642.73599999999999</v>
      </c>
      <c r="HY4" s="197">
        <f t="shared" si="5"/>
        <v>46323.673000000003</v>
      </c>
      <c r="HZ4" s="171">
        <f t="shared" si="5"/>
        <v>159599.26900000003</v>
      </c>
      <c r="IA4" s="240">
        <f>SUM(IA5:IA38)</f>
        <v>1.18</v>
      </c>
      <c r="IB4" s="498">
        <f>SUM(IB5:IB38)</f>
        <v>299527.95299999998</v>
      </c>
      <c r="IC4" s="197">
        <f t="shared" si="5"/>
        <v>459128.40200000006</v>
      </c>
      <c r="ID4" s="233">
        <f t="shared" si="5"/>
        <v>1413755.3509999998</v>
      </c>
      <c r="IE4" s="171">
        <f t="shared" si="5"/>
        <v>104822.739</v>
      </c>
      <c r="IF4" s="498">
        <f t="shared" si="5"/>
        <v>123.33499999999999</v>
      </c>
      <c r="IG4" s="197">
        <f t="shared" si="5"/>
        <v>104946.07399999999</v>
      </c>
      <c r="IH4" s="171">
        <f t="shared" si="5"/>
        <v>8589.9670000000006</v>
      </c>
      <c r="II4" s="240">
        <f t="shared" si="5"/>
        <v>5603.0519999999997</v>
      </c>
      <c r="IJ4" s="240">
        <f t="shared" si="5"/>
        <v>93818.171000000017</v>
      </c>
      <c r="IK4" s="240">
        <f t="shared" si="5"/>
        <v>1012.769</v>
      </c>
      <c r="IL4" s="498">
        <f t="shared" si="5"/>
        <v>38.941000000000003</v>
      </c>
      <c r="IM4" s="197">
        <f t="shared" si="5"/>
        <v>109062.9</v>
      </c>
      <c r="IN4" s="171">
        <f t="shared" si="5"/>
        <v>476344.59899999999</v>
      </c>
      <c r="IO4" s="240">
        <f t="shared" si="5"/>
        <v>56487.531999999999</v>
      </c>
      <c r="IP4" s="498">
        <f t="shared" si="5"/>
        <v>2005.7939999999999</v>
      </c>
      <c r="IQ4" s="197">
        <f t="shared" si="5"/>
        <v>534837.92499999981</v>
      </c>
      <c r="IR4" s="171">
        <f t="shared" si="5"/>
        <v>75569.280999999988</v>
      </c>
      <c r="IS4" s="240">
        <f t="shared" si="5"/>
        <v>4609.8410000000003</v>
      </c>
      <c r="IT4" s="240">
        <f t="shared" si="5"/>
        <v>40148.298999999999</v>
      </c>
      <c r="IU4" s="240">
        <f t="shared" si="5"/>
        <v>202574.489</v>
      </c>
      <c r="IV4" s="498">
        <f t="shared" si="5"/>
        <v>0.59</v>
      </c>
      <c r="IW4" s="197">
        <f t="shared" si="5"/>
        <v>322902.49999999994</v>
      </c>
      <c r="IX4" s="171">
        <f t="shared" si="5"/>
        <v>9595.3240000000005</v>
      </c>
      <c r="IY4" s="240">
        <f t="shared" si="5"/>
        <v>12.486000000000001</v>
      </c>
      <c r="IZ4" s="240">
        <f t="shared" si="5"/>
        <v>28453.565999999999</v>
      </c>
      <c r="JA4" s="240">
        <f t="shared" si="5"/>
        <v>7.4349999999999996</v>
      </c>
      <c r="JB4" s="498">
        <f t="shared" si="5"/>
        <v>328303.91000000003</v>
      </c>
      <c r="JC4" s="197">
        <f t="shared" si="5"/>
        <v>366372.72099999996</v>
      </c>
      <c r="JD4" s="233">
        <f t="shared" si="5"/>
        <v>1438122.1199999999</v>
      </c>
      <c r="JE4" s="171">
        <f t="shared" si="5"/>
        <v>75246.094000000012</v>
      </c>
      <c r="JF4" s="240">
        <f t="shared" si="5"/>
        <v>1484.48</v>
      </c>
      <c r="JG4" s="240">
        <f t="shared" si="5"/>
        <v>12.744999999999999</v>
      </c>
      <c r="JH4" s="240">
        <f t="shared" si="5"/>
        <v>15.036</v>
      </c>
      <c r="JI4" s="498">
        <f t="shared" si="5"/>
        <v>6681.665</v>
      </c>
      <c r="JJ4" s="197">
        <f t="shared" si="5"/>
        <v>83440.020000000019</v>
      </c>
      <c r="JK4" s="428">
        <f t="shared" si="5"/>
        <v>0</v>
      </c>
      <c r="JL4" s="429">
        <f t="shared" si="5"/>
        <v>0</v>
      </c>
      <c r="JM4" s="429">
        <f t="shared" si="5"/>
        <v>0</v>
      </c>
      <c r="JN4" s="429">
        <f t="shared" si="5"/>
        <v>0</v>
      </c>
      <c r="JO4" s="430">
        <f t="shared" si="5"/>
        <v>0</v>
      </c>
      <c r="JP4" s="147">
        <f t="shared" si="5"/>
        <v>0</v>
      </c>
      <c r="JQ4" s="428">
        <f t="shared" si="5"/>
        <v>0</v>
      </c>
      <c r="JR4" s="429">
        <f t="shared" si="5"/>
        <v>0</v>
      </c>
      <c r="JS4" s="429">
        <f t="shared" si="5"/>
        <v>0</v>
      </c>
      <c r="JT4" s="429">
        <f t="shared" si="5"/>
        <v>0</v>
      </c>
      <c r="JU4" s="430">
        <f t="shared" si="5"/>
        <v>0</v>
      </c>
      <c r="JV4" s="147">
        <f t="shared" si="5"/>
        <v>0</v>
      </c>
      <c r="JW4" s="428">
        <f t="shared" si="5"/>
        <v>0</v>
      </c>
      <c r="JX4" s="429">
        <f t="shared" si="5"/>
        <v>0</v>
      </c>
      <c r="JY4" s="429">
        <f t="shared" si="5"/>
        <v>0</v>
      </c>
      <c r="JZ4" s="429">
        <f t="shared" si="5"/>
        <v>0</v>
      </c>
      <c r="KA4" s="429">
        <f t="shared" si="5"/>
        <v>0</v>
      </c>
      <c r="KB4" s="430">
        <f t="shared" si="5"/>
        <v>0</v>
      </c>
      <c r="KC4" s="147">
        <f t="shared" si="5"/>
        <v>0</v>
      </c>
      <c r="KD4" s="147">
        <f t="shared" si="5"/>
        <v>83440.020000000019</v>
      </c>
      <c r="KE4" s="428">
        <f t="shared" si="5"/>
        <v>0</v>
      </c>
      <c r="KF4" s="429">
        <f t="shared" si="5"/>
        <v>0</v>
      </c>
      <c r="KG4" s="429">
        <f t="shared" si="5"/>
        <v>0</v>
      </c>
      <c r="KH4" s="429">
        <f t="shared" si="5"/>
        <v>0</v>
      </c>
      <c r="KI4" s="430">
        <f t="shared" si="5"/>
        <v>0</v>
      </c>
      <c r="KJ4" s="147">
        <f t="shared" si="5"/>
        <v>0</v>
      </c>
      <c r="KK4" s="428">
        <f t="shared" si="5"/>
        <v>0</v>
      </c>
      <c r="KL4" s="429">
        <f t="shared" si="5"/>
        <v>0</v>
      </c>
      <c r="KM4" s="429">
        <f t="shared" si="5"/>
        <v>0</v>
      </c>
      <c r="KN4" s="429">
        <f t="shared" si="5"/>
        <v>0</v>
      </c>
      <c r="KO4" s="430">
        <f t="shared" si="5"/>
        <v>0</v>
      </c>
      <c r="KP4" s="147">
        <f t="shared" si="5"/>
        <v>0</v>
      </c>
      <c r="KQ4" s="428">
        <f t="shared" si="5"/>
        <v>0</v>
      </c>
      <c r="KR4" s="429">
        <f t="shared" si="5"/>
        <v>0</v>
      </c>
      <c r="KS4" s="429">
        <f t="shared" si="5"/>
        <v>0</v>
      </c>
      <c r="KT4" s="429">
        <f t="shared" si="5"/>
        <v>0</v>
      </c>
      <c r="KU4" s="430">
        <f t="shared" si="5"/>
        <v>0</v>
      </c>
      <c r="KV4" s="147">
        <f t="shared" si="5"/>
        <v>0</v>
      </c>
      <c r="KW4" s="428">
        <f t="shared" si="5"/>
        <v>0</v>
      </c>
      <c r="KX4" s="429">
        <f t="shared" si="5"/>
        <v>0</v>
      </c>
      <c r="KY4" s="429">
        <f t="shared" si="5"/>
        <v>0</v>
      </c>
      <c r="KZ4" s="429">
        <f t="shared" si="5"/>
        <v>0</v>
      </c>
      <c r="LA4" s="430">
        <f t="shared" si="5"/>
        <v>0</v>
      </c>
      <c r="LB4" s="147">
        <f t="shared" si="5"/>
        <v>0</v>
      </c>
      <c r="LC4" s="428">
        <f t="shared" si="5"/>
        <v>0</v>
      </c>
      <c r="LD4" s="429">
        <f t="shared" si="5"/>
        <v>0</v>
      </c>
      <c r="LE4" s="430">
        <f t="shared" si="5"/>
        <v>0</v>
      </c>
      <c r="LF4" s="147">
        <f t="shared" si="5"/>
        <v>0</v>
      </c>
      <c r="LG4" s="147">
        <f t="shared" si="5"/>
        <v>1241161</v>
      </c>
      <c r="LJ4" s="201"/>
    </row>
    <row r="5" spans="2:322">
      <c r="B5" s="93" t="s">
        <v>78</v>
      </c>
      <c r="C5" s="167"/>
      <c r="D5" s="181">
        <f>SUM(C5:C5)</f>
        <v>0</v>
      </c>
      <c r="E5" s="167"/>
      <c r="F5" s="177"/>
      <c r="G5" s="177"/>
      <c r="H5" s="177"/>
      <c r="I5" s="178"/>
      <c r="J5" s="181">
        <f t="shared" ref="J5:J28" si="6">SUM(E5:I5)</f>
        <v>0</v>
      </c>
      <c r="K5" s="167"/>
      <c r="L5" s="177"/>
      <c r="M5" s="177"/>
      <c r="N5" s="178"/>
      <c r="O5" s="181">
        <f t="shared" ref="O5:O12" si="7">SUM(K5:N5)</f>
        <v>0</v>
      </c>
      <c r="P5" s="167"/>
      <c r="Q5" s="177"/>
      <c r="R5" s="177"/>
      <c r="S5" s="177"/>
      <c r="T5" s="178"/>
      <c r="U5" s="168">
        <f>SUM(P5:T5)</f>
        <v>0</v>
      </c>
      <c r="V5" s="167"/>
      <c r="W5" s="177"/>
      <c r="X5" s="177"/>
      <c r="Y5" s="177"/>
      <c r="Z5" s="177"/>
      <c r="AA5" s="168">
        <f>SUM(V5:Z5)</f>
        <v>0</v>
      </c>
      <c r="AB5" s="168">
        <f t="shared" ref="AB5:AB37" si="8">AA5+U5+O5+J5+D5</f>
        <v>0</v>
      </c>
      <c r="AC5" s="242"/>
      <c r="AD5" s="224"/>
      <c r="AE5" s="224"/>
      <c r="AF5" s="224"/>
      <c r="AG5" s="243"/>
      <c r="AH5" s="168">
        <f>SUM(AC5:AG5)</f>
        <v>0</v>
      </c>
      <c r="AI5" s="242"/>
      <c r="AJ5" s="224"/>
      <c r="AK5" s="224"/>
      <c r="AL5" s="224"/>
      <c r="AM5" s="243"/>
      <c r="AN5" s="168">
        <f t="shared" ref="AN5:AN36" si="9">SUM(AI5:AM5)</f>
        <v>0</v>
      </c>
      <c r="AO5" s="242"/>
      <c r="AP5" s="224"/>
      <c r="AQ5" s="224"/>
      <c r="AR5" s="224"/>
      <c r="AS5" s="243"/>
      <c r="AT5" s="168">
        <f>SUM(AO5:AS5)</f>
        <v>0</v>
      </c>
      <c r="AU5" s="242"/>
      <c r="AV5" s="224"/>
      <c r="AW5" s="224"/>
      <c r="AX5" s="224"/>
      <c r="AY5" s="243"/>
      <c r="AZ5" s="168">
        <f>SUM(AU5:AY5)</f>
        <v>0</v>
      </c>
      <c r="BA5" s="168">
        <f>AZ5+AT5+AN5+AH5</f>
        <v>0</v>
      </c>
      <c r="BB5" s="242"/>
      <c r="BC5" s="224"/>
      <c r="BD5" s="224"/>
      <c r="BE5" s="224"/>
      <c r="BF5" s="243"/>
      <c r="BG5" s="168">
        <f>SUM(BB5:BF5)</f>
        <v>0</v>
      </c>
      <c r="BH5" s="242"/>
      <c r="BI5" s="224"/>
      <c r="BJ5" s="224"/>
      <c r="BK5" s="224"/>
      <c r="BL5" s="243"/>
      <c r="BM5" s="168">
        <f t="shared" ref="BM5:BM37" si="10">SUM(BH5:BL5)</f>
        <v>0</v>
      </c>
      <c r="BN5" s="242"/>
      <c r="BO5" s="224"/>
      <c r="BP5" s="224"/>
      <c r="BQ5" s="243"/>
      <c r="BR5" s="168">
        <f t="shared" ref="BR5:BR37" si="11">SUM(BN5:BQ5)</f>
        <v>0</v>
      </c>
      <c r="BS5" s="242"/>
      <c r="BT5" s="224"/>
      <c r="BU5" s="224"/>
      <c r="BV5" s="224"/>
      <c r="BW5" s="243"/>
      <c r="BX5" s="239">
        <f t="shared" ref="BX5:BX37" si="12">SUM(BS5:BW5)</f>
        <v>0</v>
      </c>
      <c r="BY5" s="242"/>
      <c r="BZ5" s="224"/>
      <c r="CA5" s="168">
        <f t="shared" ref="CA5:CA37" si="13">SUM(BY5:BZ5)</f>
        <v>0</v>
      </c>
      <c r="CB5" s="168">
        <f t="shared" ref="CB5:CB37" si="14">CA5+BX5+BR5+BM5+BG5</f>
        <v>0</v>
      </c>
      <c r="CC5" s="242"/>
      <c r="CD5" s="224"/>
      <c r="CE5" s="224"/>
      <c r="CF5" s="168">
        <f t="shared" ref="CF5:CF37" si="15">SUM(CC5:CE5)</f>
        <v>0</v>
      </c>
      <c r="CG5" s="242"/>
      <c r="CH5" s="224"/>
      <c r="CI5" s="224"/>
      <c r="CJ5" s="243"/>
      <c r="CK5" s="168">
        <f>SUM(CG5:CJ5)</f>
        <v>0</v>
      </c>
      <c r="CL5" s="242"/>
      <c r="CM5" s="224"/>
      <c r="CN5" s="224"/>
      <c r="CO5" s="224"/>
      <c r="CP5" s="243"/>
      <c r="CQ5" s="168">
        <f>SUM(CL5:CP5)</f>
        <v>0</v>
      </c>
      <c r="CR5" s="242"/>
      <c r="CS5" s="224"/>
      <c r="CT5" s="224"/>
      <c r="CU5" s="224"/>
      <c r="CV5" s="243"/>
      <c r="CW5" s="168">
        <f t="shared" ref="CW5:CW37" si="16">SUM(CR5:CV5)</f>
        <v>0</v>
      </c>
      <c r="CX5" s="242"/>
      <c r="CY5" s="224"/>
      <c r="CZ5" s="224"/>
      <c r="DA5" s="243"/>
      <c r="DB5" s="168">
        <f t="shared" ref="DB5:DB37" si="17">SUM(CX5:DA5)</f>
        <v>0</v>
      </c>
      <c r="DC5" s="168">
        <f t="shared" ref="DC5:DC37" si="18">DB5+CW5+CQ5+CK5+CF5</f>
        <v>0</v>
      </c>
      <c r="DD5" s="242"/>
      <c r="DE5" s="224"/>
      <c r="DF5" s="224"/>
      <c r="DG5" s="224"/>
      <c r="DH5" s="224"/>
      <c r="DI5" s="168">
        <f>SUM(DD5:DH5)</f>
        <v>0</v>
      </c>
      <c r="DJ5" s="242"/>
      <c r="DK5" s="224"/>
      <c r="DL5" s="224"/>
      <c r="DM5" s="224"/>
      <c r="DN5" s="243"/>
      <c r="DO5" s="168">
        <f>SUM(DJ5:DN5)</f>
        <v>0</v>
      </c>
      <c r="DP5" s="242"/>
      <c r="DQ5" s="224"/>
      <c r="DR5" s="224"/>
      <c r="DS5" s="224"/>
      <c r="DT5" s="243"/>
      <c r="DU5" s="168">
        <f>SUM(DP5:DT5)</f>
        <v>0</v>
      </c>
      <c r="DV5" s="242"/>
      <c r="DW5" s="224"/>
      <c r="DX5" s="224"/>
      <c r="DY5" s="224"/>
      <c r="DZ5" s="243"/>
      <c r="EA5" s="168">
        <f t="shared" ref="EA5:EA37" si="19">SUM(DV5:DZ5)</f>
        <v>0</v>
      </c>
      <c r="EB5" s="168">
        <f>DI5+DO5+DU5+EA5</f>
        <v>0</v>
      </c>
      <c r="EC5" s="242"/>
      <c r="ED5" s="224"/>
      <c r="EE5" s="224"/>
      <c r="EF5" s="224"/>
      <c r="EG5" s="243"/>
      <c r="EH5" s="168">
        <f>SUM(EC5:EG5)</f>
        <v>0</v>
      </c>
      <c r="EI5" s="242"/>
      <c r="EJ5" s="224"/>
      <c r="EK5" s="224"/>
      <c r="EL5" s="224"/>
      <c r="EM5" s="243"/>
      <c r="EN5" s="168">
        <f>SUM(EI5:EM5)</f>
        <v>0</v>
      </c>
      <c r="EO5" s="242"/>
      <c r="EP5" s="224"/>
      <c r="EQ5" s="224"/>
      <c r="ER5" s="224"/>
      <c r="ES5" s="243"/>
      <c r="ET5" s="168">
        <f>SUM(EO5:ES5)</f>
        <v>0</v>
      </c>
      <c r="EU5" s="242"/>
      <c r="EV5" s="224"/>
      <c r="EW5" s="224"/>
      <c r="EX5" s="224"/>
      <c r="EY5" s="224"/>
      <c r="EZ5" s="224"/>
      <c r="FA5" s="243"/>
      <c r="FB5" s="168">
        <f>SUM(EU5:FA5)</f>
        <v>0</v>
      </c>
      <c r="FC5" s="168">
        <f>EH5+EN5+ET5+FB5</f>
        <v>0</v>
      </c>
      <c r="FD5" s="242"/>
      <c r="FE5" s="224"/>
      <c r="FF5" s="243"/>
      <c r="FG5" s="168">
        <f>SUM(FD5:FF5)</f>
        <v>0</v>
      </c>
      <c r="FH5" s="242"/>
      <c r="FI5" s="224"/>
      <c r="FJ5" s="224"/>
      <c r="FK5" s="224"/>
      <c r="FL5" s="243"/>
      <c r="FM5" s="168">
        <f>SUM(FH5:FL5)</f>
        <v>0</v>
      </c>
      <c r="FN5" s="242"/>
      <c r="FO5" s="224"/>
      <c r="FP5" s="224"/>
      <c r="FQ5" s="224"/>
      <c r="FR5" s="168">
        <f>SUM(FN5:FQ5)</f>
        <v>0</v>
      </c>
      <c r="FS5" s="242"/>
      <c r="FT5" s="224"/>
      <c r="FU5" s="224"/>
      <c r="FV5" s="224"/>
      <c r="FW5" s="243"/>
      <c r="FX5" s="168">
        <f>SUM(FS5:FW5)</f>
        <v>0</v>
      </c>
      <c r="FY5" s="242"/>
      <c r="FZ5" s="224"/>
      <c r="GA5" s="224"/>
      <c r="GB5" s="224"/>
      <c r="GC5" s="243"/>
      <c r="GD5" s="168">
        <f>SUM(FY5:GC5)</f>
        <v>0</v>
      </c>
      <c r="GE5" s="168">
        <f t="shared" ref="GE5:GE37" si="20">FG5+FM5+FR5+FX5+GD5</f>
        <v>0</v>
      </c>
      <c r="GF5" s="242"/>
      <c r="GG5" s="224"/>
      <c r="GH5" s="224"/>
      <c r="GI5" s="224"/>
      <c r="GJ5" s="224"/>
      <c r="GK5" s="168">
        <f>SUM(GF5:GJ5)</f>
        <v>0</v>
      </c>
      <c r="GL5" s="242"/>
      <c r="GM5" s="224"/>
      <c r="GN5" s="224"/>
      <c r="GO5" s="243"/>
      <c r="GP5" s="168">
        <f>SUM(GL5:GO5)</f>
        <v>0</v>
      </c>
      <c r="GQ5" s="242"/>
      <c r="GR5" s="224"/>
      <c r="GS5" s="224"/>
      <c r="GT5" s="224"/>
      <c r="GU5" s="243"/>
      <c r="GV5" s="168">
        <f>SUM(GQ5:GU5)</f>
        <v>0</v>
      </c>
      <c r="GW5" s="242"/>
      <c r="GX5" s="224"/>
      <c r="GY5" s="224"/>
      <c r="GZ5" s="224"/>
      <c r="HA5" s="224"/>
      <c r="HB5" s="243"/>
      <c r="HC5" s="168">
        <f>SUM(GW5:HB5)</f>
        <v>0</v>
      </c>
      <c r="HD5" s="168">
        <f t="shared" ref="HD5:HD37" si="21">GK5+GP5+GV5+HC5</f>
        <v>0</v>
      </c>
      <c r="HE5" s="242"/>
      <c r="HF5" s="224"/>
      <c r="HG5" s="224"/>
      <c r="HH5" s="224"/>
      <c r="HI5" s="168">
        <f>SUM(HE5:HH5)</f>
        <v>0</v>
      </c>
      <c r="HJ5" s="242"/>
      <c r="HK5" s="224"/>
      <c r="HL5" s="224"/>
      <c r="HM5" s="224"/>
      <c r="HN5" s="243"/>
      <c r="HO5" s="168">
        <f>SUM(HJ5:HN5)</f>
        <v>0</v>
      </c>
      <c r="HP5" s="242"/>
      <c r="HQ5" s="224"/>
      <c r="HR5" s="224"/>
      <c r="HS5" s="224"/>
      <c r="HT5" s="243"/>
      <c r="HU5" s="168">
        <f>SUM(HP5:HT5)</f>
        <v>0</v>
      </c>
      <c r="HV5" s="242"/>
      <c r="HW5" s="224"/>
      <c r="HX5" s="224"/>
      <c r="HY5" s="168">
        <f t="shared" ref="HY5:HY37" si="22">SUM(HV5:HX5)</f>
        <v>0</v>
      </c>
      <c r="HZ5" s="242"/>
      <c r="IA5" s="224"/>
      <c r="IB5" s="243"/>
      <c r="IC5" s="168">
        <f>SUM(HZ5:IB5)</f>
        <v>0</v>
      </c>
      <c r="ID5" s="168">
        <f t="shared" ref="ID5:ID37" si="23">HI5+HO5+HU5+HY5+IC5</f>
        <v>0</v>
      </c>
      <c r="IE5" s="242"/>
      <c r="IF5" s="243"/>
      <c r="IG5" s="168">
        <f>SUM(IE5:IF5)</f>
        <v>0</v>
      </c>
      <c r="IH5" s="242"/>
      <c r="II5" s="224"/>
      <c r="IJ5" s="224"/>
      <c r="IK5" s="224"/>
      <c r="IL5" s="243"/>
      <c r="IM5" s="168">
        <f>SUM(IH5:IL5)</f>
        <v>0</v>
      </c>
      <c r="IN5" s="242"/>
      <c r="IO5" s="224"/>
      <c r="IP5" s="243"/>
      <c r="IQ5" s="168">
        <f>SUM(IN5:IP5)</f>
        <v>0</v>
      </c>
      <c r="IR5" s="242"/>
      <c r="IS5" s="224"/>
      <c r="IT5" s="224"/>
      <c r="IU5" s="224"/>
      <c r="IV5" s="243"/>
      <c r="IW5" s="168">
        <f>SUM(IR5:IV5)</f>
        <v>0</v>
      </c>
      <c r="IX5" s="242"/>
      <c r="IY5" s="224"/>
      <c r="IZ5" s="224"/>
      <c r="JA5" s="224"/>
      <c r="JB5" s="243"/>
      <c r="JC5" s="168">
        <f>SUM(IX5:JB5)</f>
        <v>0</v>
      </c>
      <c r="JD5" s="168">
        <f t="shared" ref="JD5:JD36" si="24">IG5+IM5+IQ5+IW5+JC5</f>
        <v>0</v>
      </c>
      <c r="JE5" s="242"/>
      <c r="JF5" s="224"/>
      <c r="JG5" s="224"/>
      <c r="JH5" s="224"/>
      <c r="JI5" s="243"/>
      <c r="JJ5" s="168">
        <f>SUM(JE5:JI5)</f>
        <v>0</v>
      </c>
      <c r="JK5" s="242"/>
      <c r="JL5" s="224"/>
      <c r="JM5" s="224"/>
      <c r="JN5" s="224"/>
      <c r="JO5" s="243"/>
      <c r="JP5" s="168">
        <f>SUM(JK5:JO5)</f>
        <v>0</v>
      </c>
      <c r="JQ5" s="242"/>
      <c r="JR5" s="224"/>
      <c r="JS5" s="224"/>
      <c r="JT5" s="224"/>
      <c r="JU5" s="243"/>
      <c r="JV5" s="168">
        <f>SUM(JQ5:JU5)</f>
        <v>0</v>
      </c>
      <c r="JW5" s="242"/>
      <c r="JX5" s="224"/>
      <c r="JY5" s="224"/>
      <c r="JZ5" s="224"/>
      <c r="KA5" s="224"/>
      <c r="KB5" s="243"/>
      <c r="KC5" s="168">
        <f>SUM(JW5:KB5)</f>
        <v>0</v>
      </c>
      <c r="KD5" s="168">
        <f>JJ5+JP5+JV5+KC5</f>
        <v>0</v>
      </c>
      <c r="KE5" s="242"/>
      <c r="KF5" s="224"/>
      <c r="KG5" s="224"/>
      <c r="KH5" s="224"/>
      <c r="KI5" s="243"/>
      <c r="KJ5" s="168">
        <f>SUM(KE5:KI5)</f>
        <v>0</v>
      </c>
      <c r="KK5" s="242"/>
      <c r="KL5" s="224"/>
      <c r="KM5" s="224"/>
      <c r="KN5" s="224"/>
      <c r="KO5" s="243"/>
      <c r="KP5" s="168">
        <f>SUM(KK5:KO5)</f>
        <v>0</v>
      </c>
      <c r="KQ5" s="242"/>
      <c r="KR5" s="224"/>
      <c r="KS5" s="224"/>
      <c r="KT5" s="224"/>
      <c r="KU5" s="243"/>
      <c r="KV5" s="168">
        <f>SUM(KQ5:KU5)</f>
        <v>0</v>
      </c>
      <c r="KW5" s="242"/>
      <c r="KX5" s="224"/>
      <c r="KY5" s="224"/>
      <c r="KZ5" s="224"/>
      <c r="LA5" s="243"/>
      <c r="LB5" s="168">
        <f>SUM(KW5:LA5)</f>
        <v>0</v>
      </c>
      <c r="LC5" s="242"/>
      <c r="LD5" s="224"/>
      <c r="LE5" s="243"/>
      <c r="LF5" s="168">
        <f>SUM(LC5:LE5)</f>
        <v>0</v>
      </c>
      <c r="LG5" s="168">
        <f>LF5+LB5+KV5+KP5+KJ5</f>
        <v>0</v>
      </c>
    </row>
    <row r="6" spans="2:322">
      <c r="B6" s="93" t="s">
        <v>79</v>
      </c>
      <c r="C6" s="167"/>
      <c r="D6" s="181">
        <f>SUM(C6:C6)</f>
        <v>0</v>
      </c>
      <c r="E6" s="167"/>
      <c r="F6" s="177"/>
      <c r="G6" s="177"/>
      <c r="H6" s="177"/>
      <c r="I6" s="178"/>
      <c r="J6" s="181">
        <f t="shared" si="6"/>
        <v>0</v>
      </c>
      <c r="K6" s="167"/>
      <c r="L6" s="177"/>
      <c r="M6" s="177"/>
      <c r="N6" s="178"/>
      <c r="O6" s="181">
        <f t="shared" si="7"/>
        <v>0</v>
      </c>
      <c r="P6" s="167"/>
      <c r="Q6" s="177"/>
      <c r="R6" s="177"/>
      <c r="S6" s="177"/>
      <c r="T6" s="178"/>
      <c r="U6" s="168">
        <f t="shared" ref="U6:U37" si="25">SUM(P6:T6)</f>
        <v>0</v>
      </c>
      <c r="V6" s="167"/>
      <c r="W6" s="177"/>
      <c r="X6" s="177"/>
      <c r="Y6" s="177"/>
      <c r="Z6" s="177"/>
      <c r="AA6" s="168">
        <f t="shared" ref="AA6:AA37" si="26">SUM(V6:Z6)</f>
        <v>0</v>
      </c>
      <c r="AB6" s="168">
        <f t="shared" si="8"/>
        <v>0</v>
      </c>
      <c r="AC6" s="242"/>
      <c r="AD6" s="224"/>
      <c r="AE6" s="224"/>
      <c r="AF6" s="224"/>
      <c r="AG6" s="243"/>
      <c r="AH6" s="168">
        <f t="shared" ref="AH6:AH37" si="27">SUM(AC6:AG6)</f>
        <v>0</v>
      </c>
      <c r="AI6" s="242"/>
      <c r="AJ6" s="224"/>
      <c r="AK6" s="224"/>
      <c r="AL6" s="224"/>
      <c r="AM6" s="243"/>
      <c r="AN6" s="168">
        <f t="shared" si="9"/>
        <v>0</v>
      </c>
      <c r="AO6" s="242"/>
      <c r="AP6" s="224"/>
      <c r="AQ6" s="224"/>
      <c r="AR6" s="224"/>
      <c r="AS6" s="243"/>
      <c r="AT6" s="168">
        <f t="shared" ref="AT6:AT37" si="28">SUM(AO6:AS6)</f>
        <v>0</v>
      </c>
      <c r="AU6" s="242"/>
      <c r="AV6" s="224"/>
      <c r="AW6" s="224"/>
      <c r="AX6" s="224"/>
      <c r="AY6" s="243"/>
      <c r="AZ6" s="168">
        <f t="shared" ref="AZ6:AZ37" si="29">SUM(AU6:AY6)</f>
        <v>0</v>
      </c>
      <c r="BA6" s="168">
        <f t="shared" ref="BA6:BA37" si="30">AZ6+AT6+AN6+AH6</f>
        <v>0</v>
      </c>
      <c r="BB6" s="242"/>
      <c r="BC6" s="224"/>
      <c r="BD6" s="224"/>
      <c r="BE6" s="224"/>
      <c r="BF6" s="243"/>
      <c r="BG6" s="168">
        <f t="shared" ref="BG6:BG37" si="31">SUM(BB6:BF6)</f>
        <v>0</v>
      </c>
      <c r="BH6" s="242"/>
      <c r="BI6" s="224"/>
      <c r="BJ6" s="224"/>
      <c r="BK6" s="224"/>
      <c r="BL6" s="243"/>
      <c r="BM6" s="168">
        <f t="shared" si="10"/>
        <v>0</v>
      </c>
      <c r="BN6" s="242"/>
      <c r="BO6" s="224"/>
      <c r="BP6" s="224"/>
      <c r="BQ6" s="243"/>
      <c r="BR6" s="168">
        <f t="shared" si="11"/>
        <v>0</v>
      </c>
      <c r="BS6" s="242"/>
      <c r="BT6" s="224"/>
      <c r="BU6" s="224"/>
      <c r="BV6" s="224"/>
      <c r="BW6" s="243"/>
      <c r="BX6" s="239">
        <f t="shared" si="12"/>
        <v>0</v>
      </c>
      <c r="BY6" s="242"/>
      <c r="BZ6" s="224"/>
      <c r="CA6" s="168">
        <f t="shared" si="13"/>
        <v>0</v>
      </c>
      <c r="CB6" s="168">
        <f t="shared" si="14"/>
        <v>0</v>
      </c>
      <c r="CC6" s="242"/>
      <c r="CD6" s="224"/>
      <c r="CE6" s="224"/>
      <c r="CF6" s="168">
        <f t="shared" si="15"/>
        <v>0</v>
      </c>
      <c r="CG6" s="242"/>
      <c r="CH6" s="224"/>
      <c r="CI6" s="224"/>
      <c r="CJ6" s="243"/>
      <c r="CK6" s="168">
        <f t="shared" ref="CK6:CK37" si="32">SUM(CG6:CJ6)</f>
        <v>0</v>
      </c>
      <c r="CL6" s="242"/>
      <c r="CM6" s="224"/>
      <c r="CN6" s="224"/>
      <c r="CO6" s="224"/>
      <c r="CP6" s="243"/>
      <c r="CQ6" s="168">
        <f t="shared" ref="CQ6:CQ37" si="33">SUM(CL6:CP6)</f>
        <v>0</v>
      </c>
      <c r="CR6" s="242"/>
      <c r="CS6" s="224"/>
      <c r="CT6" s="224"/>
      <c r="CU6" s="224"/>
      <c r="CV6" s="243"/>
      <c r="CW6" s="168">
        <f t="shared" si="16"/>
        <v>0</v>
      </c>
      <c r="CX6" s="242"/>
      <c r="CY6" s="224"/>
      <c r="CZ6" s="224"/>
      <c r="DA6" s="243"/>
      <c r="DB6" s="168">
        <f t="shared" si="17"/>
        <v>0</v>
      </c>
      <c r="DC6" s="168">
        <f t="shared" si="18"/>
        <v>0</v>
      </c>
      <c r="DD6" s="242"/>
      <c r="DE6" s="224"/>
      <c r="DF6" s="224"/>
      <c r="DG6" s="224"/>
      <c r="DH6" s="224"/>
      <c r="DI6" s="168">
        <f t="shared" ref="DI6:DI37" si="34">SUM(DD6:DH6)</f>
        <v>0</v>
      </c>
      <c r="DJ6" s="242"/>
      <c r="DK6" s="224"/>
      <c r="DL6" s="224"/>
      <c r="DM6" s="224"/>
      <c r="DN6" s="243"/>
      <c r="DO6" s="168">
        <f t="shared" ref="DO6:DO37" si="35">SUM(DJ6:DN6)</f>
        <v>0</v>
      </c>
      <c r="DP6" s="242"/>
      <c r="DQ6" s="224"/>
      <c r="DR6" s="224"/>
      <c r="DS6" s="224"/>
      <c r="DT6" s="243"/>
      <c r="DU6" s="168">
        <f t="shared" ref="DU6:DU37" si="36">SUM(DP6:DT6)</f>
        <v>0</v>
      </c>
      <c r="DV6" s="242"/>
      <c r="DW6" s="224"/>
      <c r="DX6" s="224"/>
      <c r="DY6" s="224"/>
      <c r="DZ6" s="243"/>
      <c r="EA6" s="168">
        <f t="shared" si="19"/>
        <v>0</v>
      </c>
      <c r="EB6" s="168">
        <f t="shared" ref="EB6:EB37" si="37">DI6+DO6+DU6+EA6</f>
        <v>0</v>
      </c>
      <c r="EC6" s="242"/>
      <c r="ED6" s="224"/>
      <c r="EE6" s="224"/>
      <c r="EF6" s="224"/>
      <c r="EG6" s="243"/>
      <c r="EH6" s="168">
        <f t="shared" ref="EH6:EH37" si="38">SUM(EC6:EG6)</f>
        <v>0</v>
      </c>
      <c r="EI6" s="242"/>
      <c r="EJ6" s="224"/>
      <c r="EK6" s="224"/>
      <c r="EL6" s="224"/>
      <c r="EM6" s="243"/>
      <c r="EN6" s="168">
        <f t="shared" ref="EN6:EN37" si="39">SUM(EI6:EM6)</f>
        <v>0</v>
      </c>
      <c r="EO6" s="242"/>
      <c r="EP6" s="224"/>
      <c r="EQ6" s="224"/>
      <c r="ER6" s="224"/>
      <c r="ES6" s="243"/>
      <c r="ET6" s="168">
        <f t="shared" ref="ET6:ET37" si="40">SUM(EO6:ES6)</f>
        <v>0</v>
      </c>
      <c r="EU6" s="242"/>
      <c r="EV6" s="224"/>
      <c r="EW6" s="224"/>
      <c r="EX6" s="224"/>
      <c r="EY6" s="224"/>
      <c r="EZ6" s="224"/>
      <c r="FA6" s="243"/>
      <c r="FB6" s="168">
        <f t="shared" ref="FB6:FB37" si="41">SUM(EU6:FA6)</f>
        <v>0</v>
      </c>
      <c r="FC6" s="168">
        <f t="shared" ref="FC6:FC37" si="42">EH6+EN6+ET6+FB6</f>
        <v>0</v>
      </c>
      <c r="FD6" s="242"/>
      <c r="FE6" s="224"/>
      <c r="FF6" s="243"/>
      <c r="FG6" s="168">
        <f t="shared" ref="FG6:FG37" si="43">SUM(FD6:FF6)</f>
        <v>0</v>
      </c>
      <c r="FH6" s="242"/>
      <c r="FI6" s="224"/>
      <c r="FJ6" s="224"/>
      <c r="FK6" s="224"/>
      <c r="FL6" s="243"/>
      <c r="FM6" s="168">
        <f t="shared" ref="FM6:FM37" si="44">SUM(FH6:FL6)</f>
        <v>0</v>
      </c>
      <c r="FN6" s="242"/>
      <c r="FO6" s="224"/>
      <c r="FP6" s="224"/>
      <c r="FQ6" s="224"/>
      <c r="FR6" s="168">
        <f t="shared" ref="FR6:FR33" si="45">SUM(FN6:FQ6)</f>
        <v>0</v>
      </c>
      <c r="FS6" s="242"/>
      <c r="FT6" s="224"/>
      <c r="FU6" s="224"/>
      <c r="FV6" s="224"/>
      <c r="FW6" s="243"/>
      <c r="FX6" s="168">
        <f t="shared" ref="FX6:FX37" si="46">SUM(FS6:FW6)</f>
        <v>0</v>
      </c>
      <c r="FY6" s="242"/>
      <c r="FZ6" s="224"/>
      <c r="GA6" s="224"/>
      <c r="GB6" s="224"/>
      <c r="GC6" s="243"/>
      <c r="GD6" s="168">
        <f t="shared" ref="GD6:GD37" si="47">SUM(FY6:GC6)</f>
        <v>0</v>
      </c>
      <c r="GE6" s="168">
        <f t="shared" si="20"/>
        <v>0</v>
      </c>
      <c r="GF6" s="242"/>
      <c r="GG6" s="224"/>
      <c r="GH6" s="224"/>
      <c r="GI6" s="224"/>
      <c r="GJ6" s="224"/>
      <c r="GK6" s="168">
        <f t="shared" ref="GK6:GK37" si="48">SUM(GF6:GJ6)</f>
        <v>0</v>
      </c>
      <c r="GL6" s="242"/>
      <c r="GM6" s="224"/>
      <c r="GN6" s="224"/>
      <c r="GO6" s="243"/>
      <c r="GP6" s="168">
        <f t="shared" ref="GP6:GP37" si="49">SUM(GL6:GO6)</f>
        <v>0</v>
      </c>
      <c r="GQ6" s="242"/>
      <c r="GR6" s="224"/>
      <c r="GS6" s="224"/>
      <c r="GT6" s="224"/>
      <c r="GU6" s="243"/>
      <c r="GV6" s="168">
        <f t="shared" ref="GV6:GV37" si="50">SUM(GQ6:GU6)</f>
        <v>0</v>
      </c>
      <c r="GW6" s="242"/>
      <c r="GX6" s="224"/>
      <c r="GY6" s="224"/>
      <c r="GZ6" s="224"/>
      <c r="HA6" s="224"/>
      <c r="HB6" s="243"/>
      <c r="HC6" s="168">
        <f t="shared" ref="HC6:HC37" si="51">SUM(GW6:HB6)</f>
        <v>0</v>
      </c>
      <c r="HD6" s="168">
        <f t="shared" si="21"/>
        <v>0</v>
      </c>
      <c r="HE6" s="242"/>
      <c r="HF6" s="224"/>
      <c r="HG6" s="224"/>
      <c r="HH6" s="224"/>
      <c r="HI6" s="168">
        <f t="shared" ref="HI6:HI37" si="52">SUM(HE6:HH6)</f>
        <v>0</v>
      </c>
      <c r="HJ6" s="242"/>
      <c r="HK6" s="224"/>
      <c r="HL6" s="224"/>
      <c r="HM6" s="224"/>
      <c r="HN6" s="243"/>
      <c r="HO6" s="168">
        <f t="shared" ref="HO6:HO37" si="53">SUM(HJ6:HN6)</f>
        <v>0</v>
      </c>
      <c r="HP6" s="242"/>
      <c r="HQ6" s="224"/>
      <c r="HR6" s="224"/>
      <c r="HS6" s="224"/>
      <c r="HT6" s="243"/>
      <c r="HU6" s="168">
        <f t="shared" ref="HU6:HU37" si="54">SUM(HP6:HT6)</f>
        <v>0</v>
      </c>
      <c r="HV6" s="242"/>
      <c r="HW6" s="224"/>
      <c r="HX6" s="224"/>
      <c r="HY6" s="168">
        <f t="shared" si="22"/>
        <v>0</v>
      </c>
      <c r="HZ6" s="242"/>
      <c r="IA6" s="224"/>
      <c r="IB6" s="243"/>
      <c r="IC6" s="168">
        <f t="shared" ref="IC6:IC37" si="55">SUM(HZ6:IB6)</f>
        <v>0</v>
      </c>
      <c r="ID6" s="168">
        <f t="shared" si="23"/>
        <v>0</v>
      </c>
      <c r="IE6" s="242"/>
      <c r="IF6" s="243"/>
      <c r="IG6" s="168">
        <f t="shared" ref="IG6:IG37" si="56">SUM(IE6:IF6)</f>
        <v>0</v>
      </c>
      <c r="IH6" s="242"/>
      <c r="II6" s="224"/>
      <c r="IJ6" s="224"/>
      <c r="IK6" s="224"/>
      <c r="IL6" s="243"/>
      <c r="IM6" s="168">
        <f t="shared" ref="IM6:IM37" si="57">SUM(IH6:IL6)</f>
        <v>0</v>
      </c>
      <c r="IN6" s="242"/>
      <c r="IO6" s="224"/>
      <c r="IP6" s="243"/>
      <c r="IQ6" s="168">
        <f t="shared" ref="IQ6:IQ37" si="58">SUM(IN6:IP6)</f>
        <v>0</v>
      </c>
      <c r="IR6" s="242"/>
      <c r="IS6" s="224"/>
      <c r="IT6" s="224"/>
      <c r="IU6" s="224"/>
      <c r="IV6" s="243"/>
      <c r="IW6" s="168">
        <f t="shared" ref="IW6:IW37" si="59">SUM(IR6:IV6)</f>
        <v>0</v>
      </c>
      <c r="IX6" s="242"/>
      <c r="IY6" s="224"/>
      <c r="IZ6" s="224"/>
      <c r="JA6" s="224"/>
      <c r="JB6" s="243"/>
      <c r="JC6" s="168">
        <f t="shared" ref="JC6:JC37" si="60">SUM(IX6:JB6)</f>
        <v>0</v>
      </c>
      <c r="JD6" s="168">
        <f t="shared" si="24"/>
        <v>0</v>
      </c>
      <c r="JE6" s="242"/>
      <c r="JF6" s="224"/>
      <c r="JG6" s="224"/>
      <c r="JH6" s="224"/>
      <c r="JI6" s="243"/>
      <c r="JJ6" s="168">
        <f t="shared" ref="JJ6:JJ37" si="61">SUM(JE6:JI6)</f>
        <v>0</v>
      </c>
      <c r="JK6" s="242"/>
      <c r="JL6" s="224"/>
      <c r="JM6" s="224"/>
      <c r="JN6" s="224"/>
      <c r="JO6" s="243"/>
      <c r="JP6" s="168">
        <f t="shared" ref="JP6:JP37" si="62">SUM(JK6:JO6)</f>
        <v>0</v>
      </c>
      <c r="JQ6" s="242"/>
      <c r="JR6" s="224"/>
      <c r="JS6" s="224"/>
      <c r="JT6" s="224"/>
      <c r="JU6" s="243"/>
      <c r="JV6" s="168">
        <f t="shared" ref="JV6:JV37" si="63">SUM(JQ6:JU6)</f>
        <v>0</v>
      </c>
      <c r="JW6" s="242"/>
      <c r="JX6" s="224"/>
      <c r="JY6" s="224"/>
      <c r="JZ6" s="224"/>
      <c r="KA6" s="224"/>
      <c r="KB6" s="243"/>
      <c r="KC6" s="168">
        <f t="shared" ref="KC6:KC37" si="64">SUM(JW6:KB6)</f>
        <v>0</v>
      </c>
      <c r="KD6" s="168">
        <f t="shared" ref="KD6:KD37" si="65">JJ6+JP6+JV6+KC6</f>
        <v>0</v>
      </c>
      <c r="KE6" s="242"/>
      <c r="KF6" s="224"/>
      <c r="KG6" s="224"/>
      <c r="KH6" s="224"/>
      <c r="KI6" s="243"/>
      <c r="KJ6" s="168">
        <f t="shared" ref="KJ6:KJ30" si="66">SUM(KE6:KI6)</f>
        <v>0</v>
      </c>
      <c r="KK6" s="242"/>
      <c r="KL6" s="224"/>
      <c r="KM6" s="224"/>
      <c r="KN6" s="224"/>
      <c r="KO6" s="243"/>
      <c r="KP6" s="168">
        <f t="shared" ref="KP6:KP30" si="67">SUM(KK6:KO6)</f>
        <v>0</v>
      </c>
      <c r="KQ6" s="242"/>
      <c r="KR6" s="224"/>
      <c r="KS6" s="224"/>
      <c r="KT6" s="224"/>
      <c r="KU6" s="243"/>
      <c r="KV6" s="168">
        <f t="shared" ref="KV6:KV30" si="68">SUM(KQ6:KU6)</f>
        <v>0</v>
      </c>
      <c r="KW6" s="242"/>
      <c r="KX6" s="224"/>
      <c r="KY6" s="224"/>
      <c r="KZ6" s="224"/>
      <c r="LA6" s="243"/>
      <c r="LB6" s="168">
        <f t="shared" ref="LB6:LB30" si="69">SUM(KW6:LA6)</f>
        <v>0</v>
      </c>
      <c r="LC6" s="242"/>
      <c r="LD6" s="224"/>
      <c r="LE6" s="243"/>
      <c r="LF6" s="168">
        <f t="shared" ref="LF6:LF30" si="70">SUM(LC6:LE6)</f>
        <v>0</v>
      </c>
      <c r="LG6" s="168">
        <f t="shared" ref="LG6:LG37" si="71">LF6+LB6+KV6+KP6+KJ6</f>
        <v>0</v>
      </c>
    </row>
    <row r="7" spans="2:322">
      <c r="B7" s="441" t="s">
        <v>228</v>
      </c>
      <c r="C7" s="167"/>
      <c r="D7" s="181">
        <f t="shared" ref="D7:D37" si="72">SUM(C7:C7)</f>
        <v>0</v>
      </c>
      <c r="E7" s="167"/>
      <c r="F7" s="177"/>
      <c r="G7" s="177"/>
      <c r="H7" s="177"/>
      <c r="I7" s="178"/>
      <c r="J7" s="181">
        <f t="shared" si="6"/>
        <v>0</v>
      </c>
      <c r="K7" s="167"/>
      <c r="L7" s="177"/>
      <c r="M7" s="177"/>
      <c r="N7" s="178"/>
      <c r="O7" s="181">
        <f t="shared" si="7"/>
        <v>0</v>
      </c>
      <c r="P7" s="167"/>
      <c r="Q7" s="177"/>
      <c r="R7" s="177"/>
      <c r="S7" s="177"/>
      <c r="T7" s="178"/>
      <c r="U7" s="168">
        <f t="shared" si="25"/>
        <v>0</v>
      </c>
      <c r="V7" s="167"/>
      <c r="W7" s="177"/>
      <c r="X7" s="177"/>
      <c r="Y7" s="177"/>
      <c r="Z7" s="177"/>
      <c r="AA7" s="168">
        <f t="shared" si="26"/>
        <v>0</v>
      </c>
      <c r="AB7" s="168">
        <f t="shared" si="8"/>
        <v>0</v>
      </c>
      <c r="AC7" s="242"/>
      <c r="AD7" s="224"/>
      <c r="AE7" s="224"/>
      <c r="AF7" s="224"/>
      <c r="AG7" s="243"/>
      <c r="AH7" s="168">
        <f t="shared" si="27"/>
        <v>0</v>
      </c>
      <c r="AI7" s="242"/>
      <c r="AJ7" s="224"/>
      <c r="AK7" s="224"/>
      <c r="AL7" s="224"/>
      <c r="AM7" s="243"/>
      <c r="AN7" s="168">
        <f t="shared" si="9"/>
        <v>0</v>
      </c>
      <c r="AO7" s="242"/>
      <c r="AP7" s="224"/>
      <c r="AQ7" s="224"/>
      <c r="AR7" s="224"/>
      <c r="AS7" s="243"/>
      <c r="AT7" s="168">
        <f t="shared" si="28"/>
        <v>0</v>
      </c>
      <c r="AU7" s="242"/>
      <c r="AV7" s="224"/>
      <c r="AW7" s="224"/>
      <c r="AX7" s="224"/>
      <c r="AY7" s="243"/>
      <c r="AZ7" s="168">
        <f t="shared" si="29"/>
        <v>0</v>
      </c>
      <c r="BA7" s="168">
        <f t="shared" si="30"/>
        <v>0</v>
      </c>
      <c r="BB7" s="242"/>
      <c r="BC7" s="224"/>
      <c r="BD7" s="224"/>
      <c r="BE7" s="224"/>
      <c r="BF7" s="243"/>
      <c r="BG7" s="168">
        <f t="shared" si="31"/>
        <v>0</v>
      </c>
      <c r="BH7" s="242"/>
      <c r="BI7" s="224"/>
      <c r="BJ7" s="224"/>
      <c r="BK7" s="224"/>
      <c r="BL7" s="243"/>
      <c r="BM7" s="168">
        <f t="shared" si="10"/>
        <v>0</v>
      </c>
      <c r="BN7" s="242"/>
      <c r="BO7" s="224"/>
      <c r="BP7" s="224"/>
      <c r="BQ7" s="243"/>
      <c r="BR7" s="168">
        <f t="shared" si="11"/>
        <v>0</v>
      </c>
      <c r="BS7" s="242"/>
      <c r="BT7" s="224"/>
      <c r="BU7" s="224"/>
      <c r="BV7" s="224"/>
      <c r="BW7" s="243"/>
      <c r="BX7" s="239">
        <f t="shared" si="12"/>
        <v>0</v>
      </c>
      <c r="BY7" s="242"/>
      <c r="BZ7" s="224"/>
      <c r="CA7" s="168">
        <f t="shared" si="13"/>
        <v>0</v>
      </c>
      <c r="CB7" s="168">
        <f t="shared" si="14"/>
        <v>0</v>
      </c>
      <c r="CC7" s="242"/>
      <c r="CD7" s="224"/>
      <c r="CE7" s="224"/>
      <c r="CF7" s="168">
        <f t="shared" si="15"/>
        <v>0</v>
      </c>
      <c r="CG7" s="242"/>
      <c r="CH7" s="224"/>
      <c r="CI7" s="238"/>
      <c r="CJ7" s="243"/>
      <c r="CK7" s="168">
        <f t="shared" si="32"/>
        <v>0</v>
      </c>
      <c r="CL7" s="309"/>
      <c r="CM7" s="310"/>
      <c r="CN7" s="310"/>
      <c r="CO7" s="310"/>
      <c r="CP7" s="311"/>
      <c r="CQ7" s="168">
        <f t="shared" si="33"/>
        <v>0</v>
      </c>
      <c r="CR7" s="242"/>
      <c r="CS7" s="224"/>
      <c r="CT7" s="224"/>
      <c r="CU7" s="224"/>
      <c r="CV7" s="243"/>
      <c r="CW7" s="168">
        <f t="shared" si="16"/>
        <v>0</v>
      </c>
      <c r="CX7" s="242"/>
      <c r="CY7" s="224"/>
      <c r="CZ7" s="224"/>
      <c r="DA7" s="243"/>
      <c r="DB7" s="168">
        <f t="shared" si="17"/>
        <v>0</v>
      </c>
      <c r="DC7" s="168">
        <f t="shared" si="18"/>
        <v>0</v>
      </c>
      <c r="DD7" s="242"/>
      <c r="DE7" s="224"/>
      <c r="DF7" s="224"/>
      <c r="DG7" s="224"/>
      <c r="DH7" s="224"/>
      <c r="DI7" s="168">
        <f t="shared" si="34"/>
        <v>0</v>
      </c>
      <c r="DJ7" s="242"/>
      <c r="DK7" s="224"/>
      <c r="DL7" s="224"/>
      <c r="DM7" s="224"/>
      <c r="DN7" s="243"/>
      <c r="DO7" s="168">
        <f t="shared" si="35"/>
        <v>0</v>
      </c>
      <c r="DP7" s="242"/>
      <c r="DQ7" s="224"/>
      <c r="DR7" s="224"/>
      <c r="DS7" s="224"/>
      <c r="DT7" s="243"/>
      <c r="DU7" s="168">
        <f t="shared" si="36"/>
        <v>0</v>
      </c>
      <c r="DV7" s="242"/>
      <c r="DW7" s="224"/>
      <c r="DX7" s="224"/>
      <c r="DY7" s="224"/>
      <c r="DZ7" s="243"/>
      <c r="EA7" s="168">
        <f t="shared" si="19"/>
        <v>0</v>
      </c>
      <c r="EB7" s="168">
        <f t="shared" si="37"/>
        <v>0</v>
      </c>
      <c r="EC7" s="242"/>
      <c r="ED7" s="224"/>
      <c r="EE7" s="224"/>
      <c r="EF7" s="224"/>
      <c r="EG7" s="243"/>
      <c r="EH7" s="168">
        <f t="shared" si="38"/>
        <v>0</v>
      </c>
      <c r="EI7" s="242"/>
      <c r="EJ7" s="224"/>
      <c r="EK7" s="224"/>
      <c r="EL7" s="224"/>
      <c r="EM7" s="243"/>
      <c r="EN7" s="168">
        <f t="shared" si="39"/>
        <v>0</v>
      </c>
      <c r="EO7" s="242"/>
      <c r="EP7" s="224"/>
      <c r="EQ7" s="224"/>
      <c r="ER7" s="224"/>
      <c r="ES7" s="243"/>
      <c r="ET7" s="168">
        <f t="shared" si="40"/>
        <v>0</v>
      </c>
      <c r="EU7" s="242"/>
      <c r="EV7" s="224"/>
      <c r="EW7" s="224"/>
      <c r="EX7" s="224"/>
      <c r="EY7" s="224"/>
      <c r="EZ7" s="224"/>
      <c r="FA7" s="243"/>
      <c r="FB7" s="168">
        <f t="shared" si="41"/>
        <v>0</v>
      </c>
      <c r="FC7" s="168">
        <f t="shared" si="42"/>
        <v>0</v>
      </c>
      <c r="FD7" s="242"/>
      <c r="FE7" s="224"/>
      <c r="FF7" s="243"/>
      <c r="FG7" s="168">
        <f t="shared" si="43"/>
        <v>0</v>
      </c>
      <c r="FH7" s="242"/>
      <c r="FI7" s="224"/>
      <c r="FJ7" s="224"/>
      <c r="FK7" s="224"/>
      <c r="FL7" s="243"/>
      <c r="FM7" s="168">
        <f t="shared" si="44"/>
        <v>0</v>
      </c>
      <c r="FN7" s="242"/>
      <c r="FO7" s="224"/>
      <c r="FP7" s="224"/>
      <c r="FQ7" s="224"/>
      <c r="FR7" s="168">
        <f t="shared" si="45"/>
        <v>0</v>
      </c>
      <c r="FS7" s="242"/>
      <c r="FT7" s="224"/>
      <c r="FU7" s="224"/>
      <c r="FV7" s="224"/>
      <c r="FW7" s="243"/>
      <c r="FX7" s="168">
        <f t="shared" si="46"/>
        <v>0</v>
      </c>
      <c r="FY7" s="242"/>
      <c r="FZ7" s="224"/>
      <c r="GA7" s="224"/>
      <c r="GB7" s="224"/>
      <c r="GC7" s="243"/>
      <c r="GD7" s="168">
        <f t="shared" si="47"/>
        <v>0</v>
      </c>
      <c r="GE7" s="168">
        <f t="shared" si="20"/>
        <v>0</v>
      </c>
      <c r="GF7" s="242"/>
      <c r="GG7" s="224"/>
      <c r="GH7" s="224"/>
      <c r="GI7" s="224"/>
      <c r="GJ7" s="224"/>
      <c r="GK7" s="168">
        <f t="shared" si="48"/>
        <v>0</v>
      </c>
      <c r="GL7" s="242"/>
      <c r="GM7" s="224"/>
      <c r="GN7" s="224"/>
      <c r="GO7" s="243"/>
      <c r="GP7" s="168">
        <f t="shared" si="49"/>
        <v>0</v>
      </c>
      <c r="GQ7" s="242"/>
      <c r="GR7" s="224"/>
      <c r="GS7" s="224"/>
      <c r="GT7" s="224"/>
      <c r="GU7" s="243"/>
      <c r="GV7" s="168">
        <f t="shared" si="50"/>
        <v>0</v>
      </c>
      <c r="GW7" s="242"/>
      <c r="GX7" s="224"/>
      <c r="GY7" s="224"/>
      <c r="GZ7" s="224"/>
      <c r="HA7" s="224"/>
      <c r="HB7" s="243"/>
      <c r="HC7" s="168">
        <f t="shared" si="51"/>
        <v>0</v>
      </c>
      <c r="HD7" s="168">
        <f t="shared" si="21"/>
        <v>0</v>
      </c>
      <c r="HE7" s="242"/>
      <c r="HF7" s="224"/>
      <c r="HG7" s="224"/>
      <c r="HH7" s="224"/>
      <c r="HI7" s="168">
        <f t="shared" si="52"/>
        <v>0</v>
      </c>
      <c r="HJ7" s="242"/>
      <c r="HK7" s="224"/>
      <c r="HL7" s="224"/>
      <c r="HM7" s="224"/>
      <c r="HN7" s="243"/>
      <c r="HO7" s="168">
        <f t="shared" si="53"/>
        <v>0</v>
      </c>
      <c r="HP7" s="242"/>
      <c r="HQ7" s="224"/>
      <c r="HR7" s="224"/>
      <c r="HS7" s="224"/>
      <c r="HT7" s="243"/>
      <c r="HU7" s="168">
        <f t="shared" si="54"/>
        <v>0</v>
      </c>
      <c r="HV7" s="242"/>
      <c r="HW7" s="224"/>
      <c r="HX7" s="224"/>
      <c r="HY7" s="168">
        <f t="shared" si="22"/>
        <v>0</v>
      </c>
      <c r="HZ7" s="242"/>
      <c r="IA7" s="224"/>
      <c r="IB7" s="243"/>
      <c r="IC7" s="168">
        <f t="shared" si="55"/>
        <v>0</v>
      </c>
      <c r="ID7" s="168">
        <f t="shared" si="23"/>
        <v>0</v>
      </c>
      <c r="IE7" s="242"/>
      <c r="IF7" s="243"/>
      <c r="IG7" s="168">
        <f t="shared" si="56"/>
        <v>0</v>
      </c>
      <c r="IH7" s="242"/>
      <c r="II7" s="224"/>
      <c r="IJ7" s="224"/>
      <c r="IK7" s="224"/>
      <c r="IL7" s="243"/>
      <c r="IM7" s="168">
        <f t="shared" si="57"/>
        <v>0</v>
      </c>
      <c r="IN7" s="242"/>
      <c r="IO7" s="224"/>
      <c r="IP7" s="243"/>
      <c r="IQ7" s="168">
        <f t="shared" si="58"/>
        <v>0</v>
      </c>
      <c r="IR7" s="242"/>
      <c r="IS7" s="224"/>
      <c r="IT7" s="224"/>
      <c r="IU7" s="224"/>
      <c r="IV7" s="243"/>
      <c r="IW7" s="168">
        <f t="shared" si="59"/>
        <v>0</v>
      </c>
      <c r="IX7" s="242"/>
      <c r="IY7" s="224"/>
      <c r="IZ7" s="224"/>
      <c r="JA7" s="224"/>
      <c r="JB7" s="243"/>
      <c r="JC7" s="168">
        <f t="shared" si="60"/>
        <v>0</v>
      </c>
      <c r="JD7" s="168">
        <f t="shared" si="24"/>
        <v>0</v>
      </c>
      <c r="JE7" s="242"/>
      <c r="JF7" s="224"/>
      <c r="JG7" s="224"/>
      <c r="JH7" s="224"/>
      <c r="JI7" s="243"/>
      <c r="JJ7" s="168">
        <f t="shared" si="61"/>
        <v>0</v>
      </c>
      <c r="JK7" s="242"/>
      <c r="JL7" s="224"/>
      <c r="JM7" s="224"/>
      <c r="JN7" s="224"/>
      <c r="JO7" s="243"/>
      <c r="JP7" s="168">
        <f t="shared" si="62"/>
        <v>0</v>
      </c>
      <c r="JQ7" s="242"/>
      <c r="JR7" s="224"/>
      <c r="JS7" s="224"/>
      <c r="JT7" s="224"/>
      <c r="JU7" s="243"/>
      <c r="JV7" s="168">
        <f t="shared" si="63"/>
        <v>0</v>
      </c>
      <c r="JW7" s="242"/>
      <c r="JX7" s="224"/>
      <c r="JY7" s="224"/>
      <c r="JZ7" s="224"/>
      <c r="KA7" s="224"/>
      <c r="KB7" s="243"/>
      <c r="KC7" s="168">
        <f t="shared" si="64"/>
        <v>0</v>
      </c>
      <c r="KD7" s="168">
        <f t="shared" si="65"/>
        <v>0</v>
      </c>
      <c r="KE7" s="242"/>
      <c r="KF7" s="224"/>
      <c r="KG7" s="224"/>
      <c r="KH7" s="224"/>
      <c r="KI7" s="243"/>
      <c r="KJ7" s="168">
        <f t="shared" si="66"/>
        <v>0</v>
      </c>
      <c r="KK7" s="242"/>
      <c r="KL7" s="224"/>
      <c r="KM7" s="224"/>
      <c r="KN7" s="224"/>
      <c r="KO7" s="243"/>
      <c r="KP7" s="168">
        <f t="shared" si="67"/>
        <v>0</v>
      </c>
      <c r="KQ7" s="242"/>
      <c r="KR7" s="224"/>
      <c r="KS7" s="224"/>
      <c r="KT7" s="224"/>
      <c r="KU7" s="243"/>
      <c r="KV7" s="168">
        <f t="shared" si="68"/>
        <v>0</v>
      </c>
      <c r="KW7" s="242"/>
      <c r="KX7" s="224"/>
      <c r="KY7" s="224"/>
      <c r="KZ7" s="224"/>
      <c r="LA7" s="243"/>
      <c r="LB7" s="168">
        <f t="shared" si="69"/>
        <v>0</v>
      </c>
      <c r="LC7" s="242"/>
      <c r="LD7" s="224"/>
      <c r="LE7" s="243"/>
      <c r="LF7" s="168">
        <f t="shared" si="70"/>
        <v>0</v>
      </c>
      <c r="LG7" s="168">
        <f t="shared" si="71"/>
        <v>0</v>
      </c>
    </row>
    <row r="8" spans="2:322">
      <c r="B8" s="441" t="s">
        <v>372</v>
      </c>
      <c r="C8" s="167">
        <f>354.079+116.69</f>
        <v>470.76900000000001</v>
      </c>
      <c r="D8" s="181">
        <f t="shared" si="72"/>
        <v>470.76900000000001</v>
      </c>
      <c r="E8" s="167"/>
      <c r="F8" s="177"/>
      <c r="G8" s="177"/>
      <c r="H8" s="177"/>
      <c r="I8" s="178"/>
      <c r="J8" s="181">
        <f t="shared" si="6"/>
        <v>0</v>
      </c>
      <c r="K8" s="167"/>
      <c r="L8" s="177"/>
      <c r="M8" s="177"/>
      <c r="N8" s="178"/>
      <c r="O8" s="181">
        <f t="shared" si="7"/>
        <v>0</v>
      </c>
      <c r="P8" s="167">
        <v>322.02699999999999</v>
      </c>
      <c r="Q8" s="177"/>
      <c r="R8" s="177"/>
      <c r="S8" s="177"/>
      <c r="T8" s="178"/>
      <c r="U8" s="168">
        <f t="shared" si="25"/>
        <v>322.02699999999999</v>
      </c>
      <c r="V8" s="167"/>
      <c r="W8" s="177">
        <f>584.219+295.451+228.131+220.196</f>
        <v>1327.9970000000001</v>
      </c>
      <c r="X8" s="177"/>
      <c r="Y8" s="177"/>
      <c r="Z8" s="177"/>
      <c r="AA8" s="168">
        <f t="shared" si="26"/>
        <v>1327.9970000000001</v>
      </c>
      <c r="AB8" s="168">
        <f t="shared" si="8"/>
        <v>2120.7930000000001</v>
      </c>
      <c r="AC8" s="242"/>
      <c r="AD8" s="224"/>
      <c r="AE8" s="224">
        <v>583.41999999999996</v>
      </c>
      <c r="AF8" s="224"/>
      <c r="AG8" s="243">
        <v>1129.385</v>
      </c>
      <c r="AH8" s="168">
        <f t="shared" si="27"/>
        <v>1712.8049999999998</v>
      </c>
      <c r="AI8" s="242"/>
      <c r="AJ8" s="224"/>
      <c r="AK8" s="224"/>
      <c r="AL8" s="224"/>
      <c r="AM8" s="243"/>
      <c r="AN8" s="168">
        <f t="shared" si="9"/>
        <v>0</v>
      </c>
      <c r="AO8" s="242"/>
      <c r="AP8" s="224"/>
      <c r="AQ8" s="224"/>
      <c r="AR8" s="224"/>
      <c r="AS8" s="243"/>
      <c r="AT8" s="168">
        <f t="shared" si="28"/>
        <v>0</v>
      </c>
      <c r="AU8" s="242"/>
      <c r="AV8" s="224"/>
      <c r="AW8" s="224"/>
      <c r="AX8" s="224"/>
      <c r="AY8" s="243"/>
      <c r="AZ8" s="168">
        <f t="shared" si="29"/>
        <v>0</v>
      </c>
      <c r="BA8" s="168">
        <f t="shared" si="30"/>
        <v>1712.8049999999998</v>
      </c>
      <c r="BB8" s="242"/>
      <c r="BC8" s="224"/>
      <c r="BD8" s="224">
        <v>116.95399999999999</v>
      </c>
      <c r="BE8" s="224"/>
      <c r="BF8" s="243"/>
      <c r="BG8" s="168">
        <f t="shared" si="31"/>
        <v>116.95399999999999</v>
      </c>
      <c r="BH8" s="242"/>
      <c r="BI8" s="224"/>
      <c r="BJ8" s="224">
        <v>617.55499999999995</v>
      </c>
      <c r="BK8" s="224"/>
      <c r="BL8" s="243"/>
      <c r="BM8" s="168">
        <f t="shared" si="10"/>
        <v>617.55499999999995</v>
      </c>
      <c r="BN8" s="242"/>
      <c r="BO8" s="224"/>
      <c r="BP8" s="224"/>
      <c r="BQ8" s="243"/>
      <c r="BR8" s="168">
        <f t="shared" si="11"/>
        <v>0</v>
      </c>
      <c r="BS8" s="242"/>
      <c r="BT8" s="224"/>
      <c r="BU8" s="224"/>
      <c r="BV8" s="224"/>
      <c r="BW8" s="243"/>
      <c r="BX8" s="239">
        <f t="shared" si="12"/>
        <v>0</v>
      </c>
      <c r="BY8" s="242"/>
      <c r="BZ8" s="224"/>
      <c r="CA8" s="168">
        <f t="shared" si="13"/>
        <v>0</v>
      </c>
      <c r="CB8" s="168">
        <f t="shared" si="14"/>
        <v>734.5089999999999</v>
      </c>
      <c r="CC8" s="242"/>
      <c r="CD8" s="224"/>
      <c r="CE8" s="224"/>
      <c r="CF8" s="168">
        <f t="shared" si="15"/>
        <v>0</v>
      </c>
      <c r="CG8" s="242"/>
      <c r="CH8" s="224">
        <v>357.17899999999997</v>
      </c>
      <c r="CI8" s="238"/>
      <c r="CJ8" s="243">
        <f>732.1+453.705</f>
        <v>1185.8050000000001</v>
      </c>
      <c r="CK8" s="168">
        <f t="shared" si="32"/>
        <v>1542.9839999999999</v>
      </c>
      <c r="CL8" s="309"/>
      <c r="CM8" s="310"/>
      <c r="CN8" s="310"/>
      <c r="CO8" s="310"/>
      <c r="CP8" s="582">
        <v>617.89599999999996</v>
      </c>
      <c r="CQ8" s="168">
        <f t="shared" si="33"/>
        <v>617.89599999999996</v>
      </c>
      <c r="CR8" s="242">
        <v>60.798000000000002</v>
      </c>
      <c r="CS8" s="224"/>
      <c r="CT8" s="224"/>
      <c r="CU8" s="224">
        <f>133.497+443.543+188.734+727.051+1125.086+360.661</f>
        <v>2978.5720000000001</v>
      </c>
      <c r="CV8" s="243">
        <v>244.495</v>
      </c>
      <c r="CW8" s="168">
        <f t="shared" si="16"/>
        <v>3283.8649999999998</v>
      </c>
      <c r="CX8" s="242"/>
      <c r="CY8" s="224"/>
      <c r="CZ8" s="224"/>
      <c r="DA8" s="243"/>
      <c r="DB8" s="168">
        <f t="shared" si="17"/>
        <v>0</v>
      </c>
      <c r="DC8" s="168">
        <f t="shared" si="18"/>
        <v>5444.744999999999</v>
      </c>
      <c r="DD8" s="242"/>
      <c r="DE8" s="224"/>
      <c r="DF8" s="224"/>
      <c r="DG8" s="224">
        <v>540.07000000000005</v>
      </c>
      <c r="DH8" s="224">
        <v>243.67500000000001</v>
      </c>
      <c r="DI8" s="168">
        <f t="shared" si="34"/>
        <v>783.74500000000012</v>
      </c>
      <c r="DJ8" s="242">
        <v>4396.3360000000002</v>
      </c>
      <c r="DK8" s="224"/>
      <c r="DL8" s="224"/>
      <c r="DM8" s="224"/>
      <c r="DN8" s="243"/>
      <c r="DO8" s="168">
        <f t="shared" si="35"/>
        <v>4396.3360000000002</v>
      </c>
      <c r="DP8" s="242"/>
      <c r="DQ8" s="224"/>
      <c r="DR8" s="224"/>
      <c r="DS8" s="224">
        <v>3707.1030000000001</v>
      </c>
      <c r="DT8" s="243">
        <f>248.3+1408.55</f>
        <v>1656.85</v>
      </c>
      <c r="DU8" s="168">
        <f t="shared" si="36"/>
        <v>5363.9529999999995</v>
      </c>
      <c r="DV8" s="242">
        <v>100.503</v>
      </c>
      <c r="DW8" s="224"/>
      <c r="DX8" s="224"/>
      <c r="DY8" s="224"/>
      <c r="DZ8" s="243"/>
      <c r="EA8" s="168">
        <f t="shared" si="19"/>
        <v>100.503</v>
      </c>
      <c r="EB8" s="168">
        <f t="shared" si="37"/>
        <v>10644.537</v>
      </c>
      <c r="EC8" s="242"/>
      <c r="ED8" s="224"/>
      <c r="EE8" s="224"/>
      <c r="EF8" s="224"/>
      <c r="EG8" s="243"/>
      <c r="EH8" s="168">
        <f t="shared" si="38"/>
        <v>0</v>
      </c>
      <c r="EI8" s="242"/>
      <c r="EJ8" s="224">
        <v>254.21799999999999</v>
      </c>
      <c r="EK8" s="224"/>
      <c r="EL8" s="224">
        <v>1507.6130000000001</v>
      </c>
      <c r="EM8" s="243"/>
      <c r="EN8" s="168">
        <f t="shared" si="39"/>
        <v>1761.8310000000001</v>
      </c>
      <c r="EO8" s="242"/>
      <c r="EP8" s="224"/>
      <c r="EQ8" s="224"/>
      <c r="ER8" s="224">
        <v>372.375</v>
      </c>
      <c r="ES8" s="243"/>
      <c r="ET8" s="168">
        <f t="shared" si="40"/>
        <v>372.375</v>
      </c>
      <c r="EU8" s="242"/>
      <c r="EV8" s="224">
        <v>1362.7090000000001</v>
      </c>
      <c r="EW8" s="224"/>
      <c r="EX8" s="224"/>
      <c r="EY8" s="224"/>
      <c r="EZ8" s="224"/>
      <c r="FA8" s="243"/>
      <c r="FB8" s="168">
        <f t="shared" si="41"/>
        <v>1362.7090000000001</v>
      </c>
      <c r="FC8" s="168">
        <f t="shared" si="42"/>
        <v>3496.915</v>
      </c>
      <c r="FD8" s="242"/>
      <c r="FE8" s="224"/>
      <c r="FF8" s="243"/>
      <c r="FG8" s="168">
        <f t="shared" si="43"/>
        <v>0</v>
      </c>
      <c r="FH8" s="242"/>
      <c r="FI8" s="224"/>
      <c r="FJ8" s="224"/>
      <c r="FK8" s="224"/>
      <c r="FL8" s="243"/>
      <c r="FM8" s="168">
        <f t="shared" si="44"/>
        <v>0</v>
      </c>
      <c r="FN8" s="242">
        <v>868.28399999999999</v>
      </c>
      <c r="FO8" s="224"/>
      <c r="FP8" s="224"/>
      <c r="FQ8" s="224"/>
      <c r="FR8" s="168">
        <f t="shared" si="45"/>
        <v>868.28399999999999</v>
      </c>
      <c r="FS8" s="242">
        <v>618.40099999999995</v>
      </c>
      <c r="FT8" s="224"/>
      <c r="FU8" s="224">
        <v>200</v>
      </c>
      <c r="FV8" s="224"/>
      <c r="FW8" s="243">
        <v>250.749</v>
      </c>
      <c r="FX8" s="168">
        <f t="shared" si="46"/>
        <v>1069.1499999999999</v>
      </c>
      <c r="FY8" s="242">
        <v>370</v>
      </c>
      <c r="FZ8" s="224"/>
      <c r="GA8" s="224">
        <v>748.16</v>
      </c>
      <c r="GB8" s="224"/>
      <c r="GC8" s="243"/>
      <c r="GD8" s="168">
        <f t="shared" si="47"/>
        <v>1118.1599999999999</v>
      </c>
      <c r="GE8" s="168">
        <f t="shared" si="20"/>
        <v>3055.5939999999996</v>
      </c>
      <c r="GF8" s="242"/>
      <c r="GG8" s="224"/>
      <c r="GH8" s="224"/>
      <c r="GI8" s="224">
        <v>829.98500000000001</v>
      </c>
      <c r="GJ8" s="224"/>
      <c r="GK8" s="168">
        <f t="shared" si="48"/>
        <v>829.98500000000001</v>
      </c>
      <c r="GL8" s="242"/>
      <c r="GM8" s="224"/>
      <c r="GN8" s="224"/>
      <c r="GO8" s="243"/>
      <c r="GP8" s="168">
        <f t="shared" si="49"/>
        <v>0</v>
      </c>
      <c r="GQ8" s="242"/>
      <c r="GR8" s="224">
        <v>524.28</v>
      </c>
      <c r="GS8" s="224"/>
      <c r="GT8" s="224"/>
      <c r="GU8" s="243"/>
      <c r="GV8" s="168">
        <f t="shared" si="50"/>
        <v>524.28</v>
      </c>
      <c r="GW8" s="242"/>
      <c r="GX8" s="224"/>
      <c r="GY8" s="224"/>
      <c r="GZ8" s="224"/>
      <c r="HA8" s="224"/>
      <c r="HB8" s="243"/>
      <c r="HC8" s="168">
        <f t="shared" si="51"/>
        <v>0</v>
      </c>
      <c r="HD8" s="168">
        <f t="shared" si="21"/>
        <v>1354.2649999999999</v>
      </c>
      <c r="HE8" s="242"/>
      <c r="HF8" s="224"/>
      <c r="HG8" s="224"/>
      <c r="HH8" s="224"/>
      <c r="HI8" s="168">
        <f t="shared" si="52"/>
        <v>0</v>
      </c>
      <c r="HJ8" s="242"/>
      <c r="HK8" s="224"/>
      <c r="HL8" s="224"/>
      <c r="HM8" s="224">
        <v>452.101</v>
      </c>
      <c r="HN8" s="243"/>
      <c r="HO8" s="168">
        <f t="shared" si="53"/>
        <v>452.101</v>
      </c>
      <c r="HP8" s="242"/>
      <c r="HQ8" s="224"/>
      <c r="HR8" s="224"/>
      <c r="HS8" s="224"/>
      <c r="HT8" s="243"/>
      <c r="HU8" s="168">
        <f t="shared" si="54"/>
        <v>0</v>
      </c>
      <c r="HV8" s="242"/>
      <c r="HW8" s="224">
        <v>659.62400000000002</v>
      </c>
      <c r="HX8" s="224"/>
      <c r="HY8" s="168">
        <f t="shared" si="22"/>
        <v>659.62400000000002</v>
      </c>
      <c r="HZ8" s="242"/>
      <c r="IA8" s="224"/>
      <c r="IB8" s="243"/>
      <c r="IC8" s="168">
        <f t="shared" si="55"/>
        <v>0</v>
      </c>
      <c r="ID8" s="168">
        <f t="shared" si="23"/>
        <v>1111.7249999999999</v>
      </c>
      <c r="IE8" s="242">
        <f>189.434+416.628+836.603+515.034+133.512+157.902</f>
        <v>2249.1130000000003</v>
      </c>
      <c r="IF8" s="243"/>
      <c r="IG8" s="168">
        <f t="shared" si="56"/>
        <v>2249.1130000000003</v>
      </c>
      <c r="IH8" s="242"/>
      <c r="II8" s="224">
        <v>90</v>
      </c>
      <c r="IJ8" s="224"/>
      <c r="IK8" s="224"/>
      <c r="IL8" s="243"/>
      <c r="IM8" s="168">
        <f t="shared" si="57"/>
        <v>90</v>
      </c>
      <c r="IN8" s="242"/>
      <c r="IO8" s="224"/>
      <c r="IP8" s="243"/>
      <c r="IQ8" s="168">
        <f t="shared" si="58"/>
        <v>0</v>
      </c>
      <c r="IR8" s="242"/>
      <c r="IS8" s="224">
        <f>1862.802+2415.769</f>
        <v>4278.5709999999999</v>
      </c>
      <c r="IT8" s="224"/>
      <c r="IU8" s="224"/>
      <c r="IV8" s="243"/>
      <c r="IW8" s="168">
        <f t="shared" si="59"/>
        <v>4278.5709999999999</v>
      </c>
      <c r="IX8" s="242"/>
      <c r="IY8" s="224"/>
      <c r="IZ8" s="224"/>
      <c r="JA8" s="224"/>
      <c r="JB8" s="243"/>
      <c r="JC8" s="168">
        <f t="shared" si="60"/>
        <v>0</v>
      </c>
      <c r="JD8" s="168">
        <f t="shared" si="24"/>
        <v>6617.6840000000002</v>
      </c>
      <c r="JE8" s="242"/>
      <c r="JF8" s="224">
        <v>778.69799999999998</v>
      </c>
      <c r="JG8" s="224"/>
      <c r="JH8" s="224"/>
      <c r="JI8" s="243">
        <v>1260.0650000000001</v>
      </c>
      <c r="JJ8" s="168">
        <f t="shared" si="61"/>
        <v>2038.7629999999999</v>
      </c>
      <c r="JK8" s="242"/>
      <c r="JL8" s="224"/>
      <c r="JM8" s="224"/>
      <c r="JN8" s="224"/>
      <c r="JO8" s="243"/>
      <c r="JP8" s="168">
        <f t="shared" si="62"/>
        <v>0</v>
      </c>
      <c r="JQ8" s="242"/>
      <c r="JR8" s="224"/>
      <c r="JS8" s="224"/>
      <c r="JT8" s="224"/>
      <c r="JU8" s="243"/>
      <c r="JV8" s="168">
        <f t="shared" si="63"/>
        <v>0</v>
      </c>
      <c r="JW8" s="242"/>
      <c r="JX8" s="224"/>
      <c r="JY8" s="224"/>
      <c r="JZ8" s="224"/>
      <c r="KA8" s="224"/>
      <c r="KB8" s="243"/>
      <c r="KC8" s="168">
        <f t="shared" si="64"/>
        <v>0</v>
      </c>
      <c r="KD8" s="168">
        <f t="shared" si="65"/>
        <v>2038.7629999999999</v>
      </c>
      <c r="KE8" s="242"/>
      <c r="KF8" s="224"/>
      <c r="KG8" s="224"/>
      <c r="KH8" s="224"/>
      <c r="KI8" s="243"/>
      <c r="KJ8" s="168"/>
      <c r="KK8" s="242"/>
      <c r="KL8" s="224"/>
      <c r="KM8" s="224"/>
      <c r="KN8" s="224"/>
      <c r="KO8" s="243"/>
      <c r="KP8" s="168"/>
      <c r="KQ8" s="242"/>
      <c r="KR8" s="224"/>
      <c r="KS8" s="224"/>
      <c r="KT8" s="224"/>
      <c r="KU8" s="243"/>
      <c r="KV8" s="168"/>
      <c r="KW8" s="242"/>
      <c r="KX8" s="224"/>
      <c r="KY8" s="224"/>
      <c r="KZ8" s="224"/>
      <c r="LA8" s="243"/>
      <c r="LB8" s="168"/>
      <c r="LC8" s="242"/>
      <c r="LD8" s="224"/>
      <c r="LE8" s="243"/>
      <c r="LF8" s="168">
        <f t="shared" si="70"/>
        <v>0</v>
      </c>
      <c r="LG8" s="168">
        <v>1200</v>
      </c>
    </row>
    <row r="9" spans="2:322">
      <c r="B9" s="441" t="s">
        <v>93</v>
      </c>
      <c r="C9" s="167">
        <v>68500</v>
      </c>
      <c r="D9" s="181">
        <f t="shared" si="72"/>
        <v>68500</v>
      </c>
      <c r="E9" s="167"/>
      <c r="F9" s="177"/>
      <c r="G9" s="177"/>
      <c r="H9" s="177"/>
      <c r="I9" s="178"/>
      <c r="J9" s="181">
        <f t="shared" si="6"/>
        <v>0</v>
      </c>
      <c r="K9" s="167">
        <v>49500</v>
      </c>
      <c r="L9" s="177"/>
      <c r="M9" s="177">
        <v>21000</v>
      </c>
      <c r="N9" s="178"/>
      <c r="O9" s="181">
        <f t="shared" si="7"/>
        <v>70500</v>
      </c>
      <c r="P9" s="167">
        <v>40000</v>
      </c>
      <c r="Q9" s="177"/>
      <c r="R9" s="177">
        <v>50000</v>
      </c>
      <c r="S9" s="177"/>
      <c r="T9" s="178"/>
      <c r="U9" s="168">
        <f t="shared" si="25"/>
        <v>90000</v>
      </c>
      <c r="V9" s="167">
        <f>50000+100000</f>
        <v>150000</v>
      </c>
      <c r="W9" s="177">
        <f>25000+200000</f>
        <v>225000</v>
      </c>
      <c r="X9" s="177"/>
      <c r="Y9" s="177">
        <v>24000</v>
      </c>
      <c r="Z9" s="177"/>
      <c r="AA9" s="168">
        <f t="shared" si="26"/>
        <v>399000</v>
      </c>
      <c r="AB9" s="168">
        <f t="shared" si="8"/>
        <v>628000</v>
      </c>
      <c r="AC9" s="242">
        <f>10000+150000</f>
        <v>160000</v>
      </c>
      <c r="AD9" s="224"/>
      <c r="AE9" s="224"/>
      <c r="AF9" s="224">
        <v>30000</v>
      </c>
      <c r="AG9" s="243"/>
      <c r="AH9" s="168">
        <f t="shared" si="27"/>
        <v>190000</v>
      </c>
      <c r="AI9" s="242"/>
      <c r="AJ9" s="224">
        <f>30000+200000</f>
        <v>230000</v>
      </c>
      <c r="AK9" s="224"/>
      <c r="AL9" s="224">
        <v>250000</v>
      </c>
      <c r="AM9" s="243">
        <v>25000</v>
      </c>
      <c r="AN9" s="168">
        <f t="shared" si="9"/>
        <v>505000</v>
      </c>
      <c r="AO9" s="242"/>
      <c r="AP9" s="224"/>
      <c r="AQ9" s="224"/>
      <c r="AR9" s="224">
        <v>60000</v>
      </c>
      <c r="AS9" s="243"/>
      <c r="AT9" s="168">
        <f t="shared" si="28"/>
        <v>60000</v>
      </c>
      <c r="AU9" s="242">
        <v>100000</v>
      </c>
      <c r="AV9" s="224"/>
      <c r="AW9" s="224"/>
      <c r="AX9" s="224"/>
      <c r="AY9" s="243"/>
      <c r="AZ9" s="168">
        <f t="shared" si="29"/>
        <v>100000</v>
      </c>
      <c r="BA9" s="168">
        <f t="shared" si="30"/>
        <v>855000</v>
      </c>
      <c r="BB9" s="242">
        <v>50000</v>
      </c>
      <c r="BC9" s="224">
        <f>25000+40000</f>
        <v>65000</v>
      </c>
      <c r="BD9" s="224">
        <v>100000</v>
      </c>
      <c r="BE9" s="224">
        <v>40000</v>
      </c>
      <c r="BF9" s="243"/>
      <c r="BG9" s="168">
        <f t="shared" si="31"/>
        <v>255000</v>
      </c>
      <c r="BH9" s="242"/>
      <c r="BI9" s="224"/>
      <c r="BJ9" s="224"/>
      <c r="BK9" s="224"/>
      <c r="BL9" s="243">
        <v>50000</v>
      </c>
      <c r="BM9" s="168">
        <f t="shared" si="10"/>
        <v>50000</v>
      </c>
      <c r="BN9" s="242">
        <v>40000</v>
      </c>
      <c r="BO9" s="224"/>
      <c r="BP9" s="224"/>
      <c r="BQ9" s="243"/>
      <c r="BR9" s="168">
        <f t="shared" si="11"/>
        <v>40000</v>
      </c>
      <c r="BS9" s="242"/>
      <c r="BT9" s="224"/>
      <c r="BU9" s="224"/>
      <c r="BV9" s="224"/>
      <c r="BW9" s="243">
        <v>10000</v>
      </c>
      <c r="BX9" s="239">
        <f t="shared" si="12"/>
        <v>10000</v>
      </c>
      <c r="BY9" s="242"/>
      <c r="BZ9" s="224">
        <v>150000</v>
      </c>
      <c r="CA9" s="168">
        <f t="shared" si="13"/>
        <v>150000</v>
      </c>
      <c r="CB9" s="168">
        <f t="shared" si="14"/>
        <v>505000</v>
      </c>
      <c r="CC9" s="242">
        <f>25000+23000</f>
        <v>48000</v>
      </c>
      <c r="CD9" s="224"/>
      <c r="CE9" s="224"/>
      <c r="CF9" s="168">
        <f t="shared" si="15"/>
        <v>48000</v>
      </c>
      <c r="CG9" s="242">
        <v>200000</v>
      </c>
      <c r="CH9" s="224">
        <f>10000+30000</f>
        <v>40000</v>
      </c>
      <c r="CI9" s="224"/>
      <c r="CJ9" s="243">
        <v>20000</v>
      </c>
      <c r="CK9" s="168">
        <f t="shared" si="32"/>
        <v>260000</v>
      </c>
      <c r="CL9" s="242"/>
      <c r="CM9" s="224"/>
      <c r="CN9" s="224">
        <v>5000</v>
      </c>
      <c r="CO9" s="224">
        <v>30000</v>
      </c>
      <c r="CP9" s="243">
        <v>15000</v>
      </c>
      <c r="CQ9" s="168">
        <f t="shared" si="33"/>
        <v>50000</v>
      </c>
      <c r="CR9" s="242"/>
      <c r="CS9" s="224"/>
      <c r="CT9" s="224">
        <v>20000</v>
      </c>
      <c r="CU9" s="224"/>
      <c r="CV9" s="243"/>
      <c r="CW9" s="168">
        <f t="shared" si="16"/>
        <v>20000</v>
      </c>
      <c r="CX9" s="242"/>
      <c r="CY9" s="224"/>
      <c r="CZ9" s="224"/>
      <c r="DA9" s="243">
        <v>35000</v>
      </c>
      <c r="DB9" s="168">
        <f t="shared" si="17"/>
        <v>35000</v>
      </c>
      <c r="DC9" s="168">
        <f t="shared" si="18"/>
        <v>413000</v>
      </c>
      <c r="DD9" s="242">
        <f>40000+100000+25000</f>
        <v>165000</v>
      </c>
      <c r="DE9" s="224"/>
      <c r="DF9" s="224">
        <v>10000</v>
      </c>
      <c r="DG9" s="224">
        <v>10000</v>
      </c>
      <c r="DH9" s="224"/>
      <c r="DI9" s="168">
        <f t="shared" si="34"/>
        <v>185000</v>
      </c>
      <c r="DJ9" s="242"/>
      <c r="DK9" s="224"/>
      <c r="DL9" s="224"/>
      <c r="DM9" s="224"/>
      <c r="DN9" s="243"/>
      <c r="DO9" s="168">
        <f t="shared" si="35"/>
        <v>0</v>
      </c>
      <c r="DP9" s="242"/>
      <c r="DQ9" s="224"/>
      <c r="DR9" s="224">
        <v>150000</v>
      </c>
      <c r="DS9" s="224"/>
      <c r="DT9" s="243"/>
      <c r="DU9" s="168">
        <f t="shared" si="36"/>
        <v>150000</v>
      </c>
      <c r="DV9" s="242">
        <v>30000</v>
      </c>
      <c r="DW9" s="224"/>
      <c r="DX9" s="224"/>
      <c r="DY9" s="224"/>
      <c r="DZ9" s="243"/>
      <c r="EA9" s="168">
        <f t="shared" si="19"/>
        <v>30000</v>
      </c>
      <c r="EB9" s="168">
        <f t="shared" si="37"/>
        <v>365000</v>
      </c>
      <c r="EC9" s="242"/>
      <c r="ED9" s="224">
        <v>60000</v>
      </c>
      <c r="EE9" s="224"/>
      <c r="EF9" s="224">
        <v>20000</v>
      </c>
      <c r="EG9" s="243"/>
      <c r="EH9" s="168">
        <f t="shared" si="38"/>
        <v>80000</v>
      </c>
      <c r="EI9" s="242"/>
      <c r="EJ9" s="224"/>
      <c r="EK9" s="224"/>
      <c r="EL9" s="224"/>
      <c r="EM9" s="243"/>
      <c r="EN9" s="168">
        <f t="shared" si="39"/>
        <v>0</v>
      </c>
      <c r="EO9" s="242"/>
      <c r="EP9" s="224">
        <v>20000</v>
      </c>
      <c r="EQ9" s="224"/>
      <c r="ER9" s="224"/>
      <c r="ES9" s="243"/>
      <c r="ET9" s="168">
        <f t="shared" si="40"/>
        <v>20000</v>
      </c>
      <c r="EU9" s="242"/>
      <c r="EV9" s="224"/>
      <c r="EW9" s="224"/>
      <c r="EX9" s="224"/>
      <c r="EY9" s="224">
        <v>50000</v>
      </c>
      <c r="EZ9" s="224">
        <v>20000</v>
      </c>
      <c r="FA9" s="243"/>
      <c r="FB9" s="168">
        <f t="shared" si="41"/>
        <v>70000</v>
      </c>
      <c r="FC9" s="168">
        <f t="shared" si="42"/>
        <v>170000</v>
      </c>
      <c r="FD9" s="242"/>
      <c r="FE9" s="224">
        <v>50000</v>
      </c>
      <c r="FF9" s="243"/>
      <c r="FG9" s="168">
        <f t="shared" si="43"/>
        <v>50000</v>
      </c>
      <c r="FH9" s="242"/>
      <c r="FI9" s="224"/>
      <c r="FJ9" s="224"/>
      <c r="FK9" s="224">
        <v>110000</v>
      </c>
      <c r="FL9" s="243">
        <v>25000</v>
      </c>
      <c r="FM9" s="168">
        <f t="shared" si="44"/>
        <v>135000</v>
      </c>
      <c r="FN9" s="242">
        <v>15000</v>
      </c>
      <c r="FO9" s="224"/>
      <c r="FP9" s="224"/>
      <c r="FQ9" s="224">
        <v>25000</v>
      </c>
      <c r="FR9" s="168">
        <f t="shared" si="45"/>
        <v>40000</v>
      </c>
      <c r="FS9" s="242"/>
      <c r="FT9" s="224"/>
      <c r="FU9" s="224"/>
      <c r="FV9" s="224"/>
      <c r="FW9" s="243"/>
      <c r="FX9" s="168">
        <f t="shared" si="46"/>
        <v>0</v>
      </c>
      <c r="FY9" s="242"/>
      <c r="FZ9" s="224"/>
      <c r="GA9" s="224">
        <v>25000</v>
      </c>
      <c r="GB9" s="224"/>
      <c r="GC9" s="243">
        <v>100000</v>
      </c>
      <c r="GD9" s="168">
        <f t="shared" si="47"/>
        <v>125000</v>
      </c>
      <c r="GE9" s="168">
        <f t="shared" si="20"/>
        <v>350000</v>
      </c>
      <c r="GF9" s="242">
        <v>55000</v>
      </c>
      <c r="GG9" s="224"/>
      <c r="GH9" s="224"/>
      <c r="GI9" s="224"/>
      <c r="GJ9" s="224">
        <v>100000</v>
      </c>
      <c r="GK9" s="168">
        <f t="shared" si="48"/>
        <v>155000</v>
      </c>
      <c r="GL9" s="242"/>
      <c r="GM9" s="224"/>
      <c r="GN9" s="224">
        <v>30000</v>
      </c>
      <c r="GO9" s="243"/>
      <c r="GP9" s="168">
        <f t="shared" si="49"/>
        <v>30000</v>
      </c>
      <c r="GQ9" s="242"/>
      <c r="GR9" s="224">
        <v>30000</v>
      </c>
      <c r="GS9" s="224"/>
      <c r="GT9" s="224"/>
      <c r="GU9" s="243"/>
      <c r="GV9" s="168">
        <f t="shared" si="50"/>
        <v>30000</v>
      </c>
      <c r="GW9" s="242"/>
      <c r="GX9" s="224"/>
      <c r="GY9" s="224"/>
      <c r="GZ9" s="224"/>
      <c r="HA9" s="224"/>
      <c r="HB9" s="243">
        <v>50000</v>
      </c>
      <c r="HC9" s="168">
        <f t="shared" si="51"/>
        <v>50000</v>
      </c>
      <c r="HD9" s="168">
        <f t="shared" si="21"/>
        <v>265000</v>
      </c>
      <c r="HE9" s="242">
        <f>20000+70000</f>
        <v>90000</v>
      </c>
      <c r="HF9" s="224"/>
      <c r="HG9" s="224"/>
      <c r="HH9" s="224"/>
      <c r="HI9" s="168">
        <f t="shared" si="52"/>
        <v>90000</v>
      </c>
      <c r="HJ9" s="242"/>
      <c r="HK9" s="224"/>
      <c r="HL9" s="224"/>
      <c r="HM9" s="224">
        <v>20000</v>
      </c>
      <c r="HN9" s="243"/>
      <c r="HO9" s="168">
        <f t="shared" si="53"/>
        <v>20000</v>
      </c>
      <c r="HP9" s="242"/>
      <c r="HQ9" s="224">
        <v>100000</v>
      </c>
      <c r="HR9" s="224">
        <v>85000</v>
      </c>
      <c r="HS9" s="224"/>
      <c r="HT9" s="243"/>
      <c r="HU9" s="168">
        <f t="shared" si="54"/>
        <v>185000</v>
      </c>
      <c r="HV9" s="242">
        <v>45000</v>
      </c>
      <c r="HW9" s="224"/>
      <c r="HX9" s="224"/>
      <c r="HY9" s="168">
        <f t="shared" si="22"/>
        <v>45000</v>
      </c>
      <c r="HZ9" s="242"/>
      <c r="IA9" s="224"/>
      <c r="IB9" s="243">
        <v>100000</v>
      </c>
      <c r="IC9" s="168">
        <f t="shared" si="55"/>
        <v>100000</v>
      </c>
      <c r="ID9" s="168">
        <f t="shared" si="23"/>
        <v>440000</v>
      </c>
      <c r="IE9" s="242">
        <f>50000+50000</f>
        <v>100000</v>
      </c>
      <c r="IF9" s="243"/>
      <c r="IG9" s="168">
        <f t="shared" si="56"/>
        <v>100000</v>
      </c>
      <c r="IH9" s="242"/>
      <c r="II9" s="224"/>
      <c r="IJ9" s="224"/>
      <c r="IK9" s="224"/>
      <c r="IL9" s="243"/>
      <c r="IM9" s="168">
        <f t="shared" si="57"/>
        <v>0</v>
      </c>
      <c r="IN9" s="242">
        <v>100000</v>
      </c>
      <c r="IO9" s="224">
        <v>45000</v>
      </c>
      <c r="IP9" s="243"/>
      <c r="IQ9" s="168">
        <f t="shared" si="58"/>
        <v>145000</v>
      </c>
      <c r="IR9" s="242"/>
      <c r="IS9" s="224"/>
      <c r="IT9" s="224"/>
      <c r="IU9" s="224"/>
      <c r="IV9" s="243"/>
      <c r="IW9" s="168">
        <f t="shared" si="59"/>
        <v>0</v>
      </c>
      <c r="IX9" s="242"/>
      <c r="IY9" s="224"/>
      <c r="IZ9" s="224"/>
      <c r="JA9" s="224"/>
      <c r="JB9" s="243">
        <v>80000</v>
      </c>
      <c r="JC9" s="168">
        <f t="shared" si="60"/>
        <v>80000</v>
      </c>
      <c r="JD9" s="168">
        <f t="shared" si="24"/>
        <v>325000</v>
      </c>
      <c r="JE9" s="242"/>
      <c r="JF9" s="224"/>
      <c r="JG9" s="224"/>
      <c r="JH9" s="224"/>
      <c r="JI9" s="243"/>
      <c r="JJ9" s="168">
        <f t="shared" si="61"/>
        <v>0</v>
      </c>
      <c r="JK9" s="242"/>
      <c r="JL9" s="224"/>
      <c r="JM9" s="224"/>
      <c r="JN9" s="224"/>
      <c r="JO9" s="243"/>
      <c r="JP9" s="168">
        <f t="shared" si="62"/>
        <v>0</v>
      </c>
      <c r="JQ9" s="242"/>
      <c r="JR9" s="224"/>
      <c r="JS9" s="224"/>
      <c r="JT9" s="224"/>
      <c r="JU9" s="243"/>
      <c r="JV9" s="168">
        <f t="shared" si="63"/>
        <v>0</v>
      </c>
      <c r="JW9" s="242"/>
      <c r="JX9" s="224"/>
      <c r="JY9" s="224"/>
      <c r="JZ9" s="224"/>
      <c r="KA9" s="224"/>
      <c r="KB9" s="243"/>
      <c r="KC9" s="168">
        <f t="shared" si="64"/>
        <v>0</v>
      </c>
      <c r="KD9" s="168">
        <f t="shared" si="65"/>
        <v>0</v>
      </c>
      <c r="KE9" s="242"/>
      <c r="KF9" s="224"/>
      <c r="KG9" s="224"/>
      <c r="KH9" s="224"/>
      <c r="KI9" s="243"/>
      <c r="KJ9" s="168">
        <f t="shared" si="66"/>
        <v>0</v>
      </c>
      <c r="KK9" s="242"/>
      <c r="KL9" s="224"/>
      <c r="KM9" s="224"/>
      <c r="KN9" s="224"/>
      <c r="KO9" s="243"/>
      <c r="KP9" s="168">
        <f t="shared" si="67"/>
        <v>0</v>
      </c>
      <c r="KQ9" s="242"/>
      <c r="KR9" s="224"/>
      <c r="KS9" s="224"/>
      <c r="KT9" s="224"/>
      <c r="KU9" s="243"/>
      <c r="KV9" s="168">
        <f t="shared" si="68"/>
        <v>0</v>
      </c>
      <c r="KW9" s="242"/>
      <c r="KX9" s="224"/>
      <c r="KY9" s="224"/>
      <c r="KZ9" s="224"/>
      <c r="LA9" s="243"/>
      <c r="LB9" s="168">
        <f t="shared" si="69"/>
        <v>0</v>
      </c>
      <c r="LC9" s="242"/>
      <c r="LD9" s="224"/>
      <c r="LE9" s="243"/>
      <c r="LF9" s="168">
        <f t="shared" si="70"/>
        <v>0</v>
      </c>
      <c r="LG9" s="168">
        <v>850000</v>
      </c>
    </row>
    <row r="10" spans="2:322">
      <c r="B10" s="93" t="s">
        <v>91</v>
      </c>
      <c r="C10" s="167"/>
      <c r="D10" s="181">
        <f t="shared" si="72"/>
        <v>0</v>
      </c>
      <c r="E10" s="167"/>
      <c r="F10" s="177"/>
      <c r="G10" s="177"/>
      <c r="H10" s="177"/>
      <c r="I10" s="178"/>
      <c r="J10" s="181">
        <f t="shared" si="6"/>
        <v>0</v>
      </c>
      <c r="K10" s="167"/>
      <c r="L10" s="177"/>
      <c r="M10" s="177"/>
      <c r="N10" s="178"/>
      <c r="O10" s="181">
        <f t="shared" si="7"/>
        <v>0</v>
      </c>
      <c r="P10" s="167"/>
      <c r="Q10" s="177">
        <v>50001.57</v>
      </c>
      <c r="R10" s="177"/>
      <c r="S10" s="177"/>
      <c r="T10" s="178"/>
      <c r="U10" s="168">
        <f t="shared" si="25"/>
        <v>50001.57</v>
      </c>
      <c r="V10" s="167"/>
      <c r="W10" s="177"/>
      <c r="X10" s="177"/>
      <c r="Y10" s="177"/>
      <c r="Z10" s="177"/>
      <c r="AA10" s="168">
        <f t="shared" si="26"/>
        <v>0</v>
      </c>
      <c r="AB10" s="168">
        <f t="shared" si="8"/>
        <v>50001.57</v>
      </c>
      <c r="AC10" s="242"/>
      <c r="AD10" s="224"/>
      <c r="AE10" s="224"/>
      <c r="AF10" s="224"/>
      <c r="AG10" s="243"/>
      <c r="AH10" s="168">
        <f t="shared" si="27"/>
        <v>0</v>
      </c>
      <c r="AI10" s="242"/>
      <c r="AJ10" s="224"/>
      <c r="AK10" s="224"/>
      <c r="AL10" s="224"/>
      <c r="AM10" s="243"/>
      <c r="AN10" s="168">
        <f t="shared" si="9"/>
        <v>0</v>
      </c>
      <c r="AO10" s="242"/>
      <c r="AP10" s="224"/>
      <c r="AQ10" s="224"/>
      <c r="AR10" s="224"/>
      <c r="AS10" s="243">
        <v>50001.57</v>
      </c>
      <c r="AT10" s="168">
        <f t="shared" si="28"/>
        <v>50001.57</v>
      </c>
      <c r="AU10" s="242"/>
      <c r="AV10" s="224"/>
      <c r="AW10" s="224"/>
      <c r="AX10" s="224"/>
      <c r="AY10" s="243"/>
      <c r="AZ10" s="168">
        <f t="shared" si="29"/>
        <v>0</v>
      </c>
      <c r="BA10" s="168">
        <f t="shared" si="30"/>
        <v>50001.57</v>
      </c>
      <c r="BB10" s="242"/>
      <c r="BC10" s="224"/>
      <c r="BD10" s="224"/>
      <c r="BE10" s="224"/>
      <c r="BF10" s="243"/>
      <c r="BG10" s="168">
        <f t="shared" si="31"/>
        <v>0</v>
      </c>
      <c r="BH10" s="242"/>
      <c r="BI10" s="224"/>
      <c r="BJ10" s="224"/>
      <c r="BK10" s="224"/>
      <c r="BL10" s="243"/>
      <c r="BM10" s="168">
        <f t="shared" si="10"/>
        <v>0</v>
      </c>
      <c r="BN10" s="242"/>
      <c r="BO10" s="224"/>
      <c r="BP10" s="224"/>
      <c r="BQ10" s="243"/>
      <c r="BR10" s="168">
        <f t="shared" si="11"/>
        <v>0</v>
      </c>
      <c r="BS10" s="242">
        <v>50001.57</v>
      </c>
      <c r="BT10" s="224"/>
      <c r="BU10" s="224"/>
      <c r="BV10" s="224"/>
      <c r="BW10" s="243"/>
      <c r="BX10" s="239">
        <f t="shared" si="12"/>
        <v>50001.57</v>
      </c>
      <c r="BY10" s="242"/>
      <c r="BZ10" s="224"/>
      <c r="CA10" s="168">
        <f t="shared" si="13"/>
        <v>0</v>
      </c>
      <c r="CB10" s="168">
        <f t="shared" si="14"/>
        <v>50001.57</v>
      </c>
      <c r="CC10" s="242"/>
      <c r="CD10" s="224"/>
      <c r="CE10" s="224"/>
      <c r="CF10" s="168">
        <f t="shared" si="15"/>
        <v>0</v>
      </c>
      <c r="CG10" s="242"/>
      <c r="CH10" s="224"/>
      <c r="CI10" s="224"/>
      <c r="CJ10" s="243"/>
      <c r="CK10" s="168">
        <f t="shared" si="32"/>
        <v>0</v>
      </c>
      <c r="CL10" s="242"/>
      <c r="CM10" s="224"/>
      <c r="CN10" s="224">
        <v>50001.57</v>
      </c>
      <c r="CO10" s="224"/>
      <c r="CP10" s="243"/>
      <c r="CQ10" s="168">
        <f t="shared" si="33"/>
        <v>50001.57</v>
      </c>
      <c r="CR10" s="242"/>
      <c r="CS10" s="224"/>
      <c r="CT10" s="224"/>
      <c r="CU10" s="224"/>
      <c r="CV10" s="243"/>
      <c r="CW10" s="168">
        <f t="shared" si="16"/>
        <v>0</v>
      </c>
      <c r="CX10" s="242"/>
      <c r="CY10" s="224"/>
      <c r="CZ10" s="224"/>
      <c r="DA10" s="243"/>
      <c r="DB10" s="168">
        <f t="shared" si="17"/>
        <v>0</v>
      </c>
      <c r="DC10" s="168">
        <f t="shared" si="18"/>
        <v>50001.57</v>
      </c>
      <c r="DD10" s="242"/>
      <c r="DE10" s="224"/>
      <c r="DF10" s="224"/>
      <c r="DG10" s="224">
        <v>25000</v>
      </c>
      <c r="DH10" s="224"/>
      <c r="DI10" s="168">
        <f t="shared" si="34"/>
        <v>25000</v>
      </c>
      <c r="DJ10" s="242"/>
      <c r="DK10" s="224"/>
      <c r="DL10" s="224"/>
      <c r="DM10" s="224"/>
      <c r="DN10" s="243"/>
      <c r="DO10" s="168">
        <f t="shared" si="35"/>
        <v>0</v>
      </c>
      <c r="DP10" s="242">
        <v>25000</v>
      </c>
      <c r="DQ10" s="224"/>
      <c r="DR10" s="224">
        <v>50001.57</v>
      </c>
      <c r="DS10" s="224"/>
      <c r="DT10" s="243"/>
      <c r="DU10" s="168">
        <f t="shared" si="36"/>
        <v>75001.570000000007</v>
      </c>
      <c r="DV10" s="242"/>
      <c r="DW10" s="224"/>
      <c r="DX10" s="224">
        <v>25000</v>
      </c>
      <c r="DY10" s="224"/>
      <c r="DZ10" s="243"/>
      <c r="EA10" s="168">
        <f t="shared" si="19"/>
        <v>25000</v>
      </c>
      <c r="EB10" s="168">
        <f t="shared" si="37"/>
        <v>125001.57</v>
      </c>
      <c r="EC10" s="242"/>
      <c r="ED10" s="224"/>
      <c r="EE10" s="224">
        <v>25000</v>
      </c>
      <c r="EF10" s="224"/>
      <c r="EG10" s="243"/>
      <c r="EH10" s="168">
        <f t="shared" si="38"/>
        <v>25000</v>
      </c>
      <c r="EI10" s="242"/>
      <c r="EJ10" s="224"/>
      <c r="EK10" s="224"/>
      <c r="EL10" s="224">
        <v>25000</v>
      </c>
      <c r="EM10" s="243"/>
      <c r="EN10" s="168">
        <f t="shared" si="39"/>
        <v>25000</v>
      </c>
      <c r="EO10" s="242"/>
      <c r="EP10" s="224"/>
      <c r="EQ10" s="224"/>
      <c r="ER10" s="224"/>
      <c r="ES10" s="243"/>
      <c r="ET10" s="168">
        <f t="shared" si="40"/>
        <v>0</v>
      </c>
      <c r="EU10" s="242">
        <v>25000</v>
      </c>
      <c r="EV10" s="224"/>
      <c r="EW10" s="224"/>
      <c r="EX10" s="224"/>
      <c r="EY10" s="224"/>
      <c r="EZ10" s="224"/>
      <c r="FA10" s="243">
        <v>25000</v>
      </c>
      <c r="FB10" s="168">
        <f t="shared" si="41"/>
        <v>50000</v>
      </c>
      <c r="FC10" s="168">
        <f t="shared" si="42"/>
        <v>100000</v>
      </c>
      <c r="FD10" s="242"/>
      <c r="FE10" s="224"/>
      <c r="FF10" s="243"/>
      <c r="FG10" s="168">
        <f t="shared" si="43"/>
        <v>0</v>
      </c>
      <c r="FH10" s="242"/>
      <c r="FI10" s="224"/>
      <c r="FJ10" s="224"/>
      <c r="FK10" s="224"/>
      <c r="FL10" s="243"/>
      <c r="FM10" s="168">
        <f t="shared" si="44"/>
        <v>0</v>
      </c>
      <c r="FN10" s="242"/>
      <c r="FO10" s="224"/>
      <c r="FP10" s="224">
        <v>50001.57</v>
      </c>
      <c r="FQ10" s="224"/>
      <c r="FR10" s="168">
        <f t="shared" si="45"/>
        <v>50001.57</v>
      </c>
      <c r="FS10" s="242"/>
      <c r="FT10" s="224"/>
      <c r="FU10" s="224"/>
      <c r="FV10" s="224"/>
      <c r="FW10" s="243"/>
      <c r="FX10" s="168">
        <f t="shared" si="46"/>
        <v>0</v>
      </c>
      <c r="FY10" s="242"/>
      <c r="FZ10" s="224"/>
      <c r="GA10" s="224"/>
      <c r="GB10" s="224"/>
      <c r="GC10" s="243"/>
      <c r="GD10" s="168">
        <f t="shared" si="47"/>
        <v>0</v>
      </c>
      <c r="GE10" s="168">
        <f t="shared" si="20"/>
        <v>50001.57</v>
      </c>
      <c r="GF10" s="242"/>
      <c r="GG10" s="224"/>
      <c r="GH10" s="224"/>
      <c r="GI10" s="224"/>
      <c r="GJ10" s="224"/>
      <c r="GK10" s="168">
        <f t="shared" si="48"/>
        <v>0</v>
      </c>
      <c r="GL10" s="242"/>
      <c r="GM10" s="224"/>
      <c r="GN10" s="224"/>
      <c r="GO10" s="243"/>
      <c r="GP10" s="168">
        <f t="shared" si="49"/>
        <v>0</v>
      </c>
      <c r="GQ10" s="242">
        <v>175001.57</v>
      </c>
      <c r="GR10" s="224"/>
      <c r="GS10" s="224"/>
      <c r="GT10" s="224"/>
      <c r="GU10" s="243"/>
      <c r="GV10" s="168">
        <f t="shared" si="50"/>
        <v>175001.57</v>
      </c>
      <c r="GW10" s="242"/>
      <c r="GX10" s="224"/>
      <c r="GY10" s="224"/>
      <c r="GZ10" s="224"/>
      <c r="HA10" s="224"/>
      <c r="HB10" s="243"/>
      <c r="HC10" s="168">
        <f t="shared" si="51"/>
        <v>0</v>
      </c>
      <c r="HD10" s="168">
        <f t="shared" si="21"/>
        <v>175001.57</v>
      </c>
      <c r="HE10" s="242"/>
      <c r="HF10" s="224"/>
      <c r="HG10" s="224"/>
      <c r="HH10" s="224"/>
      <c r="HI10" s="168">
        <f t="shared" si="52"/>
        <v>0</v>
      </c>
      <c r="HJ10" s="242"/>
      <c r="HK10" s="224"/>
      <c r="HL10" s="224"/>
      <c r="HM10" s="224"/>
      <c r="HN10" s="243"/>
      <c r="HO10" s="168">
        <f t="shared" si="53"/>
        <v>0</v>
      </c>
      <c r="HP10" s="242"/>
      <c r="HQ10" s="224"/>
      <c r="HR10" s="224"/>
      <c r="HS10" s="224"/>
      <c r="HT10" s="243"/>
      <c r="HU10" s="168">
        <f t="shared" si="54"/>
        <v>0</v>
      </c>
      <c r="HV10" s="242"/>
      <c r="HW10" s="224"/>
      <c r="HX10" s="224"/>
      <c r="HY10" s="168">
        <f t="shared" si="22"/>
        <v>0</v>
      </c>
      <c r="HZ10" s="242">
        <v>75001.570000000007</v>
      </c>
      <c r="IA10" s="224"/>
      <c r="IB10" s="243"/>
      <c r="IC10" s="168">
        <f t="shared" si="55"/>
        <v>75001.570000000007</v>
      </c>
      <c r="ID10" s="168">
        <f t="shared" si="23"/>
        <v>75001.570000000007</v>
      </c>
      <c r="IE10" s="242"/>
      <c r="IF10" s="243"/>
      <c r="IG10" s="168">
        <f t="shared" si="56"/>
        <v>0</v>
      </c>
      <c r="IH10" s="242"/>
      <c r="II10" s="224"/>
      <c r="IJ10" s="224"/>
      <c r="IK10" s="224"/>
      <c r="IL10" s="243"/>
      <c r="IM10" s="168">
        <f t="shared" si="57"/>
        <v>0</v>
      </c>
      <c r="IN10" s="242">
        <v>75001.570000000007</v>
      </c>
      <c r="IO10" s="224"/>
      <c r="IP10" s="243"/>
      <c r="IQ10" s="168">
        <f t="shared" si="58"/>
        <v>75001.570000000007</v>
      </c>
      <c r="IR10" s="242"/>
      <c r="IS10" s="224"/>
      <c r="IT10" s="224"/>
      <c r="IU10" s="224"/>
      <c r="IV10" s="243"/>
      <c r="IW10" s="168">
        <f t="shared" si="59"/>
        <v>0</v>
      </c>
      <c r="IX10" s="242"/>
      <c r="IY10" s="224"/>
      <c r="IZ10" s="224"/>
      <c r="JA10" s="224"/>
      <c r="JB10" s="243"/>
      <c r="JC10" s="168">
        <f t="shared" si="60"/>
        <v>0</v>
      </c>
      <c r="JD10" s="168">
        <f t="shared" si="24"/>
        <v>75001.570000000007</v>
      </c>
      <c r="JE10" s="242"/>
      <c r="JF10" s="224"/>
      <c r="JG10" s="224"/>
      <c r="JH10" s="224"/>
      <c r="JI10" s="243"/>
      <c r="JJ10" s="168">
        <f t="shared" si="61"/>
        <v>0</v>
      </c>
      <c r="JK10" s="242"/>
      <c r="JL10" s="224"/>
      <c r="JM10" s="224"/>
      <c r="JN10" s="224"/>
      <c r="JO10" s="243"/>
      <c r="JP10" s="168">
        <f t="shared" si="62"/>
        <v>0</v>
      </c>
      <c r="JQ10" s="242"/>
      <c r="JR10" s="224"/>
      <c r="JS10" s="224"/>
      <c r="JT10" s="224"/>
      <c r="JU10" s="243"/>
      <c r="JV10" s="168">
        <f t="shared" si="63"/>
        <v>0</v>
      </c>
      <c r="JW10" s="242"/>
      <c r="JX10" s="224"/>
      <c r="JY10" s="224"/>
      <c r="JZ10" s="224"/>
      <c r="KA10" s="224"/>
      <c r="KB10" s="243"/>
      <c r="KC10" s="168">
        <f t="shared" si="64"/>
        <v>0</v>
      </c>
      <c r="KD10" s="168">
        <f t="shared" si="65"/>
        <v>0</v>
      </c>
      <c r="KE10" s="242"/>
      <c r="KF10" s="224"/>
      <c r="KG10" s="224"/>
      <c r="KH10" s="224"/>
      <c r="KI10" s="243"/>
      <c r="KJ10" s="168">
        <f t="shared" si="66"/>
        <v>0</v>
      </c>
      <c r="KK10" s="242"/>
      <c r="KL10" s="224"/>
      <c r="KM10" s="224"/>
      <c r="KN10" s="224"/>
      <c r="KO10" s="243"/>
      <c r="KP10" s="168">
        <f t="shared" si="67"/>
        <v>0</v>
      </c>
      <c r="KQ10" s="242"/>
      <c r="KR10" s="224"/>
      <c r="KS10" s="224"/>
      <c r="KT10" s="224"/>
      <c r="KU10" s="243"/>
      <c r="KV10" s="168">
        <f t="shared" si="68"/>
        <v>0</v>
      </c>
      <c r="KW10" s="242"/>
      <c r="KX10" s="224"/>
      <c r="KY10" s="224"/>
      <c r="KZ10" s="224"/>
      <c r="LA10" s="243"/>
      <c r="LB10" s="168">
        <f t="shared" si="69"/>
        <v>0</v>
      </c>
      <c r="LC10" s="242"/>
      <c r="LD10" s="224"/>
      <c r="LE10" s="243"/>
      <c r="LF10" s="168">
        <f t="shared" si="70"/>
        <v>0</v>
      </c>
      <c r="LG10" s="168">
        <f t="shared" si="71"/>
        <v>0</v>
      </c>
    </row>
    <row r="11" spans="2:322">
      <c r="B11" s="93" t="s">
        <v>94</v>
      </c>
      <c r="C11" s="167"/>
      <c r="D11" s="181">
        <f t="shared" si="72"/>
        <v>0</v>
      </c>
      <c r="E11" s="167"/>
      <c r="F11" s="177">
        <v>150000</v>
      </c>
      <c r="G11" s="177"/>
      <c r="H11" s="177"/>
      <c r="I11" s="178">
        <v>120000</v>
      </c>
      <c r="J11" s="181">
        <f t="shared" si="6"/>
        <v>270000</v>
      </c>
      <c r="K11" s="167"/>
      <c r="L11" s="177">
        <f>50000+100000</f>
        <v>150000</v>
      </c>
      <c r="M11" s="177"/>
      <c r="N11" s="178"/>
      <c r="O11" s="181">
        <f t="shared" si="7"/>
        <v>150000</v>
      </c>
      <c r="P11" s="167"/>
      <c r="Q11" s="177"/>
      <c r="R11" s="177">
        <v>50000</v>
      </c>
      <c r="S11" s="177"/>
      <c r="T11" s="178"/>
      <c r="U11" s="168">
        <f t="shared" si="25"/>
        <v>50000</v>
      </c>
      <c r="V11" s="167">
        <v>200000</v>
      </c>
      <c r="W11" s="177"/>
      <c r="X11" s="177">
        <v>100000</v>
      </c>
      <c r="Y11" s="177">
        <v>45000</v>
      </c>
      <c r="Z11" s="177"/>
      <c r="AA11" s="168">
        <f t="shared" si="26"/>
        <v>345000</v>
      </c>
      <c r="AB11" s="168">
        <f t="shared" si="8"/>
        <v>815000</v>
      </c>
      <c r="AC11" s="242"/>
      <c r="AD11" s="224"/>
      <c r="AE11" s="224"/>
      <c r="AF11" s="224"/>
      <c r="AG11" s="243"/>
      <c r="AH11" s="168">
        <f t="shared" si="27"/>
        <v>0</v>
      </c>
      <c r="AI11" s="242"/>
      <c r="AJ11" s="224"/>
      <c r="AK11" s="224"/>
      <c r="AL11" s="224">
        <v>100000</v>
      </c>
      <c r="AM11" s="243"/>
      <c r="AN11" s="168">
        <f t="shared" si="9"/>
        <v>100000</v>
      </c>
      <c r="AO11" s="242"/>
      <c r="AP11" s="224"/>
      <c r="AQ11" s="224"/>
      <c r="AR11" s="224">
        <v>50000</v>
      </c>
      <c r="AS11" s="243"/>
      <c r="AT11" s="168">
        <f t="shared" si="28"/>
        <v>50000</v>
      </c>
      <c r="AU11" s="242">
        <v>200000</v>
      </c>
      <c r="AV11" s="224"/>
      <c r="AW11" s="224"/>
      <c r="AX11" s="224"/>
      <c r="AY11" s="243"/>
      <c r="AZ11" s="168">
        <f t="shared" si="29"/>
        <v>200000</v>
      </c>
      <c r="BA11" s="168">
        <f t="shared" si="30"/>
        <v>350000</v>
      </c>
      <c r="BB11" s="242">
        <v>150000</v>
      </c>
      <c r="BC11" s="224"/>
      <c r="BD11" s="224">
        <v>100000</v>
      </c>
      <c r="BE11" s="224"/>
      <c r="BF11" s="243"/>
      <c r="BG11" s="168">
        <f t="shared" si="31"/>
        <v>250000</v>
      </c>
      <c r="BH11" s="242">
        <v>150000</v>
      </c>
      <c r="BI11" s="224"/>
      <c r="BJ11" s="224">
        <v>40000</v>
      </c>
      <c r="BK11" s="224"/>
      <c r="BL11" s="243">
        <v>200000</v>
      </c>
      <c r="BM11" s="168">
        <f t="shared" si="10"/>
        <v>390000</v>
      </c>
      <c r="BN11" s="242"/>
      <c r="BO11" s="224">
        <v>100000</v>
      </c>
      <c r="BP11" s="224"/>
      <c r="BQ11" s="243"/>
      <c r="BR11" s="168">
        <f t="shared" si="11"/>
        <v>100000</v>
      </c>
      <c r="BS11" s="242">
        <v>150000</v>
      </c>
      <c r="BT11" s="224">
        <v>40000</v>
      </c>
      <c r="BU11" s="224"/>
      <c r="BV11" s="224">
        <f>50000+120000</f>
        <v>170000</v>
      </c>
      <c r="BW11" s="243">
        <v>30000</v>
      </c>
      <c r="BX11" s="239">
        <f t="shared" si="12"/>
        <v>390000</v>
      </c>
      <c r="BY11" s="242"/>
      <c r="BZ11" s="224">
        <v>120000</v>
      </c>
      <c r="CA11" s="168">
        <f t="shared" si="13"/>
        <v>120000</v>
      </c>
      <c r="CB11" s="168">
        <f t="shared" si="14"/>
        <v>1250000</v>
      </c>
      <c r="CC11" s="242"/>
      <c r="CD11" s="224">
        <v>120000</v>
      </c>
      <c r="CE11" s="224"/>
      <c r="CF11" s="168">
        <f t="shared" si="15"/>
        <v>120000</v>
      </c>
      <c r="CG11" s="242">
        <v>100000</v>
      </c>
      <c r="CH11" s="224"/>
      <c r="CI11" s="224"/>
      <c r="CJ11" s="243"/>
      <c r="CK11" s="168">
        <f t="shared" si="32"/>
        <v>100000</v>
      </c>
      <c r="CL11" s="242"/>
      <c r="CM11" s="224"/>
      <c r="CN11" s="224">
        <f>100000+50000</f>
        <v>150000</v>
      </c>
      <c r="CO11" s="224">
        <v>1000</v>
      </c>
      <c r="CP11" s="243"/>
      <c r="CQ11" s="168">
        <f t="shared" si="33"/>
        <v>151000</v>
      </c>
      <c r="CR11" s="242"/>
      <c r="CS11" s="224">
        <v>150000</v>
      </c>
      <c r="CT11" s="224"/>
      <c r="CU11" s="224"/>
      <c r="CV11" s="243">
        <v>130000</v>
      </c>
      <c r="CW11" s="168">
        <f t="shared" si="16"/>
        <v>280000</v>
      </c>
      <c r="CX11" s="242"/>
      <c r="CY11" s="224"/>
      <c r="CZ11" s="224"/>
      <c r="DA11" s="243">
        <v>150000</v>
      </c>
      <c r="DB11" s="168">
        <f t="shared" si="17"/>
        <v>150000</v>
      </c>
      <c r="DC11" s="168">
        <f t="shared" si="18"/>
        <v>801000</v>
      </c>
      <c r="DD11" s="242">
        <v>50000</v>
      </c>
      <c r="DE11" s="224"/>
      <c r="DF11" s="224">
        <v>50000</v>
      </c>
      <c r="DG11" s="224"/>
      <c r="DH11" s="224"/>
      <c r="DI11" s="168">
        <f t="shared" si="34"/>
        <v>100000</v>
      </c>
      <c r="DJ11" s="242">
        <v>110000</v>
      </c>
      <c r="DK11" s="224"/>
      <c r="DL11" s="177"/>
      <c r="DM11" s="224"/>
      <c r="DN11" s="243"/>
      <c r="DO11" s="168">
        <f t="shared" si="35"/>
        <v>110000</v>
      </c>
      <c r="DP11" s="242"/>
      <c r="DQ11" s="224">
        <v>80000</v>
      </c>
      <c r="DR11" s="224">
        <v>100000</v>
      </c>
      <c r="DS11" s="224"/>
      <c r="DT11" s="243"/>
      <c r="DU11" s="168">
        <f t="shared" si="36"/>
        <v>180000</v>
      </c>
      <c r="DV11" s="242"/>
      <c r="DW11" s="224"/>
      <c r="DX11" s="224"/>
      <c r="DY11" s="224"/>
      <c r="DZ11" s="243"/>
      <c r="EA11" s="168">
        <f t="shared" si="19"/>
        <v>0</v>
      </c>
      <c r="EB11" s="168">
        <f t="shared" si="37"/>
        <v>390000</v>
      </c>
      <c r="EC11" s="242">
        <v>60000</v>
      </c>
      <c r="ED11" s="224">
        <v>50000</v>
      </c>
      <c r="EE11" s="224"/>
      <c r="EF11" s="224"/>
      <c r="EG11" s="243"/>
      <c r="EH11" s="168">
        <f t="shared" si="38"/>
        <v>110000</v>
      </c>
      <c r="EI11" s="242"/>
      <c r="EJ11" s="224">
        <v>150000</v>
      </c>
      <c r="EK11" s="224"/>
      <c r="EL11" s="224">
        <v>75000</v>
      </c>
      <c r="EM11" s="243"/>
      <c r="EN11" s="168">
        <f t="shared" si="39"/>
        <v>225000</v>
      </c>
      <c r="EO11" s="242">
        <v>100000</v>
      </c>
      <c r="EP11" s="224"/>
      <c r="EQ11" s="224"/>
      <c r="ER11" s="224">
        <v>70000</v>
      </c>
      <c r="ES11" s="243"/>
      <c r="ET11" s="168">
        <f t="shared" si="40"/>
        <v>170000</v>
      </c>
      <c r="EU11" s="242"/>
      <c r="EV11" s="224">
        <v>60000</v>
      </c>
      <c r="EW11" s="224"/>
      <c r="EX11" s="224"/>
      <c r="EY11" s="224">
        <v>50000</v>
      </c>
      <c r="EZ11" s="224"/>
      <c r="FA11" s="243"/>
      <c r="FB11" s="168">
        <f t="shared" si="41"/>
        <v>110000</v>
      </c>
      <c r="FC11" s="168">
        <f t="shared" si="42"/>
        <v>615000</v>
      </c>
      <c r="FD11" s="242">
        <v>150000</v>
      </c>
      <c r="FE11" s="224"/>
      <c r="FF11" s="243"/>
      <c r="FG11" s="168">
        <f t="shared" si="43"/>
        <v>150000</v>
      </c>
      <c r="FH11" s="242">
        <v>150000</v>
      </c>
      <c r="FI11" s="224"/>
      <c r="FJ11" s="224"/>
      <c r="FK11" s="224"/>
      <c r="FL11" s="243"/>
      <c r="FM11" s="168">
        <f t="shared" si="44"/>
        <v>150000</v>
      </c>
      <c r="FN11" s="242"/>
      <c r="FO11" s="224"/>
      <c r="FP11" s="224"/>
      <c r="FQ11" s="224"/>
      <c r="FR11" s="168">
        <f t="shared" si="45"/>
        <v>0</v>
      </c>
      <c r="FS11" s="242"/>
      <c r="FT11" s="224"/>
      <c r="FU11" s="224"/>
      <c r="FV11" s="224">
        <v>150000</v>
      </c>
      <c r="FW11" s="243"/>
      <c r="FX11" s="168">
        <f t="shared" si="46"/>
        <v>150000</v>
      </c>
      <c r="FY11" s="242"/>
      <c r="FZ11" s="224"/>
      <c r="GA11" s="224"/>
      <c r="GB11" s="224"/>
      <c r="GC11" s="243"/>
      <c r="GD11" s="168">
        <f t="shared" si="47"/>
        <v>0</v>
      </c>
      <c r="GE11" s="168">
        <f t="shared" si="20"/>
        <v>450000</v>
      </c>
      <c r="GF11" s="242"/>
      <c r="GG11" s="224"/>
      <c r="GH11" s="224"/>
      <c r="GI11" s="224"/>
      <c r="GJ11" s="224">
        <v>50000</v>
      </c>
      <c r="GK11" s="168">
        <f t="shared" si="48"/>
        <v>50000</v>
      </c>
      <c r="GL11" s="242"/>
      <c r="GM11" s="224">
        <f>50000+100000</f>
        <v>150000</v>
      </c>
      <c r="GN11" s="224"/>
      <c r="GO11" s="243"/>
      <c r="GP11" s="168">
        <f t="shared" si="49"/>
        <v>150000</v>
      </c>
      <c r="GQ11" s="242"/>
      <c r="GR11" s="224">
        <v>40000</v>
      </c>
      <c r="GS11" s="224"/>
      <c r="GT11" s="224"/>
      <c r="GU11" s="243">
        <v>40000</v>
      </c>
      <c r="GV11" s="168">
        <f t="shared" si="50"/>
        <v>80000</v>
      </c>
      <c r="GW11" s="242"/>
      <c r="GX11" s="224"/>
      <c r="GY11" s="224"/>
      <c r="GZ11" s="224"/>
      <c r="HA11" s="224"/>
      <c r="HB11" s="243">
        <v>80000</v>
      </c>
      <c r="HC11" s="168">
        <f t="shared" si="51"/>
        <v>80000</v>
      </c>
      <c r="HD11" s="168">
        <f t="shared" si="21"/>
        <v>360000</v>
      </c>
      <c r="HE11" s="242"/>
      <c r="HF11" s="224"/>
      <c r="HG11" s="224"/>
      <c r="HH11" s="224">
        <v>120000</v>
      </c>
      <c r="HI11" s="168">
        <f t="shared" si="52"/>
        <v>120000</v>
      </c>
      <c r="HJ11" s="242">
        <v>35000</v>
      </c>
      <c r="HK11" s="224">
        <v>100000</v>
      </c>
      <c r="HL11" s="224"/>
      <c r="HM11" s="224"/>
      <c r="HN11" s="243">
        <v>25000</v>
      </c>
      <c r="HO11" s="168">
        <f t="shared" si="53"/>
        <v>160000</v>
      </c>
      <c r="HP11" s="242"/>
      <c r="HQ11" s="224">
        <v>50000</v>
      </c>
      <c r="HR11" s="224">
        <f>120000+70000</f>
        <v>190000</v>
      </c>
      <c r="HS11" s="224"/>
      <c r="HT11" s="243"/>
      <c r="HU11" s="168">
        <f t="shared" si="54"/>
        <v>240000</v>
      </c>
      <c r="HV11" s="242"/>
      <c r="HW11" s="224"/>
      <c r="HX11" s="224"/>
      <c r="HY11" s="168">
        <f t="shared" si="22"/>
        <v>0</v>
      </c>
      <c r="HZ11" s="242"/>
      <c r="IA11" s="224"/>
      <c r="IB11" s="243">
        <v>100000</v>
      </c>
      <c r="IC11" s="168">
        <f t="shared" si="55"/>
        <v>100000</v>
      </c>
      <c r="ID11" s="168">
        <f t="shared" si="23"/>
        <v>620000</v>
      </c>
      <c r="IE11" s="242"/>
      <c r="IF11" s="243"/>
      <c r="IG11" s="168">
        <f t="shared" si="56"/>
        <v>0</v>
      </c>
      <c r="IH11" s="242"/>
      <c r="II11" s="224"/>
      <c r="IJ11" s="224">
        <v>90000</v>
      </c>
      <c r="IK11" s="224"/>
      <c r="IL11" s="243"/>
      <c r="IM11" s="168">
        <f t="shared" si="57"/>
        <v>90000</v>
      </c>
      <c r="IN11" s="242">
        <v>200000</v>
      </c>
      <c r="IO11" s="224"/>
      <c r="IP11" s="243"/>
      <c r="IQ11" s="168">
        <f t="shared" si="58"/>
        <v>200000</v>
      </c>
      <c r="IR11" s="242">
        <v>70000</v>
      </c>
      <c r="IS11" s="224"/>
      <c r="IT11" s="224">
        <v>40000</v>
      </c>
      <c r="IU11" s="224">
        <f>175000+25000</f>
        <v>200000</v>
      </c>
      <c r="IV11" s="243"/>
      <c r="IW11" s="168">
        <f t="shared" si="59"/>
        <v>310000</v>
      </c>
      <c r="IX11" s="242"/>
      <c r="IY11" s="224"/>
      <c r="IZ11" s="224"/>
      <c r="JA11" s="224"/>
      <c r="JB11" s="243">
        <v>200000</v>
      </c>
      <c r="JC11" s="168">
        <f t="shared" si="60"/>
        <v>200000</v>
      </c>
      <c r="JD11" s="168">
        <f t="shared" si="24"/>
        <v>800000</v>
      </c>
      <c r="JE11" s="242"/>
      <c r="JF11" s="224"/>
      <c r="JG11" s="224"/>
      <c r="JH11" s="224"/>
      <c r="JI11" s="243"/>
      <c r="JJ11" s="168">
        <f t="shared" si="61"/>
        <v>0</v>
      </c>
      <c r="JK11" s="242"/>
      <c r="JL11" s="224"/>
      <c r="JM11" s="224"/>
      <c r="JN11" s="224"/>
      <c r="JO11" s="243"/>
      <c r="JP11" s="168">
        <f t="shared" si="62"/>
        <v>0</v>
      </c>
      <c r="JQ11" s="242"/>
      <c r="JR11" s="224"/>
      <c r="JS11" s="224"/>
      <c r="JT11" s="224"/>
      <c r="JU11" s="243"/>
      <c r="JV11" s="168">
        <f t="shared" si="63"/>
        <v>0</v>
      </c>
      <c r="JW11" s="242"/>
      <c r="JX11" s="224"/>
      <c r="JY11" s="224"/>
      <c r="JZ11" s="224"/>
      <c r="KA11" s="224"/>
      <c r="KB11" s="243"/>
      <c r="KC11" s="168">
        <f t="shared" si="64"/>
        <v>0</v>
      </c>
      <c r="KD11" s="168">
        <f t="shared" si="65"/>
        <v>0</v>
      </c>
      <c r="KE11" s="242"/>
      <c r="KF11" s="224"/>
      <c r="KG11" s="224"/>
      <c r="KH11" s="224"/>
      <c r="KI11" s="243"/>
      <c r="KJ11" s="168">
        <f t="shared" si="66"/>
        <v>0</v>
      </c>
      <c r="KK11" s="242"/>
      <c r="KL11" s="224"/>
      <c r="KM11" s="224"/>
      <c r="KN11" s="224"/>
      <c r="KO11" s="243"/>
      <c r="KP11" s="168">
        <f t="shared" si="67"/>
        <v>0</v>
      </c>
      <c r="KQ11" s="242"/>
      <c r="KR11" s="224"/>
      <c r="KS11" s="224"/>
      <c r="KT11" s="224"/>
      <c r="KU11" s="243"/>
      <c r="KV11" s="168">
        <f t="shared" si="68"/>
        <v>0</v>
      </c>
      <c r="KW11" s="242"/>
      <c r="KX11" s="224"/>
      <c r="KY11" s="224"/>
      <c r="KZ11" s="224"/>
      <c r="LA11" s="243"/>
      <c r="LB11" s="168">
        <f t="shared" si="69"/>
        <v>0</v>
      </c>
      <c r="LC11" s="242"/>
      <c r="LD11" s="224"/>
      <c r="LE11" s="243"/>
      <c r="LF11" s="168">
        <f t="shared" si="70"/>
        <v>0</v>
      </c>
      <c r="LG11" s="168">
        <v>280000</v>
      </c>
    </row>
    <row r="12" spans="2:322">
      <c r="B12" s="93" t="s">
        <v>92</v>
      </c>
      <c r="C12" s="167"/>
      <c r="D12" s="181">
        <f t="shared" si="72"/>
        <v>0</v>
      </c>
      <c r="E12" s="167"/>
      <c r="F12" s="177"/>
      <c r="G12" s="177"/>
      <c r="H12" s="177"/>
      <c r="I12" s="178"/>
      <c r="J12" s="181">
        <f t="shared" si="6"/>
        <v>0</v>
      </c>
      <c r="K12" s="167"/>
      <c r="L12" s="177"/>
      <c r="M12" s="177">
        <v>40001.57</v>
      </c>
      <c r="N12" s="178"/>
      <c r="O12" s="181">
        <f t="shared" si="7"/>
        <v>40001.57</v>
      </c>
      <c r="P12" s="167"/>
      <c r="Q12" s="177"/>
      <c r="R12" s="177"/>
      <c r="S12" s="177"/>
      <c r="T12" s="178"/>
      <c r="U12" s="168">
        <f t="shared" si="25"/>
        <v>0</v>
      </c>
      <c r="V12" s="167"/>
      <c r="W12" s="177"/>
      <c r="X12" s="177"/>
      <c r="Y12" s="177"/>
      <c r="Z12" s="177"/>
      <c r="AA12" s="168">
        <f t="shared" si="26"/>
        <v>0</v>
      </c>
      <c r="AB12" s="168">
        <f t="shared" si="8"/>
        <v>40001.57</v>
      </c>
      <c r="AC12" s="242"/>
      <c r="AD12" s="224"/>
      <c r="AE12" s="224"/>
      <c r="AF12" s="224"/>
      <c r="AG12" s="243"/>
      <c r="AH12" s="168">
        <f t="shared" si="27"/>
        <v>0</v>
      </c>
      <c r="AI12" s="242"/>
      <c r="AJ12" s="224"/>
      <c r="AK12" s="224"/>
      <c r="AL12" s="224"/>
      <c r="AM12" s="243"/>
      <c r="AN12" s="168">
        <f t="shared" si="9"/>
        <v>0</v>
      </c>
      <c r="AO12" s="242">
        <v>40001.57</v>
      </c>
      <c r="AP12" s="224"/>
      <c r="AQ12" s="224"/>
      <c r="AR12" s="224"/>
      <c r="AS12" s="243"/>
      <c r="AT12" s="168">
        <f t="shared" si="28"/>
        <v>40001.57</v>
      </c>
      <c r="AU12" s="242"/>
      <c r="AV12" s="224"/>
      <c r="AW12" s="224"/>
      <c r="AX12" s="224"/>
      <c r="AY12" s="243"/>
      <c r="AZ12" s="168">
        <f t="shared" si="29"/>
        <v>0</v>
      </c>
      <c r="BA12" s="168">
        <f t="shared" si="30"/>
        <v>40001.57</v>
      </c>
      <c r="BB12" s="242">
        <v>40001.57</v>
      </c>
      <c r="BC12" s="224"/>
      <c r="BD12" s="224"/>
      <c r="BE12" s="224"/>
      <c r="BF12" s="243"/>
      <c r="BG12" s="168">
        <f t="shared" si="31"/>
        <v>40001.57</v>
      </c>
      <c r="BH12" s="242"/>
      <c r="BI12" s="224"/>
      <c r="BJ12" s="224"/>
      <c r="BK12" s="224"/>
      <c r="BL12" s="243"/>
      <c r="BM12" s="168">
        <f t="shared" si="10"/>
        <v>0</v>
      </c>
      <c r="BN12" s="242">
        <v>40001.57</v>
      </c>
      <c r="BO12" s="224"/>
      <c r="BP12" s="224"/>
      <c r="BQ12" s="243"/>
      <c r="BR12" s="168">
        <f t="shared" si="11"/>
        <v>40001.57</v>
      </c>
      <c r="BS12" s="242"/>
      <c r="BT12" s="224"/>
      <c r="BU12" s="224"/>
      <c r="BV12" s="224"/>
      <c r="BW12" s="243"/>
      <c r="BX12" s="239">
        <f t="shared" si="12"/>
        <v>0</v>
      </c>
      <c r="BY12" s="242"/>
      <c r="BZ12" s="224"/>
      <c r="CA12" s="168">
        <f t="shared" si="13"/>
        <v>0</v>
      </c>
      <c r="CB12" s="168">
        <f t="shared" si="14"/>
        <v>80003.14</v>
      </c>
      <c r="CC12" s="242"/>
      <c r="CD12" s="224"/>
      <c r="CE12" s="224"/>
      <c r="CF12" s="168">
        <f t="shared" si="15"/>
        <v>0</v>
      </c>
      <c r="CG12" s="242"/>
      <c r="CH12" s="224"/>
      <c r="CI12" s="224"/>
      <c r="CJ12" s="243">
        <v>50001.57</v>
      </c>
      <c r="CK12" s="168">
        <f t="shared" si="32"/>
        <v>50001.57</v>
      </c>
      <c r="CL12" s="242"/>
      <c r="CM12" s="224"/>
      <c r="CN12" s="224"/>
      <c r="CO12" s="224"/>
      <c r="CP12" s="243"/>
      <c r="CQ12" s="168">
        <f t="shared" si="33"/>
        <v>0</v>
      </c>
      <c r="CR12" s="242"/>
      <c r="CS12" s="224"/>
      <c r="CT12" s="224"/>
      <c r="CU12" s="224"/>
      <c r="CV12" s="243"/>
      <c r="CW12" s="168">
        <f t="shared" si="16"/>
        <v>0</v>
      </c>
      <c r="CX12" s="242"/>
      <c r="CY12" s="224"/>
      <c r="CZ12" s="224"/>
      <c r="DA12" s="243">
        <v>50001.57</v>
      </c>
      <c r="DB12" s="168">
        <f t="shared" si="17"/>
        <v>50001.57</v>
      </c>
      <c r="DC12" s="168">
        <f t="shared" si="18"/>
        <v>100003.14</v>
      </c>
      <c r="DD12" s="242"/>
      <c r="DE12" s="224"/>
      <c r="DF12" s="224"/>
      <c r="DG12" s="224">
        <v>25000</v>
      </c>
      <c r="DH12" s="224"/>
      <c r="DI12" s="168">
        <f t="shared" si="34"/>
        <v>25000</v>
      </c>
      <c r="DJ12" s="242"/>
      <c r="DK12" s="224"/>
      <c r="DL12" s="224"/>
      <c r="DM12" s="224"/>
      <c r="DN12" s="243">
        <v>50001.57</v>
      </c>
      <c r="DO12" s="168">
        <f t="shared" si="35"/>
        <v>50001.57</v>
      </c>
      <c r="DP12" s="242">
        <v>25000</v>
      </c>
      <c r="DQ12" s="224"/>
      <c r="DR12" s="224"/>
      <c r="DS12" s="224"/>
      <c r="DT12" s="243"/>
      <c r="DU12" s="168">
        <f t="shared" si="36"/>
        <v>25000</v>
      </c>
      <c r="DV12" s="242"/>
      <c r="DW12" s="224"/>
      <c r="DX12" s="224">
        <v>25000</v>
      </c>
      <c r="DY12" s="224"/>
      <c r="DZ12" s="243"/>
      <c r="EA12" s="168">
        <f t="shared" si="19"/>
        <v>25000</v>
      </c>
      <c r="EB12" s="168">
        <f t="shared" si="37"/>
        <v>125001.57</v>
      </c>
      <c r="EC12" s="242">
        <v>40001.57</v>
      </c>
      <c r="ED12" s="224"/>
      <c r="EE12" s="224">
        <v>25000</v>
      </c>
      <c r="EF12" s="224"/>
      <c r="EG12" s="243"/>
      <c r="EH12" s="168">
        <f t="shared" si="38"/>
        <v>65001.57</v>
      </c>
      <c r="EI12" s="242"/>
      <c r="EJ12" s="224"/>
      <c r="EK12" s="224"/>
      <c r="EL12" s="224">
        <v>25000</v>
      </c>
      <c r="EM12" s="243"/>
      <c r="EN12" s="168">
        <f t="shared" si="39"/>
        <v>25000</v>
      </c>
      <c r="EO12" s="242">
        <v>40001.57</v>
      </c>
      <c r="EP12" s="224"/>
      <c r="EQ12" s="224"/>
      <c r="ER12" s="224"/>
      <c r="ES12" s="243"/>
      <c r="ET12" s="168">
        <f t="shared" si="40"/>
        <v>40001.57</v>
      </c>
      <c r="EU12" s="242">
        <v>25000</v>
      </c>
      <c r="EV12" s="224"/>
      <c r="EW12" s="224"/>
      <c r="EX12" s="224"/>
      <c r="EY12" s="224"/>
      <c r="EZ12" s="224"/>
      <c r="FA12" s="243">
        <f>25000+40001.57</f>
        <v>65001.57</v>
      </c>
      <c r="FB12" s="168">
        <f t="shared" si="41"/>
        <v>90001.57</v>
      </c>
      <c r="FC12" s="168">
        <f t="shared" si="42"/>
        <v>220004.71000000002</v>
      </c>
      <c r="FD12" s="242"/>
      <c r="FE12" s="224"/>
      <c r="FF12" s="243"/>
      <c r="FG12" s="168">
        <f t="shared" si="43"/>
        <v>0</v>
      </c>
      <c r="FH12" s="242"/>
      <c r="FI12" s="224"/>
      <c r="FJ12" s="224"/>
      <c r="FK12" s="224"/>
      <c r="FL12" s="243"/>
      <c r="FM12" s="168">
        <f t="shared" si="44"/>
        <v>0</v>
      </c>
      <c r="FN12" s="242"/>
      <c r="FO12" s="224"/>
      <c r="FP12" s="224">
        <v>100001.57</v>
      </c>
      <c r="FQ12" s="224"/>
      <c r="FR12" s="168">
        <f t="shared" si="45"/>
        <v>100001.57</v>
      </c>
      <c r="FS12" s="242"/>
      <c r="FT12" s="224"/>
      <c r="FU12" s="224"/>
      <c r="FV12" s="224"/>
      <c r="FW12" s="243"/>
      <c r="FX12" s="168">
        <f t="shared" si="46"/>
        <v>0</v>
      </c>
      <c r="FY12" s="242"/>
      <c r="FZ12" s="224"/>
      <c r="GA12" s="224"/>
      <c r="GB12" s="224"/>
      <c r="GC12" s="243">
        <v>50001.57</v>
      </c>
      <c r="GD12" s="168">
        <f t="shared" si="47"/>
        <v>50001.57</v>
      </c>
      <c r="GE12" s="168">
        <f t="shared" si="20"/>
        <v>150003.14000000001</v>
      </c>
      <c r="GF12" s="242"/>
      <c r="GG12" s="224"/>
      <c r="GH12" s="224"/>
      <c r="GI12" s="224"/>
      <c r="GJ12" s="224"/>
      <c r="GK12" s="168">
        <f t="shared" si="48"/>
        <v>0</v>
      </c>
      <c r="GL12" s="242"/>
      <c r="GM12" s="224"/>
      <c r="GN12" s="224"/>
      <c r="GO12" s="243"/>
      <c r="GP12" s="168">
        <f t="shared" si="49"/>
        <v>0</v>
      </c>
      <c r="GQ12" s="242">
        <v>175001.57</v>
      </c>
      <c r="GR12" s="224"/>
      <c r="GS12" s="224"/>
      <c r="GT12" s="224"/>
      <c r="GU12" s="243"/>
      <c r="GV12" s="168">
        <f t="shared" si="50"/>
        <v>175001.57</v>
      </c>
      <c r="GW12" s="242"/>
      <c r="GX12" s="224"/>
      <c r="GY12" s="224"/>
      <c r="GZ12" s="224"/>
      <c r="HA12" s="224"/>
      <c r="HB12" s="243">
        <v>50001.57</v>
      </c>
      <c r="HC12" s="168">
        <f t="shared" si="51"/>
        <v>50001.57</v>
      </c>
      <c r="HD12" s="168">
        <f t="shared" si="21"/>
        <v>225003.14</v>
      </c>
      <c r="HE12" s="242"/>
      <c r="HF12" s="224"/>
      <c r="HG12" s="224"/>
      <c r="HH12" s="224"/>
      <c r="HI12" s="168">
        <f t="shared" si="52"/>
        <v>0</v>
      </c>
      <c r="HJ12" s="242"/>
      <c r="HK12" s="224"/>
      <c r="HL12" s="224"/>
      <c r="HM12" s="224"/>
      <c r="HN12" s="243"/>
      <c r="HO12" s="168">
        <f t="shared" si="53"/>
        <v>0</v>
      </c>
      <c r="HP12" s="242"/>
      <c r="HQ12" s="224"/>
      <c r="HR12" s="224"/>
      <c r="HS12" s="224"/>
      <c r="HT12" s="243"/>
      <c r="HU12" s="168">
        <f t="shared" si="54"/>
        <v>0</v>
      </c>
      <c r="HV12" s="242"/>
      <c r="HW12" s="224"/>
      <c r="HX12" s="224"/>
      <c r="HY12" s="168">
        <f t="shared" si="22"/>
        <v>0</v>
      </c>
      <c r="HZ12" s="242">
        <v>75001.570000000007</v>
      </c>
      <c r="IA12" s="224"/>
      <c r="IB12" s="243">
        <v>50001.57</v>
      </c>
      <c r="IC12" s="168">
        <f t="shared" si="55"/>
        <v>125003.14000000001</v>
      </c>
      <c r="ID12" s="168">
        <f t="shared" si="23"/>
        <v>125003.14000000001</v>
      </c>
      <c r="IE12" s="242"/>
      <c r="IF12" s="243"/>
      <c r="IG12" s="168">
        <f t="shared" si="56"/>
        <v>0</v>
      </c>
      <c r="IH12" s="242"/>
      <c r="II12" s="224"/>
      <c r="IJ12" s="224"/>
      <c r="IK12" s="224"/>
      <c r="IL12" s="243"/>
      <c r="IM12" s="168">
        <f t="shared" si="57"/>
        <v>0</v>
      </c>
      <c r="IN12" s="242">
        <v>75001.570000000007</v>
      </c>
      <c r="IO12" s="224"/>
      <c r="IP12" s="243"/>
      <c r="IQ12" s="168">
        <f t="shared" si="58"/>
        <v>75001.570000000007</v>
      </c>
      <c r="IR12" s="242"/>
      <c r="IS12" s="224"/>
      <c r="IT12" s="224"/>
      <c r="IU12" s="224"/>
      <c r="IV12" s="243"/>
      <c r="IW12" s="168">
        <f t="shared" si="59"/>
        <v>0</v>
      </c>
      <c r="IX12" s="242"/>
      <c r="IY12" s="224"/>
      <c r="IZ12" s="224"/>
      <c r="JA12" s="224"/>
      <c r="JB12" s="243"/>
      <c r="JC12" s="168">
        <f t="shared" si="60"/>
        <v>0</v>
      </c>
      <c r="JD12" s="168">
        <f t="shared" si="24"/>
        <v>75001.570000000007</v>
      </c>
      <c r="JE12" s="242">
        <v>75001.570000000007</v>
      </c>
      <c r="JF12" s="224"/>
      <c r="JG12" s="224"/>
      <c r="JH12" s="224"/>
      <c r="JI12" s="243"/>
      <c r="JJ12" s="168">
        <f t="shared" si="61"/>
        <v>75001.570000000007</v>
      </c>
      <c r="JK12" s="242"/>
      <c r="JL12" s="224"/>
      <c r="JM12" s="224"/>
      <c r="JN12" s="224"/>
      <c r="JO12" s="243"/>
      <c r="JP12" s="168">
        <f t="shared" si="62"/>
        <v>0</v>
      </c>
      <c r="JQ12" s="242"/>
      <c r="JR12" s="224"/>
      <c r="JS12" s="224"/>
      <c r="JT12" s="224"/>
      <c r="JU12" s="243"/>
      <c r="JV12" s="168">
        <f t="shared" si="63"/>
        <v>0</v>
      </c>
      <c r="JW12" s="242"/>
      <c r="JX12" s="224"/>
      <c r="JY12" s="224"/>
      <c r="JZ12" s="224"/>
      <c r="KA12" s="224"/>
      <c r="KB12" s="243"/>
      <c r="KC12" s="168">
        <f t="shared" si="64"/>
        <v>0</v>
      </c>
      <c r="KD12" s="168">
        <f t="shared" si="65"/>
        <v>75001.570000000007</v>
      </c>
      <c r="KE12" s="242"/>
      <c r="KF12" s="224"/>
      <c r="KG12" s="224"/>
      <c r="KH12" s="224"/>
      <c r="KI12" s="243"/>
      <c r="KJ12" s="168">
        <f t="shared" si="66"/>
        <v>0</v>
      </c>
      <c r="KK12" s="242"/>
      <c r="KL12" s="224"/>
      <c r="KM12" s="224"/>
      <c r="KN12" s="224"/>
      <c r="KO12" s="243"/>
      <c r="KP12" s="168">
        <f t="shared" si="67"/>
        <v>0</v>
      </c>
      <c r="KQ12" s="242"/>
      <c r="KR12" s="224"/>
      <c r="KS12" s="224"/>
      <c r="KT12" s="224"/>
      <c r="KU12" s="243"/>
      <c r="KV12" s="168">
        <f t="shared" si="68"/>
        <v>0</v>
      </c>
      <c r="KW12" s="242"/>
      <c r="KX12" s="224"/>
      <c r="KY12" s="224"/>
      <c r="KZ12" s="224"/>
      <c r="LA12" s="243"/>
      <c r="LB12" s="168">
        <f t="shared" si="69"/>
        <v>0</v>
      </c>
      <c r="LC12" s="242"/>
      <c r="LD12" s="224"/>
      <c r="LE12" s="243"/>
      <c r="LF12" s="168">
        <f t="shared" si="70"/>
        <v>0</v>
      </c>
      <c r="LG12" s="168">
        <f t="shared" si="71"/>
        <v>0</v>
      </c>
    </row>
    <row r="13" spans="2:322">
      <c r="B13" s="93" t="s">
        <v>117</v>
      </c>
      <c r="C13" s="167"/>
      <c r="D13" s="181">
        <f t="shared" si="72"/>
        <v>0</v>
      </c>
      <c r="E13" s="167"/>
      <c r="F13" s="177"/>
      <c r="G13" s="177"/>
      <c r="H13" s="177"/>
      <c r="I13" s="178"/>
      <c r="J13" s="181">
        <f t="shared" si="6"/>
        <v>0</v>
      </c>
      <c r="K13" s="167">
        <f>3444.94+3371.372+1220.983+3703.535+857.764+951.497</f>
        <v>13550.090999999999</v>
      </c>
      <c r="L13" s="177"/>
      <c r="M13" s="177"/>
      <c r="N13" s="178"/>
      <c r="O13" s="181">
        <f t="shared" ref="O13:O37" si="73">SUM(K13:N13)</f>
        <v>13550.090999999999</v>
      </c>
      <c r="P13" s="167"/>
      <c r="Q13" s="177"/>
      <c r="R13" s="177"/>
      <c r="S13" s="177"/>
      <c r="T13" s="178"/>
      <c r="U13" s="168">
        <f t="shared" si="25"/>
        <v>0</v>
      </c>
      <c r="V13" s="167">
        <f>2841.492+6739.173</f>
        <v>9580.6650000000009</v>
      </c>
      <c r="W13" s="177"/>
      <c r="X13" s="177"/>
      <c r="Y13" s="177"/>
      <c r="Z13" s="177"/>
      <c r="AA13" s="168">
        <f t="shared" si="26"/>
        <v>9580.6650000000009</v>
      </c>
      <c r="AB13" s="168">
        <f t="shared" si="8"/>
        <v>23130.756000000001</v>
      </c>
      <c r="AC13" s="242"/>
      <c r="AD13" s="224"/>
      <c r="AE13" s="224"/>
      <c r="AF13" s="224"/>
      <c r="AG13" s="243"/>
      <c r="AH13" s="168">
        <f t="shared" si="27"/>
        <v>0</v>
      </c>
      <c r="AI13" s="242"/>
      <c r="AJ13" s="224">
        <f>3444.94+3371.372+1222.283+3703.535+857.764+951.497</f>
        <v>13551.390999999998</v>
      </c>
      <c r="AK13" s="224"/>
      <c r="AL13" s="224"/>
      <c r="AM13" s="243"/>
      <c r="AN13" s="168">
        <f t="shared" si="9"/>
        <v>13551.390999999998</v>
      </c>
      <c r="AO13" s="242"/>
      <c r="AP13" s="224"/>
      <c r="AQ13" s="224"/>
      <c r="AR13" s="224"/>
      <c r="AS13" s="243"/>
      <c r="AT13" s="168">
        <f t="shared" si="28"/>
        <v>0</v>
      </c>
      <c r="AU13" s="242"/>
      <c r="AV13" s="224"/>
      <c r="AW13" s="224">
        <f>2841.492+6739.173</f>
        <v>9580.6650000000009</v>
      </c>
      <c r="AX13" s="224"/>
      <c r="AY13" s="243"/>
      <c r="AZ13" s="168">
        <f t="shared" si="29"/>
        <v>9580.6650000000009</v>
      </c>
      <c r="BA13" s="168">
        <f t="shared" si="30"/>
        <v>23132.055999999997</v>
      </c>
      <c r="BB13" s="242"/>
      <c r="BC13" s="224"/>
      <c r="BD13" s="224"/>
      <c r="BE13" s="224"/>
      <c r="BF13" s="243"/>
      <c r="BG13" s="168">
        <f t="shared" si="31"/>
        <v>0</v>
      </c>
      <c r="BH13" s="242">
        <f>3446.24+3371.372+3704.835+951.497+857.764</f>
        <v>12331.707999999999</v>
      </c>
      <c r="BI13" s="224"/>
      <c r="BJ13" s="224"/>
      <c r="BK13" s="224"/>
      <c r="BL13" s="243"/>
      <c r="BM13" s="168">
        <f t="shared" si="10"/>
        <v>12331.707999999999</v>
      </c>
      <c r="BN13" s="242"/>
      <c r="BO13" s="224"/>
      <c r="BP13" s="224"/>
      <c r="BQ13" s="243"/>
      <c r="BR13" s="168">
        <f t="shared" si="11"/>
        <v>0</v>
      </c>
      <c r="BS13" s="242"/>
      <c r="BT13" s="224"/>
      <c r="BU13" s="224">
        <f>2841.492+6739.173</f>
        <v>9580.6650000000009</v>
      </c>
      <c r="BV13" s="224"/>
      <c r="BW13" s="243"/>
      <c r="BX13" s="239">
        <f t="shared" si="12"/>
        <v>9580.6650000000009</v>
      </c>
      <c r="BY13" s="242"/>
      <c r="BZ13" s="224"/>
      <c r="CA13" s="168">
        <f t="shared" si="13"/>
        <v>0</v>
      </c>
      <c r="CB13" s="168">
        <f t="shared" si="14"/>
        <v>21912.373</v>
      </c>
      <c r="CC13" s="242"/>
      <c r="CD13" s="224"/>
      <c r="CE13" s="224"/>
      <c r="CF13" s="168">
        <f t="shared" si="15"/>
        <v>0</v>
      </c>
      <c r="CG13" s="242"/>
      <c r="CH13" s="224"/>
      <c r="CI13" s="224"/>
      <c r="CJ13" s="243">
        <f>3371.372+857.764+951.497</f>
        <v>5180.6329999999998</v>
      </c>
      <c r="CK13" s="168">
        <f t="shared" si="32"/>
        <v>5180.6329999999998</v>
      </c>
      <c r="CL13" s="242"/>
      <c r="CM13" s="224"/>
      <c r="CN13" s="224"/>
      <c r="CO13" s="224"/>
      <c r="CP13" s="243"/>
      <c r="CQ13" s="168">
        <f t="shared" si="33"/>
        <v>0</v>
      </c>
      <c r="CR13" s="242"/>
      <c r="CS13" s="224"/>
      <c r="CT13" s="224"/>
      <c r="CU13" s="224"/>
      <c r="CV13" s="178"/>
      <c r="CW13" s="168">
        <f t="shared" si="16"/>
        <v>0</v>
      </c>
      <c r="CX13" s="242">
        <f>2841.492+6739.173</f>
        <v>9580.6650000000009</v>
      </c>
      <c r="CY13" s="224"/>
      <c r="CZ13" s="224"/>
      <c r="DA13" s="243"/>
      <c r="DB13" s="168">
        <f t="shared" si="17"/>
        <v>9580.6650000000009</v>
      </c>
      <c r="DC13" s="168">
        <f t="shared" si="18"/>
        <v>14761.298000000001</v>
      </c>
      <c r="DD13" s="242"/>
      <c r="DE13" s="224"/>
      <c r="DF13" s="224"/>
      <c r="DG13" s="224"/>
      <c r="DH13" s="224"/>
      <c r="DI13" s="168">
        <f t="shared" si="34"/>
        <v>0</v>
      </c>
      <c r="DJ13" s="242">
        <f>3371.372+857.764+951.497</f>
        <v>5180.6329999999998</v>
      </c>
      <c r="DK13" s="224"/>
      <c r="DL13" s="224"/>
      <c r="DM13" s="224"/>
      <c r="DN13" s="243"/>
      <c r="DO13" s="168">
        <f t="shared" si="35"/>
        <v>5180.6329999999998</v>
      </c>
      <c r="DP13" s="242"/>
      <c r="DQ13" s="224"/>
      <c r="DR13" s="224"/>
      <c r="DS13" s="224"/>
      <c r="DT13" s="243"/>
      <c r="DU13" s="168">
        <f t="shared" si="36"/>
        <v>0</v>
      </c>
      <c r="DV13" s="242"/>
      <c r="DW13" s="224">
        <f>2841.492+6739.173</f>
        <v>9580.6650000000009</v>
      </c>
      <c r="DX13" s="224"/>
      <c r="DY13" s="224"/>
      <c r="DZ13" s="243"/>
      <c r="EA13" s="168">
        <f t="shared" si="19"/>
        <v>9580.6650000000009</v>
      </c>
      <c r="EB13" s="168">
        <f t="shared" si="37"/>
        <v>14761.298000000001</v>
      </c>
      <c r="EC13" s="242"/>
      <c r="ED13" s="224"/>
      <c r="EE13" s="224"/>
      <c r="EF13" s="224"/>
      <c r="EG13" s="243"/>
      <c r="EH13" s="168">
        <f t="shared" si="38"/>
        <v>0</v>
      </c>
      <c r="EI13" s="242"/>
      <c r="EJ13" s="224"/>
      <c r="EK13" s="224">
        <f>951.497+3371.372+857.764</f>
        <v>5180.6329999999998</v>
      </c>
      <c r="EL13" s="224"/>
      <c r="EM13" s="243"/>
      <c r="EN13" s="168">
        <f t="shared" si="39"/>
        <v>5180.6329999999998</v>
      </c>
      <c r="EO13" s="242"/>
      <c r="EP13" s="224"/>
      <c r="EQ13" s="224"/>
      <c r="ER13" s="224"/>
      <c r="ES13" s="243"/>
      <c r="ET13" s="168">
        <f t="shared" si="40"/>
        <v>0</v>
      </c>
      <c r="EU13" s="242"/>
      <c r="EV13" s="224"/>
      <c r="EW13" s="224"/>
      <c r="EX13" s="224">
        <v>9580.6650000000009</v>
      </c>
      <c r="EY13" s="224"/>
      <c r="EZ13" s="224"/>
      <c r="FA13" s="243"/>
      <c r="FB13" s="168">
        <f t="shared" si="41"/>
        <v>9580.6650000000009</v>
      </c>
      <c r="FC13" s="168">
        <f t="shared" si="42"/>
        <v>14761.298000000001</v>
      </c>
      <c r="FD13" s="242"/>
      <c r="FE13" s="224"/>
      <c r="FF13" s="243"/>
      <c r="FG13" s="168">
        <f t="shared" si="43"/>
        <v>0</v>
      </c>
      <c r="FH13" s="242"/>
      <c r="FI13" s="224"/>
      <c r="FJ13" s="224"/>
      <c r="FK13" s="224"/>
      <c r="FL13" s="243">
        <f>857.764+951.497+3371.372</f>
        <v>5180.6329999999998</v>
      </c>
      <c r="FM13" s="168">
        <f t="shared" si="44"/>
        <v>5180.6329999999998</v>
      </c>
      <c r="FN13" s="242"/>
      <c r="FO13" s="224"/>
      <c r="FP13" s="224"/>
      <c r="FQ13" s="224"/>
      <c r="FR13" s="168">
        <f t="shared" si="45"/>
        <v>0</v>
      </c>
      <c r="FS13" s="242"/>
      <c r="FT13" s="224"/>
      <c r="FU13" s="224"/>
      <c r="FV13" s="224"/>
      <c r="FW13" s="243"/>
      <c r="FX13" s="168">
        <f t="shared" si="46"/>
        <v>0</v>
      </c>
      <c r="FY13" s="242">
        <f>2841.492+6739.173</f>
        <v>9580.6650000000009</v>
      </c>
      <c r="FZ13" s="224"/>
      <c r="GA13" s="224"/>
      <c r="GB13" s="224"/>
      <c r="GC13" s="243"/>
      <c r="GD13" s="168">
        <f t="shared" si="47"/>
        <v>9580.6650000000009</v>
      </c>
      <c r="GE13" s="168">
        <f t="shared" si="20"/>
        <v>14761.298000000001</v>
      </c>
      <c r="GF13" s="242"/>
      <c r="GG13" s="224"/>
      <c r="GH13" s="224"/>
      <c r="GI13" s="224"/>
      <c r="GJ13" s="224"/>
      <c r="GK13" s="168">
        <f t="shared" si="48"/>
        <v>0</v>
      </c>
      <c r="GL13" s="242">
        <f>857.764+951.497+3371.372</f>
        <v>5180.6329999999998</v>
      </c>
      <c r="GM13" s="224"/>
      <c r="GN13" s="224"/>
      <c r="GO13" s="243"/>
      <c r="GP13" s="168">
        <f t="shared" si="49"/>
        <v>5180.6329999999998</v>
      </c>
      <c r="GQ13" s="242"/>
      <c r="GR13" s="224"/>
      <c r="GS13" s="224"/>
      <c r="GT13" s="224"/>
      <c r="GU13" s="243"/>
      <c r="GV13" s="168">
        <f t="shared" si="50"/>
        <v>0</v>
      </c>
      <c r="GW13" s="242"/>
      <c r="GX13" s="224">
        <f>2841.492+6739.173</f>
        <v>9580.6650000000009</v>
      </c>
      <c r="GY13" s="224"/>
      <c r="GZ13" s="224"/>
      <c r="HA13" s="224"/>
      <c r="HB13" s="243"/>
      <c r="HC13" s="168">
        <f t="shared" si="51"/>
        <v>9580.6650000000009</v>
      </c>
      <c r="HD13" s="168">
        <f t="shared" si="21"/>
        <v>14761.298000000001</v>
      </c>
      <c r="HE13" s="242"/>
      <c r="HF13" s="224"/>
      <c r="HG13" s="224"/>
      <c r="HH13" s="224"/>
      <c r="HI13" s="168">
        <f t="shared" si="52"/>
        <v>0</v>
      </c>
      <c r="HJ13" s="242"/>
      <c r="HK13" s="224"/>
      <c r="HL13" s="224"/>
      <c r="HM13" s="224">
        <f>857.764+951.497+3371.372</f>
        <v>5180.6329999999998</v>
      </c>
      <c r="HN13" s="243"/>
      <c r="HO13" s="168">
        <f t="shared" si="53"/>
        <v>5180.6329999999998</v>
      </c>
      <c r="HP13" s="242"/>
      <c r="HQ13" s="224"/>
      <c r="HR13" s="224"/>
      <c r="HS13" s="224"/>
      <c r="HT13" s="243"/>
      <c r="HU13" s="168">
        <f t="shared" si="54"/>
        <v>0</v>
      </c>
      <c r="HV13" s="242"/>
      <c r="HW13" s="224"/>
      <c r="HX13" s="224"/>
      <c r="HY13" s="168">
        <f t="shared" si="22"/>
        <v>0</v>
      </c>
      <c r="HZ13" s="242">
        <f>2841.492+6739.173</f>
        <v>9580.6650000000009</v>
      </c>
      <c r="IA13" s="224"/>
      <c r="IB13" s="243"/>
      <c r="IC13" s="168">
        <f t="shared" si="55"/>
        <v>9580.6650000000009</v>
      </c>
      <c r="ID13" s="168">
        <f t="shared" si="23"/>
        <v>14761.298000000001</v>
      </c>
      <c r="IE13" s="242"/>
      <c r="IF13" s="243"/>
      <c r="IG13" s="168">
        <f t="shared" si="56"/>
        <v>0</v>
      </c>
      <c r="IH13" s="242"/>
      <c r="II13" s="224"/>
      <c r="IJ13" s="224"/>
      <c r="IK13" s="224"/>
      <c r="IL13" s="243"/>
      <c r="IM13" s="168">
        <f t="shared" si="57"/>
        <v>0</v>
      </c>
      <c r="IN13" s="242">
        <f>3371.372+951.497+857.764</f>
        <v>5180.6329999999998</v>
      </c>
      <c r="IO13" s="224"/>
      <c r="IP13" s="243"/>
      <c r="IQ13" s="168">
        <f t="shared" si="58"/>
        <v>5180.6329999999998</v>
      </c>
      <c r="IR13" s="242"/>
      <c r="IS13" s="224"/>
      <c r="IT13" s="224"/>
      <c r="IU13" s="224"/>
      <c r="IV13" s="243"/>
      <c r="IW13" s="168">
        <f t="shared" si="59"/>
        <v>0</v>
      </c>
      <c r="IX13" s="242">
        <f>2841.492+6739.173</f>
        <v>9580.6650000000009</v>
      </c>
      <c r="IY13" s="224"/>
      <c r="IZ13" s="224"/>
      <c r="JA13" s="224"/>
      <c r="JB13" s="243"/>
      <c r="JC13" s="168">
        <f t="shared" si="60"/>
        <v>9580.6650000000009</v>
      </c>
      <c r="JD13" s="168">
        <f t="shared" si="24"/>
        <v>14761.298000000001</v>
      </c>
      <c r="JE13" s="242"/>
      <c r="JF13" s="224"/>
      <c r="JG13" s="224"/>
      <c r="JH13" s="224"/>
      <c r="JI13" s="243"/>
      <c r="JJ13" s="168">
        <f t="shared" si="61"/>
        <v>0</v>
      </c>
      <c r="JK13" s="242"/>
      <c r="JL13" s="224"/>
      <c r="JM13" s="224"/>
      <c r="JN13" s="224"/>
      <c r="JO13" s="243"/>
      <c r="JP13" s="168">
        <f t="shared" si="62"/>
        <v>0</v>
      </c>
      <c r="JQ13" s="242"/>
      <c r="JR13" s="224"/>
      <c r="JS13" s="224"/>
      <c r="JT13" s="224"/>
      <c r="JU13" s="243"/>
      <c r="JV13" s="168">
        <f t="shared" si="63"/>
        <v>0</v>
      </c>
      <c r="JW13" s="242"/>
      <c r="JX13" s="224"/>
      <c r="JY13" s="224"/>
      <c r="JZ13" s="224"/>
      <c r="KA13" s="224"/>
      <c r="KB13" s="243"/>
      <c r="KC13" s="168">
        <f t="shared" si="64"/>
        <v>0</v>
      </c>
      <c r="KD13" s="168">
        <f t="shared" si="65"/>
        <v>0</v>
      </c>
      <c r="KE13" s="242"/>
      <c r="KF13" s="224"/>
      <c r="KG13" s="224"/>
      <c r="KH13" s="224"/>
      <c r="KI13" s="243"/>
      <c r="KJ13" s="168">
        <f t="shared" si="66"/>
        <v>0</v>
      </c>
      <c r="KK13" s="242"/>
      <c r="KL13" s="224"/>
      <c r="KM13" s="224"/>
      <c r="KN13" s="224"/>
      <c r="KO13" s="243"/>
      <c r="KP13" s="168">
        <f t="shared" si="67"/>
        <v>0</v>
      </c>
      <c r="KQ13" s="242"/>
      <c r="KR13" s="224"/>
      <c r="KS13" s="224"/>
      <c r="KT13" s="224"/>
      <c r="KU13" s="243"/>
      <c r="KV13" s="168">
        <f t="shared" si="68"/>
        <v>0</v>
      </c>
      <c r="KW13" s="242"/>
      <c r="KX13" s="224"/>
      <c r="KY13" s="224"/>
      <c r="KZ13" s="224"/>
      <c r="LA13" s="243"/>
      <c r="LB13" s="168">
        <f t="shared" si="69"/>
        <v>0</v>
      </c>
      <c r="LC13" s="242"/>
      <c r="LD13" s="224"/>
      <c r="LE13" s="243"/>
      <c r="LF13" s="168">
        <f t="shared" si="70"/>
        <v>0</v>
      </c>
      <c r="LG13" s="168">
        <v>14761</v>
      </c>
    </row>
    <row r="14" spans="2:322">
      <c r="B14" s="93" t="s">
        <v>80</v>
      </c>
      <c r="C14" s="167"/>
      <c r="D14" s="181">
        <f t="shared" si="72"/>
        <v>0</v>
      </c>
      <c r="E14" s="167"/>
      <c r="F14" s="177"/>
      <c r="G14" s="177"/>
      <c r="H14" s="177"/>
      <c r="I14" s="178"/>
      <c r="J14" s="181">
        <f t="shared" si="6"/>
        <v>0</v>
      </c>
      <c r="K14" s="167"/>
      <c r="L14" s="177"/>
      <c r="M14" s="177"/>
      <c r="N14" s="178"/>
      <c r="O14" s="181">
        <f t="shared" si="73"/>
        <v>0</v>
      </c>
      <c r="P14" s="167"/>
      <c r="Q14" s="177"/>
      <c r="R14" s="177"/>
      <c r="S14" s="177"/>
      <c r="T14" s="178"/>
      <c r="U14" s="168">
        <f t="shared" si="25"/>
        <v>0</v>
      </c>
      <c r="V14" s="167"/>
      <c r="W14" s="177"/>
      <c r="X14" s="177"/>
      <c r="Y14" s="177"/>
      <c r="Z14" s="177"/>
      <c r="AA14" s="168">
        <f t="shared" si="26"/>
        <v>0</v>
      </c>
      <c r="AB14" s="168">
        <f t="shared" si="8"/>
        <v>0</v>
      </c>
      <c r="AC14" s="242"/>
      <c r="AD14" s="224"/>
      <c r="AE14" s="224"/>
      <c r="AF14" s="224"/>
      <c r="AG14" s="243"/>
      <c r="AH14" s="168">
        <f t="shared" si="27"/>
        <v>0</v>
      </c>
      <c r="AI14" s="242"/>
      <c r="AJ14" s="224"/>
      <c r="AK14" s="224"/>
      <c r="AL14" s="224"/>
      <c r="AM14" s="243"/>
      <c r="AN14" s="168">
        <f t="shared" si="9"/>
        <v>0</v>
      </c>
      <c r="AO14" s="242"/>
      <c r="AP14" s="224"/>
      <c r="AQ14" s="224"/>
      <c r="AR14" s="224"/>
      <c r="AS14" s="243"/>
      <c r="AT14" s="168">
        <f t="shared" si="28"/>
        <v>0</v>
      </c>
      <c r="AU14" s="242"/>
      <c r="AV14" s="224"/>
      <c r="AW14" s="224"/>
      <c r="AX14" s="224"/>
      <c r="AY14" s="243"/>
      <c r="AZ14" s="168">
        <f t="shared" si="29"/>
        <v>0</v>
      </c>
      <c r="BA14" s="168">
        <f t="shared" si="30"/>
        <v>0</v>
      </c>
      <c r="BB14" s="242"/>
      <c r="BC14" s="224"/>
      <c r="BD14" s="224"/>
      <c r="BE14" s="224"/>
      <c r="BF14" s="243"/>
      <c r="BG14" s="168">
        <f t="shared" si="31"/>
        <v>0</v>
      </c>
      <c r="BH14" s="242"/>
      <c r="BI14" s="224"/>
      <c r="BJ14" s="224"/>
      <c r="BK14" s="224"/>
      <c r="BL14" s="243"/>
      <c r="BM14" s="168">
        <f t="shared" si="10"/>
        <v>0</v>
      </c>
      <c r="BN14" s="242"/>
      <c r="BO14" s="224"/>
      <c r="BP14" s="224"/>
      <c r="BQ14" s="243"/>
      <c r="BR14" s="168">
        <f t="shared" si="11"/>
        <v>0</v>
      </c>
      <c r="BS14" s="242"/>
      <c r="BT14" s="224"/>
      <c r="BU14" s="224"/>
      <c r="BV14" s="224"/>
      <c r="BW14" s="243"/>
      <c r="BX14" s="239">
        <f t="shared" si="12"/>
        <v>0</v>
      </c>
      <c r="BY14" s="242"/>
      <c r="BZ14" s="224"/>
      <c r="CA14" s="168">
        <f t="shared" si="13"/>
        <v>0</v>
      </c>
      <c r="CB14" s="168">
        <f t="shared" si="14"/>
        <v>0</v>
      </c>
      <c r="CC14" s="242"/>
      <c r="CD14" s="224"/>
      <c r="CE14" s="224"/>
      <c r="CF14" s="168">
        <f t="shared" si="15"/>
        <v>0</v>
      </c>
      <c r="CG14" s="242"/>
      <c r="CH14" s="224"/>
      <c r="CI14" s="224"/>
      <c r="CJ14" s="243"/>
      <c r="CK14" s="168">
        <f t="shared" si="32"/>
        <v>0</v>
      </c>
      <c r="CL14" s="242"/>
      <c r="CM14" s="224"/>
      <c r="CN14" s="224"/>
      <c r="CO14" s="224"/>
      <c r="CP14" s="243"/>
      <c r="CQ14" s="168">
        <f t="shared" si="33"/>
        <v>0</v>
      </c>
      <c r="CR14" s="242"/>
      <c r="CS14" s="224"/>
      <c r="CT14" s="224"/>
      <c r="CU14" s="224"/>
      <c r="CV14" s="243"/>
      <c r="CW14" s="168">
        <f t="shared" si="16"/>
        <v>0</v>
      </c>
      <c r="CX14" s="242"/>
      <c r="CY14" s="224"/>
      <c r="CZ14" s="224"/>
      <c r="DA14" s="243"/>
      <c r="DB14" s="168">
        <f t="shared" si="17"/>
        <v>0</v>
      </c>
      <c r="DC14" s="168">
        <f t="shared" si="18"/>
        <v>0</v>
      </c>
      <c r="DD14" s="242"/>
      <c r="DE14" s="224"/>
      <c r="DF14" s="224"/>
      <c r="DG14" s="224"/>
      <c r="DH14" s="224"/>
      <c r="DI14" s="168">
        <f t="shared" si="34"/>
        <v>0</v>
      </c>
      <c r="DJ14" s="242"/>
      <c r="DK14" s="224"/>
      <c r="DL14" s="224"/>
      <c r="DM14" s="224"/>
      <c r="DN14" s="243"/>
      <c r="DO14" s="168">
        <f t="shared" si="35"/>
        <v>0</v>
      </c>
      <c r="DP14" s="242"/>
      <c r="DQ14" s="224"/>
      <c r="DR14" s="224"/>
      <c r="DS14" s="224"/>
      <c r="DT14" s="243"/>
      <c r="DU14" s="168">
        <f t="shared" si="36"/>
        <v>0</v>
      </c>
      <c r="DV14" s="242"/>
      <c r="DW14" s="224"/>
      <c r="DX14" s="224"/>
      <c r="DY14" s="224"/>
      <c r="DZ14" s="243"/>
      <c r="EA14" s="168">
        <f t="shared" si="19"/>
        <v>0</v>
      </c>
      <c r="EB14" s="168">
        <f t="shared" si="37"/>
        <v>0</v>
      </c>
      <c r="EC14" s="242"/>
      <c r="ED14" s="224"/>
      <c r="EE14" s="224"/>
      <c r="EF14" s="224"/>
      <c r="EG14" s="243"/>
      <c r="EH14" s="168">
        <f t="shared" si="38"/>
        <v>0</v>
      </c>
      <c r="EI14" s="242"/>
      <c r="EJ14" s="224"/>
      <c r="EK14" s="224"/>
      <c r="EL14" s="224"/>
      <c r="EM14" s="243"/>
      <c r="EN14" s="168">
        <f t="shared" si="39"/>
        <v>0</v>
      </c>
      <c r="EO14" s="242"/>
      <c r="EP14" s="224"/>
      <c r="EQ14" s="224"/>
      <c r="ER14" s="224"/>
      <c r="ES14" s="243"/>
      <c r="ET14" s="168">
        <f t="shared" si="40"/>
        <v>0</v>
      </c>
      <c r="EU14" s="242"/>
      <c r="EV14" s="224"/>
      <c r="EW14" s="224"/>
      <c r="EX14" s="224"/>
      <c r="EY14" s="224"/>
      <c r="EZ14" s="224"/>
      <c r="FA14" s="243"/>
      <c r="FB14" s="168">
        <f t="shared" si="41"/>
        <v>0</v>
      </c>
      <c r="FC14" s="168">
        <f t="shared" si="42"/>
        <v>0</v>
      </c>
      <c r="FD14" s="242"/>
      <c r="FE14" s="224"/>
      <c r="FF14" s="243"/>
      <c r="FG14" s="168">
        <f t="shared" si="43"/>
        <v>0</v>
      </c>
      <c r="FH14" s="242"/>
      <c r="FI14" s="224"/>
      <c r="FJ14" s="224"/>
      <c r="FK14" s="224"/>
      <c r="FL14" s="243"/>
      <c r="FM14" s="168">
        <f t="shared" si="44"/>
        <v>0</v>
      </c>
      <c r="FN14" s="242"/>
      <c r="FO14" s="224"/>
      <c r="FP14" s="224"/>
      <c r="FQ14" s="224"/>
      <c r="FR14" s="168">
        <f t="shared" si="45"/>
        <v>0</v>
      </c>
      <c r="FS14" s="242"/>
      <c r="FT14" s="224"/>
      <c r="FU14" s="224"/>
      <c r="FV14" s="224"/>
      <c r="FW14" s="243"/>
      <c r="FX14" s="168">
        <f t="shared" si="46"/>
        <v>0</v>
      </c>
      <c r="FY14" s="242"/>
      <c r="FZ14" s="224"/>
      <c r="GA14" s="224"/>
      <c r="GB14" s="224"/>
      <c r="GC14" s="243"/>
      <c r="GD14" s="168">
        <f t="shared" si="47"/>
        <v>0</v>
      </c>
      <c r="GE14" s="168">
        <f t="shared" si="20"/>
        <v>0</v>
      </c>
      <c r="GF14" s="242"/>
      <c r="GG14" s="224"/>
      <c r="GH14" s="224"/>
      <c r="GI14" s="224"/>
      <c r="GJ14" s="224"/>
      <c r="GK14" s="168">
        <f t="shared" si="48"/>
        <v>0</v>
      </c>
      <c r="GL14" s="242"/>
      <c r="GM14" s="224"/>
      <c r="GN14" s="224"/>
      <c r="GO14" s="243"/>
      <c r="GP14" s="168">
        <f t="shared" si="49"/>
        <v>0</v>
      </c>
      <c r="GQ14" s="242"/>
      <c r="GR14" s="224"/>
      <c r="GS14" s="224"/>
      <c r="GT14" s="224"/>
      <c r="GU14" s="243"/>
      <c r="GV14" s="168">
        <f t="shared" si="50"/>
        <v>0</v>
      </c>
      <c r="GW14" s="242"/>
      <c r="GX14" s="224"/>
      <c r="GY14" s="224"/>
      <c r="GZ14" s="224"/>
      <c r="HA14" s="224"/>
      <c r="HB14" s="243"/>
      <c r="HC14" s="168">
        <f t="shared" si="51"/>
        <v>0</v>
      </c>
      <c r="HD14" s="168">
        <f t="shared" si="21"/>
        <v>0</v>
      </c>
      <c r="HE14" s="242"/>
      <c r="HF14" s="224"/>
      <c r="HG14" s="224"/>
      <c r="HH14" s="224"/>
      <c r="HI14" s="168">
        <f t="shared" si="52"/>
        <v>0</v>
      </c>
      <c r="HJ14" s="242"/>
      <c r="HK14" s="224"/>
      <c r="HL14" s="224"/>
      <c r="HM14" s="224"/>
      <c r="HN14" s="243"/>
      <c r="HO14" s="168">
        <f t="shared" si="53"/>
        <v>0</v>
      </c>
      <c r="HP14" s="242"/>
      <c r="HQ14" s="224"/>
      <c r="HR14" s="224"/>
      <c r="HS14" s="224"/>
      <c r="HT14" s="243"/>
      <c r="HU14" s="168">
        <f t="shared" si="54"/>
        <v>0</v>
      </c>
      <c r="HV14" s="242"/>
      <c r="HW14" s="224"/>
      <c r="HX14" s="224"/>
      <c r="HY14" s="168">
        <f t="shared" si="22"/>
        <v>0</v>
      </c>
      <c r="HZ14" s="242"/>
      <c r="IA14" s="224"/>
      <c r="IB14" s="243"/>
      <c r="IC14" s="168">
        <f t="shared" si="55"/>
        <v>0</v>
      </c>
      <c r="ID14" s="168">
        <f t="shared" si="23"/>
        <v>0</v>
      </c>
      <c r="IE14" s="242"/>
      <c r="IF14" s="243"/>
      <c r="IG14" s="168">
        <f t="shared" si="56"/>
        <v>0</v>
      </c>
      <c r="IH14" s="242"/>
      <c r="II14" s="224"/>
      <c r="IJ14" s="224"/>
      <c r="IK14" s="224"/>
      <c r="IL14" s="243"/>
      <c r="IM14" s="168">
        <f t="shared" si="57"/>
        <v>0</v>
      </c>
      <c r="IN14" s="242"/>
      <c r="IO14" s="224"/>
      <c r="IP14" s="243"/>
      <c r="IQ14" s="168">
        <f t="shared" si="58"/>
        <v>0</v>
      </c>
      <c r="IR14" s="242"/>
      <c r="IS14" s="224"/>
      <c r="IT14" s="224"/>
      <c r="IU14" s="224"/>
      <c r="IV14" s="243"/>
      <c r="IW14" s="168">
        <f t="shared" si="59"/>
        <v>0</v>
      </c>
      <c r="IX14" s="242"/>
      <c r="IY14" s="224"/>
      <c r="IZ14" s="224"/>
      <c r="JA14" s="224"/>
      <c r="JB14" s="243"/>
      <c r="JC14" s="168">
        <f t="shared" si="60"/>
        <v>0</v>
      </c>
      <c r="JD14" s="168">
        <f t="shared" si="24"/>
        <v>0</v>
      </c>
      <c r="JE14" s="242"/>
      <c r="JF14" s="224"/>
      <c r="JG14" s="224"/>
      <c r="JH14" s="224"/>
      <c r="JI14" s="243"/>
      <c r="JJ14" s="168">
        <f t="shared" si="61"/>
        <v>0</v>
      </c>
      <c r="JK14" s="242"/>
      <c r="JL14" s="224"/>
      <c r="JM14" s="224"/>
      <c r="JN14" s="224"/>
      <c r="JO14" s="243"/>
      <c r="JP14" s="168">
        <f t="shared" si="62"/>
        <v>0</v>
      </c>
      <c r="JQ14" s="242"/>
      <c r="JR14" s="224"/>
      <c r="JS14" s="224"/>
      <c r="JT14" s="224"/>
      <c r="JU14" s="243"/>
      <c r="JV14" s="168">
        <f t="shared" si="63"/>
        <v>0</v>
      </c>
      <c r="JW14" s="242"/>
      <c r="JX14" s="224"/>
      <c r="JY14" s="224"/>
      <c r="JZ14" s="224"/>
      <c r="KA14" s="224"/>
      <c r="KB14" s="243"/>
      <c r="KC14" s="168">
        <f t="shared" si="64"/>
        <v>0</v>
      </c>
      <c r="KD14" s="168">
        <f t="shared" si="65"/>
        <v>0</v>
      </c>
      <c r="KE14" s="242"/>
      <c r="KF14" s="224"/>
      <c r="KG14" s="224"/>
      <c r="KH14" s="224"/>
      <c r="KI14" s="243"/>
      <c r="KJ14" s="168">
        <f t="shared" si="66"/>
        <v>0</v>
      </c>
      <c r="KK14" s="242"/>
      <c r="KL14" s="224"/>
      <c r="KM14" s="224"/>
      <c r="KN14" s="224"/>
      <c r="KO14" s="243"/>
      <c r="KP14" s="168">
        <f t="shared" si="67"/>
        <v>0</v>
      </c>
      <c r="KQ14" s="242"/>
      <c r="KR14" s="224"/>
      <c r="KS14" s="224"/>
      <c r="KT14" s="224"/>
      <c r="KU14" s="243"/>
      <c r="KV14" s="168">
        <f t="shared" si="68"/>
        <v>0</v>
      </c>
      <c r="KW14" s="242"/>
      <c r="KX14" s="224"/>
      <c r="KY14" s="224"/>
      <c r="KZ14" s="224"/>
      <c r="LA14" s="243"/>
      <c r="LB14" s="168">
        <f t="shared" si="69"/>
        <v>0</v>
      </c>
      <c r="LC14" s="242"/>
      <c r="LD14" s="224"/>
      <c r="LE14" s="243"/>
      <c r="LF14" s="168">
        <f t="shared" si="70"/>
        <v>0</v>
      </c>
      <c r="LG14" s="168">
        <f t="shared" si="71"/>
        <v>0</v>
      </c>
    </row>
    <row r="15" spans="2:322">
      <c r="B15" s="93" t="s">
        <v>81</v>
      </c>
      <c r="C15" s="167"/>
      <c r="D15" s="181">
        <f t="shared" si="72"/>
        <v>0</v>
      </c>
      <c r="E15" s="167"/>
      <c r="F15" s="177"/>
      <c r="G15" s="177"/>
      <c r="H15" s="177"/>
      <c r="I15" s="178"/>
      <c r="J15" s="181">
        <f t="shared" si="6"/>
        <v>0</v>
      </c>
      <c r="K15" s="167"/>
      <c r="L15" s="177"/>
      <c r="M15" s="177"/>
      <c r="N15" s="178"/>
      <c r="O15" s="181">
        <f t="shared" si="73"/>
        <v>0</v>
      </c>
      <c r="P15" s="167"/>
      <c r="Q15" s="177">
        <v>9594.9040000000005</v>
      </c>
      <c r="R15" s="177"/>
      <c r="S15" s="177"/>
      <c r="T15" s="178"/>
      <c r="U15" s="168">
        <f t="shared" si="25"/>
        <v>9594.9040000000005</v>
      </c>
      <c r="V15" s="167"/>
      <c r="W15" s="177"/>
      <c r="X15" s="177"/>
      <c r="Y15" s="177"/>
      <c r="Z15" s="177"/>
      <c r="AA15" s="168">
        <f t="shared" si="26"/>
        <v>0</v>
      </c>
      <c r="AB15" s="168">
        <f t="shared" si="8"/>
        <v>9594.9040000000005</v>
      </c>
      <c r="AC15" s="242">
        <v>10794.204</v>
      </c>
      <c r="AD15" s="224"/>
      <c r="AE15" s="224"/>
      <c r="AF15" s="224"/>
      <c r="AG15" s="243"/>
      <c r="AH15" s="168">
        <f t="shared" si="27"/>
        <v>10794.204</v>
      </c>
      <c r="AI15" s="242"/>
      <c r="AJ15" s="224"/>
      <c r="AK15" s="224"/>
      <c r="AL15" s="224"/>
      <c r="AM15" s="243"/>
      <c r="AN15" s="168">
        <f t="shared" si="9"/>
        <v>0</v>
      </c>
      <c r="AO15" s="242"/>
      <c r="AP15" s="224"/>
      <c r="AQ15" s="224"/>
      <c r="AR15" s="224"/>
      <c r="AS15" s="243"/>
      <c r="AT15" s="168">
        <f t="shared" si="28"/>
        <v>0</v>
      </c>
      <c r="AU15" s="242"/>
      <c r="AV15" s="224"/>
      <c r="AW15" s="224"/>
      <c r="AX15" s="224"/>
      <c r="AY15" s="243"/>
      <c r="AZ15" s="168">
        <f t="shared" si="29"/>
        <v>0</v>
      </c>
      <c r="BA15" s="168">
        <f t="shared" si="30"/>
        <v>10794.204</v>
      </c>
      <c r="BB15" s="242"/>
      <c r="BC15" s="224"/>
      <c r="BD15" s="224"/>
      <c r="BE15" s="224"/>
      <c r="BF15" s="243"/>
      <c r="BG15" s="168">
        <f t="shared" si="31"/>
        <v>0</v>
      </c>
      <c r="BH15" s="242">
        <v>7196.3029999999999</v>
      </c>
      <c r="BI15" s="224"/>
      <c r="BJ15" s="224"/>
      <c r="BK15" s="224"/>
      <c r="BL15" s="243"/>
      <c r="BM15" s="168">
        <f t="shared" si="10"/>
        <v>7196.3029999999999</v>
      </c>
      <c r="BN15" s="242"/>
      <c r="BO15" s="224"/>
      <c r="BP15" s="224"/>
      <c r="BQ15" s="243"/>
      <c r="BR15" s="168">
        <f t="shared" si="11"/>
        <v>0</v>
      </c>
      <c r="BS15" s="242"/>
      <c r="BT15" s="224"/>
      <c r="BU15" s="224"/>
      <c r="BV15" s="224"/>
      <c r="BW15" s="243"/>
      <c r="BX15" s="239">
        <f t="shared" si="12"/>
        <v>0</v>
      </c>
      <c r="BY15" s="242"/>
      <c r="BZ15" s="224"/>
      <c r="CA15" s="168">
        <f t="shared" si="13"/>
        <v>0</v>
      </c>
      <c r="CB15" s="168">
        <f t="shared" si="14"/>
        <v>7196.3029999999999</v>
      </c>
      <c r="CC15" s="242"/>
      <c r="CD15" s="224"/>
      <c r="CE15" s="224"/>
      <c r="CF15" s="168">
        <f t="shared" si="15"/>
        <v>0</v>
      </c>
      <c r="CG15" s="242">
        <v>8395.6029999999992</v>
      </c>
      <c r="CH15" s="224"/>
      <c r="CI15" s="224"/>
      <c r="CJ15" s="243"/>
      <c r="CK15" s="168">
        <f t="shared" si="32"/>
        <v>8395.6029999999992</v>
      </c>
      <c r="CL15" s="242"/>
      <c r="CM15" s="224"/>
      <c r="CN15" s="224"/>
      <c r="CO15" s="224"/>
      <c r="CP15" s="243"/>
      <c r="CQ15" s="168">
        <f t="shared" si="33"/>
        <v>0</v>
      </c>
      <c r="CR15" s="242"/>
      <c r="CS15" s="224"/>
      <c r="CT15" s="224"/>
      <c r="CU15" s="224"/>
      <c r="CV15" s="243"/>
      <c r="CW15" s="168">
        <f t="shared" si="16"/>
        <v>0</v>
      </c>
      <c r="CX15" s="242"/>
      <c r="CY15" s="224"/>
      <c r="CZ15" s="224"/>
      <c r="DA15" s="243"/>
      <c r="DB15" s="168">
        <f t="shared" si="17"/>
        <v>0</v>
      </c>
      <c r="DC15" s="168">
        <f t="shared" si="18"/>
        <v>8395.6029999999992</v>
      </c>
      <c r="DD15" s="242"/>
      <c r="DE15" s="224">
        <v>10794.704</v>
      </c>
      <c r="DF15" s="224"/>
      <c r="DG15" s="224"/>
      <c r="DH15" s="224"/>
      <c r="DI15" s="168">
        <f t="shared" si="34"/>
        <v>10794.704</v>
      </c>
      <c r="DJ15" s="242"/>
      <c r="DK15" s="224"/>
      <c r="DL15" s="224"/>
      <c r="DM15" s="224"/>
      <c r="DN15" s="243"/>
      <c r="DO15" s="168">
        <f t="shared" si="35"/>
        <v>0</v>
      </c>
      <c r="DP15" s="242"/>
      <c r="DQ15" s="224"/>
      <c r="DR15" s="224"/>
      <c r="DS15" s="224"/>
      <c r="DT15" s="243"/>
      <c r="DU15" s="168">
        <f t="shared" si="36"/>
        <v>0</v>
      </c>
      <c r="DV15" s="242"/>
      <c r="DW15" s="224"/>
      <c r="DX15" s="224"/>
      <c r="DY15" s="224"/>
      <c r="DZ15" s="243"/>
      <c r="EA15" s="168">
        <f t="shared" si="19"/>
        <v>0</v>
      </c>
      <c r="EB15" s="168">
        <f t="shared" si="37"/>
        <v>10794.704</v>
      </c>
      <c r="EC15" s="242"/>
      <c r="ED15" s="224"/>
      <c r="EE15" s="224"/>
      <c r="EF15" s="224"/>
      <c r="EG15" s="243"/>
      <c r="EH15" s="168">
        <f t="shared" si="38"/>
        <v>0</v>
      </c>
      <c r="EI15" s="242"/>
      <c r="EJ15" s="224">
        <v>9594.9040000000005</v>
      </c>
      <c r="EK15" s="224"/>
      <c r="EL15" s="224"/>
      <c r="EM15" s="243"/>
      <c r="EN15" s="168">
        <f t="shared" si="39"/>
        <v>9594.9040000000005</v>
      </c>
      <c r="EO15" s="242"/>
      <c r="EP15" s="224"/>
      <c r="EQ15" s="224"/>
      <c r="ER15" s="224"/>
      <c r="ES15" s="243"/>
      <c r="ET15" s="168">
        <f t="shared" si="40"/>
        <v>0</v>
      </c>
      <c r="EU15" s="242"/>
      <c r="EV15" s="224"/>
      <c r="EW15" s="224"/>
      <c r="EX15" s="224"/>
      <c r="EY15" s="224"/>
      <c r="EZ15" s="224"/>
      <c r="FA15" s="243"/>
      <c r="FB15" s="168">
        <f t="shared" si="41"/>
        <v>0</v>
      </c>
      <c r="FC15" s="168">
        <f t="shared" si="42"/>
        <v>9594.9040000000005</v>
      </c>
      <c r="FD15" s="242"/>
      <c r="FE15" s="224"/>
      <c r="FF15" s="243"/>
      <c r="FG15" s="168">
        <f t="shared" si="43"/>
        <v>0</v>
      </c>
      <c r="FH15" s="242">
        <v>10794.204</v>
      </c>
      <c r="FI15" s="224"/>
      <c r="FJ15" s="224"/>
      <c r="FK15" s="224"/>
      <c r="FL15" s="243"/>
      <c r="FM15" s="168">
        <f t="shared" si="44"/>
        <v>10794.204</v>
      </c>
      <c r="FN15" s="242"/>
      <c r="FO15" s="224"/>
      <c r="FP15" s="224"/>
      <c r="FQ15" s="224"/>
      <c r="FR15" s="168">
        <f t="shared" si="45"/>
        <v>0</v>
      </c>
      <c r="FS15" s="242"/>
      <c r="FT15" s="224"/>
      <c r="FU15" s="224"/>
      <c r="FV15" s="224"/>
      <c r="FW15" s="243"/>
      <c r="FX15" s="168">
        <f t="shared" si="46"/>
        <v>0</v>
      </c>
      <c r="FY15" s="242"/>
      <c r="FZ15" s="224"/>
      <c r="GA15" s="224"/>
      <c r="GB15" s="224"/>
      <c r="GC15" s="243"/>
      <c r="GD15" s="168">
        <f t="shared" si="47"/>
        <v>0</v>
      </c>
      <c r="GE15" s="168">
        <f t="shared" si="20"/>
        <v>10794.204</v>
      </c>
      <c r="GF15" s="242"/>
      <c r="GG15" s="224"/>
      <c r="GH15" s="224"/>
      <c r="GI15" s="224"/>
      <c r="GJ15" s="224"/>
      <c r="GK15" s="168">
        <f t="shared" si="48"/>
        <v>0</v>
      </c>
      <c r="GL15" s="242"/>
      <c r="GM15" s="224"/>
      <c r="GN15" s="224"/>
      <c r="GO15" s="243"/>
      <c r="GP15" s="168">
        <f t="shared" si="49"/>
        <v>0</v>
      </c>
      <c r="GQ15" s="242"/>
      <c r="GR15" s="224"/>
      <c r="GS15" s="224"/>
      <c r="GT15" s="224"/>
      <c r="GU15" s="243"/>
      <c r="GV15" s="168">
        <f t="shared" si="50"/>
        <v>0</v>
      </c>
      <c r="GW15" s="242"/>
      <c r="GX15" s="224"/>
      <c r="GY15" s="224"/>
      <c r="GZ15" s="224"/>
      <c r="HA15" s="224"/>
      <c r="HB15" s="243"/>
      <c r="HC15" s="168">
        <f t="shared" si="51"/>
        <v>0</v>
      </c>
      <c r="HD15" s="168">
        <f t="shared" si="21"/>
        <v>0</v>
      </c>
      <c r="HE15" s="242"/>
      <c r="HF15" s="224"/>
      <c r="HG15" s="224"/>
      <c r="HH15" s="224"/>
      <c r="HI15" s="168">
        <f t="shared" si="52"/>
        <v>0</v>
      </c>
      <c r="HJ15" s="242"/>
      <c r="HK15" s="224"/>
      <c r="HL15" s="224"/>
      <c r="HM15" s="224"/>
      <c r="HN15" s="243"/>
      <c r="HO15" s="168">
        <f t="shared" si="53"/>
        <v>0</v>
      </c>
      <c r="HP15" s="242"/>
      <c r="HQ15" s="224"/>
      <c r="HR15" s="224"/>
      <c r="HS15" s="224"/>
      <c r="HT15" s="243"/>
      <c r="HU15" s="168">
        <f t="shared" si="54"/>
        <v>0</v>
      </c>
      <c r="HV15" s="242"/>
      <c r="HW15" s="224"/>
      <c r="HX15" s="224"/>
      <c r="HY15" s="168">
        <f t="shared" si="22"/>
        <v>0</v>
      </c>
      <c r="HZ15" s="242"/>
      <c r="IA15" s="224"/>
      <c r="IB15" s="243"/>
      <c r="IC15" s="168">
        <f t="shared" si="55"/>
        <v>0</v>
      </c>
      <c r="ID15" s="168">
        <f t="shared" si="23"/>
        <v>0</v>
      </c>
      <c r="IE15" s="242"/>
      <c r="IF15" s="243"/>
      <c r="IG15" s="168">
        <f t="shared" si="56"/>
        <v>0</v>
      </c>
      <c r="IH15" s="242"/>
      <c r="II15" s="224"/>
      <c r="IJ15" s="224"/>
      <c r="IK15" s="224"/>
      <c r="IL15" s="243"/>
      <c r="IM15" s="168">
        <f t="shared" si="57"/>
        <v>0</v>
      </c>
      <c r="IN15" s="242">
        <f>8395.603+9594.904</f>
        <v>17990.506999999998</v>
      </c>
      <c r="IO15" s="224"/>
      <c r="IP15" s="243"/>
      <c r="IQ15" s="168">
        <f t="shared" si="58"/>
        <v>17990.506999999998</v>
      </c>
      <c r="IR15" s="242"/>
      <c r="IS15" s="224"/>
      <c r="IT15" s="224"/>
      <c r="IU15" s="224"/>
      <c r="IV15" s="243"/>
      <c r="IW15" s="168">
        <f t="shared" si="59"/>
        <v>0</v>
      </c>
      <c r="IX15" s="242"/>
      <c r="IY15" s="224"/>
      <c r="IZ15" s="224"/>
      <c r="JA15" s="224"/>
      <c r="JB15" s="243"/>
      <c r="JC15" s="168">
        <f t="shared" si="60"/>
        <v>0</v>
      </c>
      <c r="JD15" s="168">
        <f t="shared" si="24"/>
        <v>17990.506999999998</v>
      </c>
      <c r="JE15" s="242"/>
      <c r="JF15" s="224"/>
      <c r="JG15" s="224"/>
      <c r="JH15" s="224"/>
      <c r="JI15" s="243"/>
      <c r="JJ15" s="168">
        <f t="shared" si="61"/>
        <v>0</v>
      </c>
      <c r="JK15" s="242"/>
      <c r="JL15" s="224"/>
      <c r="JM15" s="224"/>
      <c r="JN15" s="224"/>
      <c r="JO15" s="243"/>
      <c r="JP15" s="168">
        <f t="shared" si="62"/>
        <v>0</v>
      </c>
      <c r="JQ15" s="242"/>
      <c r="JR15" s="224"/>
      <c r="JS15" s="224"/>
      <c r="JT15" s="224"/>
      <c r="JU15" s="243"/>
      <c r="JV15" s="168">
        <f t="shared" si="63"/>
        <v>0</v>
      </c>
      <c r="JW15" s="242"/>
      <c r="JX15" s="224"/>
      <c r="JY15" s="224"/>
      <c r="JZ15" s="224"/>
      <c r="KA15" s="224"/>
      <c r="KB15" s="243"/>
      <c r="KC15" s="168">
        <f t="shared" si="64"/>
        <v>0</v>
      </c>
      <c r="KD15" s="168">
        <f t="shared" si="65"/>
        <v>0</v>
      </c>
      <c r="KE15" s="242"/>
      <c r="KF15" s="224"/>
      <c r="KG15" s="224"/>
      <c r="KH15" s="224"/>
      <c r="KI15" s="243"/>
      <c r="KJ15" s="168">
        <f t="shared" si="66"/>
        <v>0</v>
      </c>
      <c r="KK15" s="242"/>
      <c r="KL15" s="224"/>
      <c r="KM15" s="224"/>
      <c r="KN15" s="224"/>
      <c r="KO15" s="243"/>
      <c r="KP15" s="168">
        <f t="shared" si="67"/>
        <v>0</v>
      </c>
      <c r="KQ15" s="242"/>
      <c r="KR15" s="224"/>
      <c r="KS15" s="224"/>
      <c r="KT15" s="224"/>
      <c r="KU15" s="243"/>
      <c r="KV15" s="168">
        <f t="shared" si="68"/>
        <v>0</v>
      </c>
      <c r="KW15" s="242"/>
      <c r="KX15" s="224"/>
      <c r="KY15" s="224"/>
      <c r="KZ15" s="224"/>
      <c r="LA15" s="243"/>
      <c r="LB15" s="168">
        <f t="shared" si="69"/>
        <v>0</v>
      </c>
      <c r="LC15" s="242"/>
      <c r="LD15" s="224"/>
      <c r="LE15" s="243"/>
      <c r="LF15" s="168">
        <f t="shared" si="70"/>
        <v>0</v>
      </c>
      <c r="LG15" s="168">
        <v>10000</v>
      </c>
    </row>
    <row r="16" spans="2:322">
      <c r="B16" s="93" t="s">
        <v>82</v>
      </c>
      <c r="C16" s="167"/>
      <c r="D16" s="181">
        <f t="shared" si="72"/>
        <v>0</v>
      </c>
      <c r="E16" s="167"/>
      <c r="F16" s="177"/>
      <c r="G16" s="177"/>
      <c r="H16" s="177"/>
      <c r="I16" s="178"/>
      <c r="J16" s="181">
        <f t="shared" si="6"/>
        <v>0</v>
      </c>
      <c r="K16" s="167"/>
      <c r="L16" s="177"/>
      <c r="M16" s="177"/>
      <c r="N16" s="178"/>
      <c r="O16" s="181">
        <f t="shared" si="73"/>
        <v>0</v>
      </c>
      <c r="P16" s="167"/>
      <c r="Q16" s="177"/>
      <c r="R16" s="177"/>
      <c r="S16" s="177"/>
      <c r="T16" s="178"/>
      <c r="U16" s="168">
        <f t="shared" si="25"/>
        <v>0</v>
      </c>
      <c r="V16" s="167"/>
      <c r="W16" s="177"/>
      <c r="X16" s="177"/>
      <c r="Y16" s="177"/>
      <c r="Z16" s="177"/>
      <c r="AA16" s="168">
        <f t="shared" si="26"/>
        <v>0</v>
      </c>
      <c r="AB16" s="168">
        <f t="shared" si="8"/>
        <v>0</v>
      </c>
      <c r="AC16" s="242"/>
      <c r="AD16" s="224"/>
      <c r="AE16" s="224"/>
      <c r="AF16" s="224"/>
      <c r="AG16" s="243"/>
      <c r="AH16" s="168">
        <f t="shared" si="27"/>
        <v>0</v>
      </c>
      <c r="AI16" s="242"/>
      <c r="AJ16" s="224"/>
      <c r="AK16" s="224"/>
      <c r="AL16" s="224"/>
      <c r="AM16" s="243"/>
      <c r="AN16" s="168">
        <f t="shared" si="9"/>
        <v>0</v>
      </c>
      <c r="AO16" s="242"/>
      <c r="AP16" s="224"/>
      <c r="AQ16" s="224"/>
      <c r="AR16" s="224"/>
      <c r="AS16" s="243"/>
      <c r="AT16" s="168">
        <f t="shared" si="28"/>
        <v>0</v>
      </c>
      <c r="AU16" s="242"/>
      <c r="AV16" s="224"/>
      <c r="AW16" s="224"/>
      <c r="AX16" s="224"/>
      <c r="AY16" s="243"/>
      <c r="AZ16" s="168">
        <f t="shared" si="29"/>
        <v>0</v>
      </c>
      <c r="BA16" s="168">
        <f t="shared" si="30"/>
        <v>0</v>
      </c>
      <c r="BB16" s="242"/>
      <c r="BC16" s="224"/>
      <c r="BD16" s="224"/>
      <c r="BE16" s="224"/>
      <c r="BF16" s="243"/>
      <c r="BG16" s="168">
        <f t="shared" si="31"/>
        <v>0</v>
      </c>
      <c r="BH16" s="242"/>
      <c r="BI16" s="224"/>
      <c r="BJ16" s="224"/>
      <c r="BK16" s="224"/>
      <c r="BL16" s="243"/>
      <c r="BM16" s="168">
        <f t="shared" si="10"/>
        <v>0</v>
      </c>
      <c r="BN16" s="242"/>
      <c r="BO16" s="224"/>
      <c r="BP16" s="224"/>
      <c r="BQ16" s="243"/>
      <c r="BR16" s="168">
        <f t="shared" si="11"/>
        <v>0</v>
      </c>
      <c r="BS16" s="242"/>
      <c r="BT16" s="224"/>
      <c r="BU16" s="224"/>
      <c r="BV16" s="224"/>
      <c r="BW16" s="243"/>
      <c r="BX16" s="239">
        <f t="shared" si="12"/>
        <v>0</v>
      </c>
      <c r="BY16" s="242"/>
      <c r="BZ16" s="224">
        <v>506.9</v>
      </c>
      <c r="CA16" s="168">
        <f t="shared" si="13"/>
        <v>506.9</v>
      </c>
      <c r="CB16" s="168">
        <f t="shared" si="14"/>
        <v>506.9</v>
      </c>
      <c r="CC16" s="242"/>
      <c r="CD16" s="224"/>
      <c r="CE16" s="224"/>
      <c r="CF16" s="168">
        <f t="shared" si="15"/>
        <v>0</v>
      </c>
      <c r="CG16" s="242"/>
      <c r="CH16" s="224"/>
      <c r="CI16" s="224"/>
      <c r="CJ16" s="243"/>
      <c r="CK16" s="168">
        <f t="shared" si="32"/>
        <v>0</v>
      </c>
      <c r="CL16" s="242"/>
      <c r="CM16" s="224"/>
      <c r="CN16" s="224"/>
      <c r="CO16" s="224"/>
      <c r="CP16" s="243"/>
      <c r="CQ16" s="168">
        <f t="shared" si="33"/>
        <v>0</v>
      </c>
      <c r="CR16" s="242"/>
      <c r="CS16" s="224"/>
      <c r="CT16" s="224"/>
      <c r="CU16" s="224"/>
      <c r="CV16" s="243"/>
      <c r="CW16" s="168">
        <f t="shared" si="16"/>
        <v>0</v>
      </c>
      <c r="CX16" s="242"/>
      <c r="CY16" s="224"/>
      <c r="CZ16" s="224"/>
      <c r="DA16" s="243"/>
      <c r="DB16" s="168">
        <f t="shared" si="17"/>
        <v>0</v>
      </c>
      <c r="DC16" s="168">
        <f t="shared" si="18"/>
        <v>0</v>
      </c>
      <c r="DD16" s="242"/>
      <c r="DE16" s="224"/>
      <c r="DF16" s="224"/>
      <c r="DG16" s="224"/>
      <c r="DH16" s="224"/>
      <c r="DI16" s="168">
        <f t="shared" si="34"/>
        <v>0</v>
      </c>
      <c r="DJ16" s="242"/>
      <c r="DK16" s="224"/>
      <c r="DL16" s="224"/>
      <c r="DM16" s="224"/>
      <c r="DN16" s="243">
        <v>273.8</v>
      </c>
      <c r="DO16" s="168">
        <f t="shared" si="35"/>
        <v>273.8</v>
      </c>
      <c r="DP16" s="242"/>
      <c r="DQ16" s="224"/>
      <c r="DR16" s="224"/>
      <c r="DS16" s="224"/>
      <c r="DT16" s="243"/>
      <c r="DU16" s="168">
        <f t="shared" si="36"/>
        <v>0</v>
      </c>
      <c r="DV16" s="242"/>
      <c r="DW16" s="224"/>
      <c r="DX16" s="224"/>
      <c r="DY16" s="224"/>
      <c r="DZ16" s="243"/>
      <c r="EA16" s="168">
        <f t="shared" si="19"/>
        <v>0</v>
      </c>
      <c r="EB16" s="168">
        <f t="shared" si="37"/>
        <v>273.8</v>
      </c>
      <c r="EC16" s="242"/>
      <c r="ED16" s="224"/>
      <c r="EE16" s="224"/>
      <c r="EF16" s="224"/>
      <c r="EG16" s="243"/>
      <c r="EH16" s="168">
        <f t="shared" si="38"/>
        <v>0</v>
      </c>
      <c r="EI16" s="242"/>
      <c r="EJ16" s="224"/>
      <c r="EK16" s="224"/>
      <c r="EL16" s="224">
        <v>343.8</v>
      </c>
      <c r="EM16" s="243"/>
      <c r="EN16" s="168">
        <f t="shared" si="39"/>
        <v>343.8</v>
      </c>
      <c r="EO16" s="242"/>
      <c r="EP16" s="224"/>
      <c r="EQ16" s="224"/>
      <c r="ER16" s="224"/>
      <c r="ES16" s="243"/>
      <c r="ET16" s="168">
        <f t="shared" si="40"/>
        <v>0</v>
      </c>
      <c r="EU16" s="242"/>
      <c r="EV16" s="224"/>
      <c r="EW16" s="224"/>
      <c r="EX16" s="224"/>
      <c r="EY16" s="224"/>
      <c r="EZ16" s="224"/>
      <c r="FA16" s="243"/>
      <c r="FB16" s="168">
        <f t="shared" si="41"/>
        <v>0</v>
      </c>
      <c r="FC16" s="168">
        <f t="shared" si="42"/>
        <v>343.8</v>
      </c>
      <c r="FD16" s="242"/>
      <c r="FE16" s="224"/>
      <c r="FF16" s="243"/>
      <c r="FG16" s="168">
        <f t="shared" si="43"/>
        <v>0</v>
      </c>
      <c r="FH16" s="242"/>
      <c r="FI16" s="224"/>
      <c r="FJ16" s="224"/>
      <c r="FK16" s="224"/>
      <c r="FL16" s="243"/>
      <c r="FM16" s="168">
        <f t="shared" si="44"/>
        <v>0</v>
      </c>
      <c r="FN16" s="242"/>
      <c r="FO16" s="224"/>
      <c r="FP16" s="224"/>
      <c r="FQ16" s="224"/>
      <c r="FR16" s="168">
        <f t="shared" si="45"/>
        <v>0</v>
      </c>
      <c r="FS16" s="242"/>
      <c r="FT16" s="224"/>
      <c r="FU16" s="224"/>
      <c r="FV16" s="224"/>
      <c r="FW16" s="243"/>
      <c r="FX16" s="168">
        <f t="shared" si="46"/>
        <v>0</v>
      </c>
      <c r="FY16" s="242"/>
      <c r="FZ16" s="224"/>
      <c r="GA16" s="224"/>
      <c r="GB16" s="224"/>
      <c r="GC16" s="243"/>
      <c r="GD16" s="168">
        <f t="shared" si="47"/>
        <v>0</v>
      </c>
      <c r="GE16" s="168">
        <f t="shared" si="20"/>
        <v>0</v>
      </c>
      <c r="GF16" s="242"/>
      <c r="GG16" s="224"/>
      <c r="GH16" s="224"/>
      <c r="GI16" s="224"/>
      <c r="GJ16" s="224"/>
      <c r="GK16" s="168">
        <f t="shared" si="48"/>
        <v>0</v>
      </c>
      <c r="GL16" s="242"/>
      <c r="GM16" s="224"/>
      <c r="GN16" s="224"/>
      <c r="GO16" s="243"/>
      <c r="GP16" s="168">
        <f t="shared" si="49"/>
        <v>0</v>
      </c>
      <c r="GQ16" s="242"/>
      <c r="GR16" s="224"/>
      <c r="GS16" s="224"/>
      <c r="GT16" s="224"/>
      <c r="GU16" s="243"/>
      <c r="GV16" s="168">
        <f t="shared" si="50"/>
        <v>0</v>
      </c>
      <c r="GW16" s="242">
        <v>174.8</v>
      </c>
      <c r="GX16" s="224"/>
      <c r="GY16" s="224"/>
      <c r="GZ16" s="224"/>
      <c r="HA16" s="224"/>
      <c r="HB16" s="243"/>
      <c r="HC16" s="168">
        <f t="shared" si="51"/>
        <v>174.8</v>
      </c>
      <c r="HD16" s="168">
        <f t="shared" si="21"/>
        <v>174.8</v>
      </c>
      <c r="HE16" s="242"/>
      <c r="HF16" s="224"/>
      <c r="HG16" s="224"/>
      <c r="HH16" s="224"/>
      <c r="HI16" s="168">
        <f t="shared" si="52"/>
        <v>0</v>
      </c>
      <c r="HJ16" s="242"/>
      <c r="HK16" s="224"/>
      <c r="HL16" s="224"/>
      <c r="HM16" s="224"/>
      <c r="HN16" s="243"/>
      <c r="HO16" s="168">
        <f t="shared" si="53"/>
        <v>0</v>
      </c>
      <c r="HP16" s="242"/>
      <c r="HQ16" s="224"/>
      <c r="HR16" s="224"/>
      <c r="HS16" s="224"/>
      <c r="HT16" s="243"/>
      <c r="HU16" s="168">
        <f t="shared" si="54"/>
        <v>0</v>
      </c>
      <c r="HV16" s="242"/>
      <c r="HW16" s="224"/>
      <c r="HX16" s="224"/>
      <c r="HY16" s="168">
        <f t="shared" si="22"/>
        <v>0</v>
      </c>
      <c r="HZ16" s="242"/>
      <c r="IA16" s="224"/>
      <c r="IB16" s="243"/>
      <c r="IC16" s="168">
        <f t="shared" si="55"/>
        <v>0</v>
      </c>
      <c r="ID16" s="168">
        <f t="shared" si="23"/>
        <v>0</v>
      </c>
      <c r="IE16" s="242"/>
      <c r="IF16" s="243"/>
      <c r="IG16" s="168">
        <f t="shared" si="56"/>
        <v>0</v>
      </c>
      <c r="IH16" s="242"/>
      <c r="II16" s="224"/>
      <c r="IJ16" s="224"/>
      <c r="IK16" s="224"/>
      <c r="IL16" s="243"/>
      <c r="IM16" s="168">
        <f t="shared" si="57"/>
        <v>0</v>
      </c>
      <c r="IN16" s="242"/>
      <c r="IO16" s="224"/>
      <c r="IP16" s="243"/>
      <c r="IQ16" s="168">
        <f t="shared" si="58"/>
        <v>0</v>
      </c>
      <c r="IR16" s="242"/>
      <c r="IS16" s="224"/>
      <c r="IT16" s="224"/>
      <c r="IU16" s="224"/>
      <c r="IV16" s="243"/>
      <c r="IW16" s="168">
        <f t="shared" si="59"/>
        <v>0</v>
      </c>
      <c r="IX16" s="242"/>
      <c r="IY16" s="224"/>
      <c r="IZ16" s="224"/>
      <c r="JA16" s="224"/>
      <c r="JB16" s="243"/>
      <c r="JC16" s="168">
        <f t="shared" si="60"/>
        <v>0</v>
      </c>
      <c r="JD16" s="168">
        <f t="shared" si="24"/>
        <v>0</v>
      </c>
      <c r="JE16" s="242"/>
      <c r="JF16" s="224"/>
      <c r="JG16" s="224"/>
      <c r="JH16" s="224"/>
      <c r="JI16" s="243">
        <v>421.1</v>
      </c>
      <c r="JJ16" s="168">
        <f t="shared" si="61"/>
        <v>421.1</v>
      </c>
      <c r="JK16" s="242"/>
      <c r="JL16" s="224"/>
      <c r="JM16" s="224"/>
      <c r="JN16" s="224"/>
      <c r="JO16" s="243"/>
      <c r="JP16" s="168">
        <f t="shared" si="62"/>
        <v>0</v>
      </c>
      <c r="JQ16" s="242"/>
      <c r="JR16" s="224"/>
      <c r="JS16" s="224"/>
      <c r="JT16" s="224"/>
      <c r="JU16" s="243"/>
      <c r="JV16" s="168">
        <f t="shared" si="63"/>
        <v>0</v>
      </c>
      <c r="JW16" s="242"/>
      <c r="JX16" s="224"/>
      <c r="JY16" s="224"/>
      <c r="JZ16" s="224"/>
      <c r="KA16" s="224"/>
      <c r="KB16" s="243"/>
      <c r="KC16" s="168">
        <f t="shared" si="64"/>
        <v>0</v>
      </c>
      <c r="KD16" s="168">
        <f t="shared" si="65"/>
        <v>421.1</v>
      </c>
      <c r="KE16" s="242"/>
      <c r="KF16" s="224"/>
      <c r="KG16" s="224"/>
      <c r="KH16" s="224"/>
      <c r="KI16" s="243"/>
      <c r="KJ16" s="168">
        <f t="shared" si="66"/>
        <v>0</v>
      </c>
      <c r="KK16" s="242"/>
      <c r="KL16" s="224"/>
      <c r="KM16" s="224"/>
      <c r="KN16" s="224"/>
      <c r="KO16" s="243"/>
      <c r="KP16" s="168">
        <f t="shared" si="67"/>
        <v>0</v>
      </c>
      <c r="KQ16" s="242"/>
      <c r="KR16" s="224"/>
      <c r="KS16" s="224"/>
      <c r="KT16" s="224"/>
      <c r="KU16" s="243"/>
      <c r="KV16" s="168">
        <f t="shared" si="68"/>
        <v>0</v>
      </c>
      <c r="KW16" s="242"/>
      <c r="KX16" s="224"/>
      <c r="KY16" s="224"/>
      <c r="KZ16" s="224"/>
      <c r="LA16" s="243"/>
      <c r="LB16" s="168">
        <f t="shared" si="69"/>
        <v>0</v>
      </c>
      <c r="LC16" s="242"/>
      <c r="LD16" s="224"/>
      <c r="LE16" s="243"/>
      <c r="LF16" s="168">
        <f t="shared" si="70"/>
        <v>0</v>
      </c>
      <c r="LG16" s="168">
        <f t="shared" si="71"/>
        <v>0</v>
      </c>
      <c r="LI16" s="91"/>
    </row>
    <row r="17" spans="2:324">
      <c r="B17" s="93" t="s">
        <v>83</v>
      </c>
      <c r="C17" s="167"/>
      <c r="D17" s="181">
        <f t="shared" si="72"/>
        <v>0</v>
      </c>
      <c r="E17" s="167"/>
      <c r="F17" s="177"/>
      <c r="G17" s="177"/>
      <c r="H17" s="177"/>
      <c r="I17" s="178"/>
      <c r="J17" s="181">
        <f t="shared" si="6"/>
        <v>0</v>
      </c>
      <c r="K17" s="167"/>
      <c r="L17" s="177"/>
      <c r="M17" s="177"/>
      <c r="N17" s="178"/>
      <c r="O17" s="181">
        <f t="shared" si="73"/>
        <v>0</v>
      </c>
      <c r="P17" s="167"/>
      <c r="Q17" s="177"/>
      <c r="R17" s="177"/>
      <c r="S17" s="177"/>
      <c r="T17" s="178"/>
      <c r="U17" s="168">
        <f t="shared" si="25"/>
        <v>0</v>
      </c>
      <c r="V17" s="167"/>
      <c r="W17" s="177"/>
      <c r="X17" s="177"/>
      <c r="Y17" s="177"/>
      <c r="Z17" s="177"/>
      <c r="AA17" s="168">
        <f t="shared" si="26"/>
        <v>0</v>
      </c>
      <c r="AB17" s="168">
        <f t="shared" si="8"/>
        <v>0</v>
      </c>
      <c r="AC17" s="242"/>
      <c r="AD17" s="224"/>
      <c r="AE17" s="224"/>
      <c r="AF17" s="224"/>
      <c r="AG17" s="243"/>
      <c r="AH17" s="168">
        <f t="shared" si="27"/>
        <v>0</v>
      </c>
      <c r="AI17" s="242"/>
      <c r="AJ17" s="224"/>
      <c r="AK17" s="224"/>
      <c r="AL17" s="224"/>
      <c r="AM17" s="243"/>
      <c r="AN17" s="168">
        <f t="shared" si="9"/>
        <v>0</v>
      </c>
      <c r="AO17" s="242"/>
      <c r="AP17" s="224"/>
      <c r="AQ17" s="224"/>
      <c r="AR17" s="224"/>
      <c r="AS17" s="243"/>
      <c r="AT17" s="168">
        <f t="shared" si="28"/>
        <v>0</v>
      </c>
      <c r="AU17" s="242"/>
      <c r="AV17" s="224"/>
      <c r="AW17" s="224"/>
      <c r="AX17" s="224"/>
      <c r="AY17" s="243"/>
      <c r="AZ17" s="168">
        <f t="shared" si="29"/>
        <v>0</v>
      </c>
      <c r="BA17" s="168">
        <f t="shared" si="30"/>
        <v>0</v>
      </c>
      <c r="BB17" s="242"/>
      <c r="BC17" s="224"/>
      <c r="BD17" s="224"/>
      <c r="BE17" s="224"/>
      <c r="BF17" s="243"/>
      <c r="BG17" s="168">
        <f t="shared" si="31"/>
        <v>0</v>
      </c>
      <c r="BH17" s="242"/>
      <c r="BI17" s="224"/>
      <c r="BJ17" s="224"/>
      <c r="BK17" s="224"/>
      <c r="BL17" s="243"/>
      <c r="BM17" s="168">
        <f t="shared" si="10"/>
        <v>0</v>
      </c>
      <c r="BN17" s="242"/>
      <c r="BO17" s="224"/>
      <c r="BP17" s="224"/>
      <c r="BQ17" s="243"/>
      <c r="BR17" s="168">
        <f t="shared" si="11"/>
        <v>0</v>
      </c>
      <c r="BS17" s="242"/>
      <c r="BT17" s="224"/>
      <c r="BU17" s="224"/>
      <c r="BV17" s="224"/>
      <c r="BW17" s="243"/>
      <c r="BX17" s="239">
        <f t="shared" si="12"/>
        <v>0</v>
      </c>
      <c r="BY17" s="242"/>
      <c r="BZ17" s="224"/>
      <c r="CA17" s="168">
        <f t="shared" si="13"/>
        <v>0</v>
      </c>
      <c r="CB17" s="168">
        <f t="shared" si="14"/>
        <v>0</v>
      </c>
      <c r="CC17" s="242"/>
      <c r="CD17" s="224"/>
      <c r="CE17" s="224"/>
      <c r="CF17" s="168">
        <f t="shared" si="15"/>
        <v>0</v>
      </c>
      <c r="CG17" s="242"/>
      <c r="CH17" s="224"/>
      <c r="CI17" s="224"/>
      <c r="CJ17" s="243"/>
      <c r="CK17" s="168">
        <f t="shared" si="32"/>
        <v>0</v>
      </c>
      <c r="CL17" s="242"/>
      <c r="CM17" s="224"/>
      <c r="CN17" s="224"/>
      <c r="CO17" s="224"/>
      <c r="CP17" s="243"/>
      <c r="CQ17" s="168">
        <f t="shared" si="33"/>
        <v>0</v>
      </c>
      <c r="CR17" s="242"/>
      <c r="CS17" s="224"/>
      <c r="CT17" s="224"/>
      <c r="CU17" s="224"/>
      <c r="CV17" s="243"/>
      <c r="CW17" s="168">
        <f t="shared" si="16"/>
        <v>0</v>
      </c>
      <c r="CX17" s="242"/>
      <c r="CY17" s="224"/>
      <c r="CZ17" s="224"/>
      <c r="DA17" s="243"/>
      <c r="DB17" s="168">
        <f t="shared" si="17"/>
        <v>0</v>
      </c>
      <c r="DC17" s="168">
        <f t="shared" si="18"/>
        <v>0</v>
      </c>
      <c r="DD17" s="242"/>
      <c r="DE17" s="224"/>
      <c r="DF17" s="224"/>
      <c r="DG17" s="224"/>
      <c r="DH17" s="224"/>
      <c r="DI17" s="168">
        <f t="shared" si="34"/>
        <v>0</v>
      </c>
      <c r="DJ17" s="242"/>
      <c r="DK17" s="224"/>
      <c r="DL17" s="224"/>
      <c r="DM17" s="224"/>
      <c r="DN17" s="243"/>
      <c r="DO17" s="168">
        <f t="shared" si="35"/>
        <v>0</v>
      </c>
      <c r="DP17" s="242"/>
      <c r="DQ17" s="224"/>
      <c r="DR17" s="224"/>
      <c r="DS17" s="224"/>
      <c r="DT17" s="243"/>
      <c r="DU17" s="168">
        <f t="shared" si="36"/>
        <v>0</v>
      </c>
      <c r="DV17" s="242"/>
      <c r="DW17" s="224"/>
      <c r="DX17" s="224"/>
      <c r="DY17" s="224"/>
      <c r="DZ17" s="243"/>
      <c r="EA17" s="168">
        <f t="shared" si="19"/>
        <v>0</v>
      </c>
      <c r="EB17" s="168">
        <f t="shared" si="37"/>
        <v>0</v>
      </c>
      <c r="EC17" s="242"/>
      <c r="ED17" s="224"/>
      <c r="EE17" s="224"/>
      <c r="EF17" s="224"/>
      <c r="EG17" s="243"/>
      <c r="EH17" s="168">
        <f t="shared" si="38"/>
        <v>0</v>
      </c>
      <c r="EI17" s="242"/>
      <c r="EJ17" s="224"/>
      <c r="EK17" s="224"/>
      <c r="EL17" s="224"/>
      <c r="EM17" s="243"/>
      <c r="EN17" s="168">
        <f t="shared" si="39"/>
        <v>0</v>
      </c>
      <c r="EO17" s="242"/>
      <c r="EP17" s="224"/>
      <c r="EQ17" s="224"/>
      <c r="ER17" s="224"/>
      <c r="ES17" s="243"/>
      <c r="ET17" s="168">
        <f t="shared" si="40"/>
        <v>0</v>
      </c>
      <c r="EU17" s="242"/>
      <c r="EV17" s="224"/>
      <c r="EW17" s="224"/>
      <c r="EX17" s="224"/>
      <c r="EY17" s="224"/>
      <c r="EZ17" s="224"/>
      <c r="FA17" s="243"/>
      <c r="FB17" s="168">
        <f t="shared" si="41"/>
        <v>0</v>
      </c>
      <c r="FC17" s="168">
        <f t="shared" si="42"/>
        <v>0</v>
      </c>
      <c r="FD17" s="242"/>
      <c r="FE17" s="224"/>
      <c r="FF17" s="243"/>
      <c r="FG17" s="168">
        <f t="shared" si="43"/>
        <v>0</v>
      </c>
      <c r="FH17" s="242"/>
      <c r="FI17" s="224"/>
      <c r="FJ17" s="224"/>
      <c r="FK17" s="224"/>
      <c r="FL17" s="243"/>
      <c r="FM17" s="168">
        <f t="shared" si="44"/>
        <v>0</v>
      </c>
      <c r="FN17" s="242"/>
      <c r="FO17" s="224"/>
      <c r="FP17" s="224"/>
      <c r="FQ17" s="224"/>
      <c r="FR17" s="168">
        <f t="shared" si="45"/>
        <v>0</v>
      </c>
      <c r="FS17" s="242"/>
      <c r="FT17" s="224"/>
      <c r="FU17" s="224"/>
      <c r="FV17" s="224"/>
      <c r="FW17" s="243"/>
      <c r="FX17" s="168">
        <f t="shared" si="46"/>
        <v>0</v>
      </c>
      <c r="FY17" s="242"/>
      <c r="FZ17" s="224"/>
      <c r="GA17" s="224"/>
      <c r="GB17" s="224"/>
      <c r="GC17" s="243"/>
      <c r="GD17" s="168">
        <f t="shared" si="47"/>
        <v>0</v>
      </c>
      <c r="GE17" s="168">
        <f t="shared" si="20"/>
        <v>0</v>
      </c>
      <c r="GF17" s="242"/>
      <c r="GG17" s="224"/>
      <c r="GH17" s="224"/>
      <c r="GI17" s="224"/>
      <c r="GJ17" s="224"/>
      <c r="GK17" s="168">
        <f t="shared" si="48"/>
        <v>0</v>
      </c>
      <c r="GL17" s="242"/>
      <c r="GM17" s="224"/>
      <c r="GN17" s="224"/>
      <c r="GO17" s="243"/>
      <c r="GP17" s="168">
        <f t="shared" si="49"/>
        <v>0</v>
      </c>
      <c r="GQ17" s="242"/>
      <c r="GR17" s="224"/>
      <c r="GS17" s="224"/>
      <c r="GT17" s="224"/>
      <c r="GU17" s="243"/>
      <c r="GV17" s="168">
        <f t="shared" si="50"/>
        <v>0</v>
      </c>
      <c r="GW17" s="242"/>
      <c r="GX17" s="224"/>
      <c r="GY17" s="224"/>
      <c r="GZ17" s="224"/>
      <c r="HA17" s="224"/>
      <c r="HB17" s="243"/>
      <c r="HC17" s="168">
        <f t="shared" si="51"/>
        <v>0</v>
      </c>
      <c r="HD17" s="168">
        <f t="shared" si="21"/>
        <v>0</v>
      </c>
      <c r="HE17" s="242"/>
      <c r="HF17" s="224"/>
      <c r="HG17" s="224"/>
      <c r="HH17" s="224"/>
      <c r="HI17" s="168">
        <f t="shared" si="52"/>
        <v>0</v>
      </c>
      <c r="HJ17" s="242"/>
      <c r="HK17" s="224"/>
      <c r="HL17" s="224"/>
      <c r="HM17" s="224"/>
      <c r="HN17" s="243"/>
      <c r="HO17" s="168">
        <f t="shared" si="53"/>
        <v>0</v>
      </c>
      <c r="HP17" s="242"/>
      <c r="HQ17" s="224"/>
      <c r="HR17" s="224"/>
      <c r="HS17" s="224"/>
      <c r="HT17" s="243"/>
      <c r="HU17" s="168">
        <f t="shared" si="54"/>
        <v>0</v>
      </c>
      <c r="HV17" s="242"/>
      <c r="HW17" s="224"/>
      <c r="HX17" s="224"/>
      <c r="HY17" s="168">
        <f t="shared" si="22"/>
        <v>0</v>
      </c>
      <c r="HZ17" s="242"/>
      <c r="IA17" s="224"/>
      <c r="IB17" s="243"/>
      <c r="IC17" s="168">
        <f t="shared" si="55"/>
        <v>0</v>
      </c>
      <c r="ID17" s="168">
        <f t="shared" si="23"/>
        <v>0</v>
      </c>
      <c r="IE17" s="242"/>
      <c r="IF17" s="243"/>
      <c r="IG17" s="168">
        <f t="shared" si="56"/>
        <v>0</v>
      </c>
      <c r="IH17" s="242"/>
      <c r="II17" s="224"/>
      <c r="IJ17" s="224"/>
      <c r="IK17" s="224"/>
      <c r="IL17" s="243"/>
      <c r="IM17" s="168">
        <f t="shared" si="57"/>
        <v>0</v>
      </c>
      <c r="IN17" s="242"/>
      <c r="IO17" s="224"/>
      <c r="IP17" s="243"/>
      <c r="IQ17" s="168">
        <f t="shared" si="58"/>
        <v>0</v>
      </c>
      <c r="IR17" s="242"/>
      <c r="IS17" s="224"/>
      <c r="IT17" s="224"/>
      <c r="IU17" s="224"/>
      <c r="IV17" s="243"/>
      <c r="IW17" s="168">
        <f t="shared" si="59"/>
        <v>0</v>
      </c>
      <c r="IX17" s="242"/>
      <c r="IY17" s="224"/>
      <c r="IZ17" s="224"/>
      <c r="JA17" s="224"/>
      <c r="JB17" s="243"/>
      <c r="JC17" s="168">
        <f t="shared" si="60"/>
        <v>0</v>
      </c>
      <c r="JD17" s="168">
        <f t="shared" si="24"/>
        <v>0</v>
      </c>
      <c r="JE17" s="242"/>
      <c r="JF17" s="224"/>
      <c r="JG17" s="224"/>
      <c r="JH17" s="224"/>
      <c r="JI17" s="243"/>
      <c r="JJ17" s="168">
        <f t="shared" si="61"/>
        <v>0</v>
      </c>
      <c r="JK17" s="242"/>
      <c r="JL17" s="224"/>
      <c r="JM17" s="224"/>
      <c r="JN17" s="224"/>
      <c r="JO17" s="243"/>
      <c r="JP17" s="168">
        <f t="shared" si="62"/>
        <v>0</v>
      </c>
      <c r="JQ17" s="242"/>
      <c r="JR17" s="224"/>
      <c r="JS17" s="224"/>
      <c r="JT17" s="224"/>
      <c r="JU17" s="243"/>
      <c r="JV17" s="168">
        <f t="shared" si="63"/>
        <v>0</v>
      </c>
      <c r="JW17" s="242"/>
      <c r="JX17" s="224"/>
      <c r="JY17" s="224"/>
      <c r="JZ17" s="224"/>
      <c r="KA17" s="224"/>
      <c r="KB17" s="243"/>
      <c r="KC17" s="168">
        <f t="shared" si="64"/>
        <v>0</v>
      </c>
      <c r="KD17" s="168">
        <f t="shared" si="65"/>
        <v>0</v>
      </c>
      <c r="KE17" s="242"/>
      <c r="KF17" s="224"/>
      <c r="KG17" s="224"/>
      <c r="KH17" s="224"/>
      <c r="KI17" s="243"/>
      <c r="KJ17" s="168">
        <f t="shared" si="66"/>
        <v>0</v>
      </c>
      <c r="KK17" s="242"/>
      <c r="KL17" s="224"/>
      <c r="KM17" s="224"/>
      <c r="KN17" s="224"/>
      <c r="KO17" s="243"/>
      <c r="KP17" s="168">
        <f t="shared" si="67"/>
        <v>0</v>
      </c>
      <c r="KQ17" s="242"/>
      <c r="KR17" s="224"/>
      <c r="KS17" s="224"/>
      <c r="KT17" s="224"/>
      <c r="KU17" s="243"/>
      <c r="KV17" s="168">
        <f t="shared" si="68"/>
        <v>0</v>
      </c>
      <c r="KW17" s="242"/>
      <c r="KX17" s="224"/>
      <c r="KY17" s="224"/>
      <c r="KZ17" s="224"/>
      <c r="LA17" s="243"/>
      <c r="LB17" s="168">
        <f t="shared" si="69"/>
        <v>0</v>
      </c>
      <c r="LC17" s="242"/>
      <c r="LD17" s="224"/>
      <c r="LE17" s="243"/>
      <c r="LF17" s="168">
        <f t="shared" si="70"/>
        <v>0</v>
      </c>
      <c r="LG17" s="168">
        <f t="shared" si="71"/>
        <v>0</v>
      </c>
      <c r="LI17" s="544"/>
    </row>
    <row r="18" spans="2:324">
      <c r="B18" s="93" t="s">
        <v>95</v>
      </c>
      <c r="C18" s="167"/>
      <c r="D18" s="181">
        <f t="shared" si="72"/>
        <v>0</v>
      </c>
      <c r="E18" s="167"/>
      <c r="F18" s="177"/>
      <c r="G18" s="177"/>
      <c r="H18" s="177"/>
      <c r="I18" s="178"/>
      <c r="J18" s="181">
        <f t="shared" si="6"/>
        <v>0</v>
      </c>
      <c r="K18" s="167"/>
      <c r="L18" s="177"/>
      <c r="M18" s="177"/>
      <c r="N18" s="178"/>
      <c r="O18" s="181">
        <f t="shared" si="73"/>
        <v>0</v>
      </c>
      <c r="P18" s="167"/>
      <c r="Q18" s="177"/>
      <c r="R18" s="177"/>
      <c r="S18" s="177"/>
      <c r="T18" s="178"/>
      <c r="U18" s="168">
        <f t="shared" si="25"/>
        <v>0</v>
      </c>
      <c r="V18" s="167"/>
      <c r="W18" s="177"/>
      <c r="X18" s="177"/>
      <c r="Y18" s="177"/>
      <c r="Z18" s="177"/>
      <c r="AA18" s="168">
        <f t="shared" si="26"/>
        <v>0</v>
      </c>
      <c r="AB18" s="168">
        <f t="shared" si="8"/>
        <v>0</v>
      </c>
      <c r="AC18" s="242"/>
      <c r="AD18" s="224"/>
      <c r="AE18" s="224"/>
      <c r="AF18" s="224"/>
      <c r="AG18" s="243"/>
      <c r="AH18" s="168">
        <f t="shared" si="27"/>
        <v>0</v>
      </c>
      <c r="AI18" s="242"/>
      <c r="AJ18" s="224">
        <f>671.2+285.6</f>
        <v>956.80000000000007</v>
      </c>
      <c r="AK18" s="224"/>
      <c r="AL18" s="224"/>
      <c r="AM18" s="243">
        <v>307.3</v>
      </c>
      <c r="AN18" s="168">
        <f t="shared" si="9"/>
        <v>1264.1000000000001</v>
      </c>
      <c r="AO18" s="242"/>
      <c r="AP18" s="224"/>
      <c r="AQ18" s="224"/>
      <c r="AR18" s="224"/>
      <c r="AS18" s="243"/>
      <c r="AT18" s="168">
        <f t="shared" si="28"/>
        <v>0</v>
      </c>
      <c r="AU18" s="242"/>
      <c r="AV18" s="224"/>
      <c r="AW18" s="224"/>
      <c r="AX18" s="224"/>
      <c r="AY18" s="243"/>
      <c r="AZ18" s="168">
        <f t="shared" si="29"/>
        <v>0</v>
      </c>
      <c r="BA18" s="168">
        <f t="shared" si="30"/>
        <v>1264.1000000000001</v>
      </c>
      <c r="BB18" s="242"/>
      <c r="BC18" s="224"/>
      <c r="BD18" s="224"/>
      <c r="BE18" s="224"/>
      <c r="BF18" s="243"/>
      <c r="BG18" s="168">
        <f t="shared" si="31"/>
        <v>0</v>
      </c>
      <c r="BH18" s="242"/>
      <c r="BI18" s="224"/>
      <c r="BJ18" s="224"/>
      <c r="BK18" s="224"/>
      <c r="BL18" s="243"/>
      <c r="BM18" s="168">
        <f t="shared" si="10"/>
        <v>0</v>
      </c>
      <c r="BN18" s="242"/>
      <c r="BO18" s="224"/>
      <c r="BP18" s="224"/>
      <c r="BQ18" s="243"/>
      <c r="BR18" s="168">
        <f t="shared" si="11"/>
        <v>0</v>
      </c>
      <c r="BS18" s="242"/>
      <c r="BT18" s="224"/>
      <c r="BU18" s="224"/>
      <c r="BV18" s="224"/>
      <c r="BW18" s="243">
        <v>354.5</v>
      </c>
      <c r="BX18" s="239">
        <f t="shared" si="12"/>
        <v>354.5</v>
      </c>
      <c r="BY18" s="242"/>
      <c r="BZ18" s="224"/>
      <c r="CA18" s="168">
        <f t="shared" si="13"/>
        <v>0</v>
      </c>
      <c r="CB18" s="168">
        <f t="shared" si="14"/>
        <v>354.5</v>
      </c>
      <c r="CC18" s="242"/>
      <c r="CD18" s="224"/>
      <c r="CE18" s="224"/>
      <c r="CF18" s="168">
        <f t="shared" si="15"/>
        <v>0</v>
      </c>
      <c r="CG18" s="242">
        <v>195.98</v>
      </c>
      <c r="CH18" s="224"/>
      <c r="CI18" s="224"/>
      <c r="CJ18" s="243"/>
      <c r="CK18" s="168">
        <f t="shared" si="32"/>
        <v>195.98</v>
      </c>
      <c r="CL18" s="242"/>
      <c r="CM18" s="224"/>
      <c r="CN18" s="224"/>
      <c r="CO18" s="224"/>
      <c r="CP18" s="243"/>
      <c r="CQ18" s="168">
        <f t="shared" si="33"/>
        <v>0</v>
      </c>
      <c r="CR18" s="242"/>
      <c r="CS18" s="224"/>
      <c r="CT18" s="224"/>
      <c r="CU18" s="224"/>
      <c r="CV18" s="243"/>
      <c r="CW18" s="168">
        <f t="shared" si="16"/>
        <v>0</v>
      </c>
      <c r="CX18" s="242"/>
      <c r="CY18" s="224"/>
      <c r="CZ18" s="224"/>
      <c r="DA18" s="243"/>
      <c r="DB18" s="168">
        <f t="shared" si="17"/>
        <v>0</v>
      </c>
      <c r="DC18" s="168">
        <f t="shared" si="18"/>
        <v>195.98</v>
      </c>
      <c r="DD18" s="242"/>
      <c r="DE18" s="224"/>
      <c r="DF18" s="224"/>
      <c r="DG18" s="224"/>
      <c r="DH18" s="224">
        <v>354.5</v>
      </c>
      <c r="DI18" s="168">
        <f t="shared" si="34"/>
        <v>354.5</v>
      </c>
      <c r="DJ18" s="242"/>
      <c r="DK18" s="224"/>
      <c r="DL18" s="224"/>
      <c r="DM18" s="224"/>
      <c r="DN18" s="243"/>
      <c r="DO18" s="168">
        <f t="shared" si="35"/>
        <v>0</v>
      </c>
      <c r="DP18" s="242"/>
      <c r="DQ18" s="224"/>
      <c r="DR18" s="224"/>
      <c r="DS18" s="224">
        <v>87.96</v>
      </c>
      <c r="DT18" s="243"/>
      <c r="DU18" s="168">
        <f t="shared" si="36"/>
        <v>87.96</v>
      </c>
      <c r="DV18" s="242"/>
      <c r="DW18" s="224"/>
      <c r="DX18" s="224"/>
      <c r="DY18" s="224"/>
      <c r="DZ18" s="243"/>
      <c r="EA18" s="168">
        <f t="shared" si="19"/>
        <v>0</v>
      </c>
      <c r="EB18" s="168">
        <f t="shared" si="37"/>
        <v>442.46</v>
      </c>
      <c r="EC18" s="242"/>
      <c r="ED18" s="224">
        <v>283.7</v>
      </c>
      <c r="EE18" s="224"/>
      <c r="EF18" s="224"/>
      <c r="EG18" s="243"/>
      <c r="EH18" s="168">
        <f t="shared" si="38"/>
        <v>283.7</v>
      </c>
      <c r="EI18" s="242"/>
      <c r="EJ18" s="224"/>
      <c r="EK18" s="224"/>
      <c r="EL18" s="224"/>
      <c r="EM18" s="243"/>
      <c r="EN18" s="168">
        <f t="shared" si="39"/>
        <v>0</v>
      </c>
      <c r="EO18" s="242"/>
      <c r="EP18" s="224"/>
      <c r="EQ18" s="224"/>
      <c r="ER18" s="224"/>
      <c r="ES18" s="243"/>
      <c r="ET18" s="168">
        <f t="shared" si="40"/>
        <v>0</v>
      </c>
      <c r="EU18" s="242"/>
      <c r="EV18" s="224"/>
      <c r="EW18" s="224"/>
      <c r="EX18" s="224"/>
      <c r="EY18" s="224"/>
      <c r="EZ18" s="224"/>
      <c r="FA18" s="243">
        <v>354.5</v>
      </c>
      <c r="FB18" s="168">
        <f t="shared" si="41"/>
        <v>354.5</v>
      </c>
      <c r="FC18" s="168">
        <f t="shared" si="42"/>
        <v>638.20000000000005</v>
      </c>
      <c r="FD18" s="242"/>
      <c r="FE18" s="224"/>
      <c r="FF18" s="243"/>
      <c r="FG18" s="168">
        <f t="shared" si="43"/>
        <v>0</v>
      </c>
      <c r="FH18" s="242"/>
      <c r="FI18" s="224"/>
      <c r="FJ18" s="224"/>
      <c r="FK18" s="224"/>
      <c r="FL18" s="243"/>
      <c r="FM18" s="168">
        <f t="shared" si="44"/>
        <v>0</v>
      </c>
      <c r="FN18" s="242"/>
      <c r="FO18" s="224"/>
      <c r="FP18" s="224"/>
      <c r="FQ18" s="224"/>
      <c r="FR18" s="168">
        <f t="shared" si="45"/>
        <v>0</v>
      </c>
      <c r="FS18" s="242"/>
      <c r="FT18" s="224"/>
      <c r="FU18" s="224"/>
      <c r="FV18" s="224"/>
      <c r="FW18" s="243"/>
      <c r="FX18" s="168">
        <f t="shared" si="46"/>
        <v>0</v>
      </c>
      <c r="FY18" s="242"/>
      <c r="FZ18" s="224"/>
      <c r="GA18" s="224"/>
      <c r="GB18" s="224"/>
      <c r="GC18" s="243"/>
      <c r="GD18" s="168">
        <f t="shared" si="47"/>
        <v>0</v>
      </c>
      <c r="GE18" s="168">
        <f t="shared" si="20"/>
        <v>0</v>
      </c>
      <c r="GF18" s="242"/>
      <c r="GG18" s="224"/>
      <c r="GH18" s="224"/>
      <c r="GI18" s="224"/>
      <c r="GJ18" s="224"/>
      <c r="GK18" s="168">
        <f t="shared" si="48"/>
        <v>0</v>
      </c>
      <c r="GL18" s="242"/>
      <c r="GM18" s="224"/>
      <c r="GN18" s="224"/>
      <c r="GO18" s="243"/>
      <c r="GP18" s="168">
        <f t="shared" si="49"/>
        <v>0</v>
      </c>
      <c r="GQ18" s="242"/>
      <c r="GR18" s="224"/>
      <c r="GS18" s="224"/>
      <c r="GT18" s="224"/>
      <c r="GU18" s="243"/>
      <c r="GV18" s="168">
        <f t="shared" si="50"/>
        <v>0</v>
      </c>
      <c r="GW18" s="242"/>
      <c r="GX18" s="224"/>
      <c r="GY18" s="224"/>
      <c r="GZ18" s="224"/>
      <c r="HA18" s="224"/>
      <c r="HB18" s="243"/>
      <c r="HC18" s="168">
        <f t="shared" si="51"/>
        <v>0</v>
      </c>
      <c r="HD18" s="168">
        <f t="shared" si="21"/>
        <v>0</v>
      </c>
      <c r="HE18" s="242"/>
      <c r="HF18" s="224"/>
      <c r="HG18" s="224"/>
      <c r="HH18" s="224"/>
      <c r="HI18" s="168">
        <f t="shared" si="52"/>
        <v>0</v>
      </c>
      <c r="HJ18" s="242"/>
      <c r="HK18" s="224"/>
      <c r="HL18" s="224"/>
      <c r="HM18" s="224"/>
      <c r="HN18" s="243">
        <v>566.9</v>
      </c>
      <c r="HO18" s="168">
        <f t="shared" si="53"/>
        <v>566.9</v>
      </c>
      <c r="HP18" s="242"/>
      <c r="HQ18" s="224"/>
      <c r="HR18" s="224"/>
      <c r="HS18" s="224"/>
      <c r="HT18" s="243"/>
      <c r="HU18" s="168">
        <f t="shared" si="54"/>
        <v>0</v>
      </c>
      <c r="HV18" s="242"/>
      <c r="HW18" s="224"/>
      <c r="HX18" s="224"/>
      <c r="HY18" s="168">
        <f t="shared" si="22"/>
        <v>0</v>
      </c>
      <c r="HZ18" s="242"/>
      <c r="IA18" s="224"/>
      <c r="IB18" s="243"/>
      <c r="IC18" s="168">
        <f t="shared" si="55"/>
        <v>0</v>
      </c>
      <c r="ID18" s="168">
        <f t="shared" si="23"/>
        <v>566.9</v>
      </c>
      <c r="IE18" s="242"/>
      <c r="IF18" s="243"/>
      <c r="IG18" s="168">
        <f t="shared" si="56"/>
        <v>0</v>
      </c>
      <c r="IH18" s="242"/>
      <c r="II18" s="224"/>
      <c r="IJ18" s="224"/>
      <c r="IK18" s="224"/>
      <c r="IL18" s="243"/>
      <c r="IM18" s="168">
        <f t="shared" si="57"/>
        <v>0</v>
      </c>
      <c r="IN18" s="242"/>
      <c r="IO18" s="224"/>
      <c r="IP18" s="243"/>
      <c r="IQ18" s="168">
        <f t="shared" si="58"/>
        <v>0</v>
      </c>
      <c r="IR18" s="242"/>
      <c r="IS18" s="224"/>
      <c r="IT18" s="224"/>
      <c r="IU18" s="224"/>
      <c r="IV18" s="243"/>
      <c r="IW18" s="168">
        <f t="shared" si="59"/>
        <v>0</v>
      </c>
      <c r="IX18" s="242"/>
      <c r="IY18" s="224"/>
      <c r="IZ18" s="224"/>
      <c r="JA18" s="224"/>
      <c r="JB18" s="243"/>
      <c r="JC18" s="168">
        <f t="shared" si="60"/>
        <v>0</v>
      </c>
      <c r="JD18" s="168">
        <f t="shared" si="24"/>
        <v>0</v>
      </c>
      <c r="JE18" s="242">
        <v>236.5</v>
      </c>
      <c r="JF18" s="224"/>
      <c r="JG18" s="224"/>
      <c r="JH18" s="224"/>
      <c r="JI18" s="243"/>
      <c r="JJ18" s="168">
        <f t="shared" si="61"/>
        <v>236.5</v>
      </c>
      <c r="JK18" s="242"/>
      <c r="JL18" s="224"/>
      <c r="JM18" s="224"/>
      <c r="JN18" s="224"/>
      <c r="JO18" s="243"/>
      <c r="JP18" s="168">
        <f t="shared" si="62"/>
        <v>0</v>
      </c>
      <c r="JQ18" s="242"/>
      <c r="JR18" s="224"/>
      <c r="JS18" s="224"/>
      <c r="JT18" s="224"/>
      <c r="JU18" s="243"/>
      <c r="JV18" s="168">
        <f t="shared" si="63"/>
        <v>0</v>
      </c>
      <c r="JW18" s="242"/>
      <c r="JX18" s="224"/>
      <c r="JY18" s="224"/>
      <c r="JZ18" s="224"/>
      <c r="KA18" s="224"/>
      <c r="KB18" s="243"/>
      <c r="KC18" s="168">
        <f t="shared" si="64"/>
        <v>0</v>
      </c>
      <c r="KD18" s="168">
        <f t="shared" si="65"/>
        <v>236.5</v>
      </c>
      <c r="KE18" s="242"/>
      <c r="KF18" s="224"/>
      <c r="KG18" s="224"/>
      <c r="KH18" s="224"/>
      <c r="KI18" s="243"/>
      <c r="KJ18" s="168">
        <f t="shared" si="66"/>
        <v>0</v>
      </c>
      <c r="KK18" s="242"/>
      <c r="KL18" s="224"/>
      <c r="KM18" s="224"/>
      <c r="KN18" s="224"/>
      <c r="KO18" s="243"/>
      <c r="KP18" s="168">
        <f t="shared" si="67"/>
        <v>0</v>
      </c>
      <c r="KQ18" s="242"/>
      <c r="KR18" s="224"/>
      <c r="KS18" s="224"/>
      <c r="KT18" s="224"/>
      <c r="KU18" s="243"/>
      <c r="KV18" s="168">
        <f t="shared" si="68"/>
        <v>0</v>
      </c>
      <c r="KW18" s="242"/>
      <c r="KX18" s="224"/>
      <c r="KY18" s="224"/>
      <c r="KZ18" s="224"/>
      <c r="LA18" s="243"/>
      <c r="LB18" s="168">
        <f t="shared" si="69"/>
        <v>0</v>
      </c>
      <c r="LC18" s="242"/>
      <c r="LD18" s="224"/>
      <c r="LE18" s="243"/>
      <c r="LF18" s="168">
        <f t="shared" si="70"/>
        <v>0</v>
      </c>
      <c r="LG18" s="168">
        <f t="shared" si="71"/>
        <v>0</v>
      </c>
    </row>
    <row r="19" spans="2:324">
      <c r="B19" s="93" t="s">
        <v>84</v>
      </c>
      <c r="C19" s="167">
        <v>647.75</v>
      </c>
      <c r="D19" s="181">
        <f t="shared" si="72"/>
        <v>647.75</v>
      </c>
      <c r="E19" s="167"/>
      <c r="F19" s="177"/>
      <c r="G19" s="177"/>
      <c r="H19" s="177"/>
      <c r="I19" s="178"/>
      <c r="J19" s="181">
        <f t="shared" si="6"/>
        <v>0</v>
      </c>
      <c r="K19" s="167"/>
      <c r="L19" s="177"/>
      <c r="M19" s="177"/>
      <c r="N19" s="178"/>
      <c r="O19" s="181">
        <f t="shared" si="73"/>
        <v>0</v>
      </c>
      <c r="P19" s="167"/>
      <c r="Q19" s="177"/>
      <c r="R19" s="177"/>
      <c r="S19" s="177"/>
      <c r="T19" s="178"/>
      <c r="U19" s="168">
        <f t="shared" si="25"/>
        <v>0</v>
      </c>
      <c r="V19" s="167"/>
      <c r="W19" s="177"/>
      <c r="X19" s="177"/>
      <c r="Y19" s="177"/>
      <c r="Z19" s="177"/>
      <c r="AA19" s="168">
        <f t="shared" si="26"/>
        <v>0</v>
      </c>
      <c r="AB19" s="168">
        <f t="shared" si="8"/>
        <v>647.75</v>
      </c>
      <c r="AC19" s="242"/>
      <c r="AD19" s="224"/>
      <c r="AE19" s="224">
        <v>291.25799999999998</v>
      </c>
      <c r="AF19" s="224"/>
      <c r="AG19" s="243"/>
      <c r="AH19" s="168">
        <f t="shared" si="27"/>
        <v>291.25799999999998</v>
      </c>
      <c r="AI19" s="242"/>
      <c r="AJ19" s="224"/>
      <c r="AK19" s="224"/>
      <c r="AL19" s="224"/>
      <c r="AM19" s="243"/>
      <c r="AN19" s="168">
        <f t="shared" si="9"/>
        <v>0</v>
      </c>
      <c r="AO19" s="242"/>
      <c r="AP19" s="224"/>
      <c r="AQ19" s="224"/>
      <c r="AR19" s="224"/>
      <c r="AS19" s="243"/>
      <c r="AT19" s="168">
        <f t="shared" si="28"/>
        <v>0</v>
      </c>
      <c r="AU19" s="242"/>
      <c r="AV19" s="224"/>
      <c r="AW19" s="224"/>
      <c r="AX19" s="224"/>
      <c r="AY19" s="243"/>
      <c r="AZ19" s="168">
        <f t="shared" si="29"/>
        <v>0</v>
      </c>
      <c r="BA19" s="168">
        <f t="shared" si="30"/>
        <v>291.25799999999998</v>
      </c>
      <c r="BB19" s="242"/>
      <c r="BC19" s="224"/>
      <c r="BD19" s="224">
        <v>652.29999999999995</v>
      </c>
      <c r="BE19" s="224"/>
      <c r="BF19" s="243">
        <v>286.34500000000003</v>
      </c>
      <c r="BG19" s="168">
        <f t="shared" si="31"/>
        <v>938.64499999999998</v>
      </c>
      <c r="BH19" s="242"/>
      <c r="BI19" s="224"/>
      <c r="BJ19" s="224"/>
      <c r="BK19" s="224"/>
      <c r="BL19" s="243"/>
      <c r="BM19" s="168">
        <f t="shared" si="10"/>
        <v>0</v>
      </c>
      <c r="BN19" s="242"/>
      <c r="BO19" s="224"/>
      <c r="BP19" s="224"/>
      <c r="BQ19" s="243"/>
      <c r="BR19" s="168">
        <f t="shared" si="11"/>
        <v>0</v>
      </c>
      <c r="BS19" s="242"/>
      <c r="BT19" s="224"/>
      <c r="BU19" s="224"/>
      <c r="BV19" s="224"/>
      <c r="BW19" s="243"/>
      <c r="BX19" s="239">
        <f t="shared" si="12"/>
        <v>0</v>
      </c>
      <c r="BY19" s="242"/>
      <c r="BZ19" s="224">
        <v>647.625</v>
      </c>
      <c r="CA19" s="168">
        <f t="shared" si="13"/>
        <v>647.625</v>
      </c>
      <c r="CB19" s="168">
        <f t="shared" si="14"/>
        <v>1586.27</v>
      </c>
      <c r="CC19" s="242"/>
      <c r="CD19" s="224"/>
      <c r="CE19" s="224"/>
      <c r="CF19" s="168">
        <f t="shared" si="15"/>
        <v>0</v>
      </c>
      <c r="CG19" s="242"/>
      <c r="CH19" s="224"/>
      <c r="CI19" s="224"/>
      <c r="CJ19" s="243"/>
      <c r="CK19" s="168">
        <f t="shared" si="32"/>
        <v>0</v>
      </c>
      <c r="CL19" s="242"/>
      <c r="CM19" s="224"/>
      <c r="CN19" s="224"/>
      <c r="CO19" s="224"/>
      <c r="CP19" s="243"/>
      <c r="CQ19" s="168">
        <f t="shared" si="33"/>
        <v>0</v>
      </c>
      <c r="CR19" s="242"/>
      <c r="CS19" s="224"/>
      <c r="CT19" s="224"/>
      <c r="CU19" s="224"/>
      <c r="CV19" s="243"/>
      <c r="CW19" s="168">
        <f t="shared" si="16"/>
        <v>0</v>
      </c>
      <c r="CX19" s="242">
        <v>647.76499999999999</v>
      </c>
      <c r="CY19" s="224"/>
      <c r="CZ19" s="224"/>
      <c r="DA19" s="243"/>
      <c r="DB19" s="168">
        <f t="shared" si="17"/>
        <v>647.76499999999999</v>
      </c>
      <c r="DC19" s="168">
        <f t="shared" si="18"/>
        <v>647.76499999999999</v>
      </c>
      <c r="DD19" s="242"/>
      <c r="DE19" s="224"/>
      <c r="DF19" s="224"/>
      <c r="DG19" s="224"/>
      <c r="DH19" s="224"/>
      <c r="DI19" s="168">
        <f t="shared" si="34"/>
        <v>0</v>
      </c>
      <c r="DJ19" s="242"/>
      <c r="DK19" s="224"/>
      <c r="DL19" s="224"/>
      <c r="DM19" s="224">
        <v>546.16</v>
      </c>
      <c r="DN19" s="243"/>
      <c r="DO19" s="168">
        <f t="shared" si="35"/>
        <v>546.16</v>
      </c>
      <c r="DP19" s="242"/>
      <c r="DQ19" s="224"/>
      <c r="DR19" s="224"/>
      <c r="DS19" s="224"/>
      <c r="DT19" s="243"/>
      <c r="DU19" s="168">
        <f t="shared" si="36"/>
        <v>0</v>
      </c>
      <c r="DV19" s="242"/>
      <c r="DW19" s="224">
        <v>647.625</v>
      </c>
      <c r="DX19" s="224"/>
      <c r="DY19" s="224"/>
      <c r="DZ19" s="243"/>
      <c r="EA19" s="168">
        <f t="shared" si="19"/>
        <v>647.625</v>
      </c>
      <c r="EB19" s="168">
        <f t="shared" si="37"/>
        <v>1193.7849999999999</v>
      </c>
      <c r="EC19" s="242"/>
      <c r="ED19" s="224"/>
      <c r="EE19" s="224"/>
      <c r="EF19" s="224"/>
      <c r="EG19" s="243"/>
      <c r="EH19" s="168">
        <f t="shared" si="38"/>
        <v>0</v>
      </c>
      <c r="EI19" s="242"/>
      <c r="EJ19" s="224"/>
      <c r="EK19" s="224"/>
      <c r="EL19" s="224"/>
      <c r="EM19" s="243"/>
      <c r="EN19" s="168">
        <f t="shared" si="39"/>
        <v>0</v>
      </c>
      <c r="EO19" s="242"/>
      <c r="EP19" s="224"/>
      <c r="EQ19" s="224"/>
      <c r="ER19" s="224"/>
      <c r="ES19" s="243"/>
      <c r="ET19" s="168">
        <f t="shared" si="40"/>
        <v>0</v>
      </c>
      <c r="EU19" s="242"/>
      <c r="EV19" s="224"/>
      <c r="EW19" s="224"/>
      <c r="EX19" s="224"/>
      <c r="EY19" s="224"/>
      <c r="EZ19" s="224"/>
      <c r="FA19" s="243"/>
      <c r="FB19" s="168">
        <f t="shared" si="41"/>
        <v>0</v>
      </c>
      <c r="FC19" s="168">
        <f t="shared" si="42"/>
        <v>0</v>
      </c>
      <c r="FD19" s="242"/>
      <c r="FE19" s="224"/>
      <c r="FF19" s="243"/>
      <c r="FG19" s="168">
        <f t="shared" si="43"/>
        <v>0</v>
      </c>
      <c r="FH19" s="242"/>
      <c r="FI19" s="224"/>
      <c r="FJ19" s="224"/>
      <c r="FK19" s="224"/>
      <c r="FL19" s="243"/>
      <c r="FM19" s="168">
        <f t="shared" si="44"/>
        <v>0</v>
      </c>
      <c r="FN19" s="242"/>
      <c r="FO19" s="224">
        <v>652.86099999999999</v>
      </c>
      <c r="FP19" s="224"/>
      <c r="FQ19" s="224"/>
      <c r="FR19" s="168">
        <f t="shared" si="45"/>
        <v>652.86099999999999</v>
      </c>
      <c r="FS19" s="242"/>
      <c r="FT19" s="224"/>
      <c r="FU19" s="224"/>
      <c r="FV19" s="224"/>
      <c r="FW19" s="243"/>
      <c r="FX19" s="168">
        <f t="shared" si="46"/>
        <v>0</v>
      </c>
      <c r="FY19" s="242"/>
      <c r="FZ19" s="224"/>
      <c r="GA19" s="224"/>
      <c r="GB19" s="224"/>
      <c r="GC19" s="243"/>
      <c r="GD19" s="168">
        <f t="shared" si="47"/>
        <v>0</v>
      </c>
      <c r="GE19" s="168">
        <f t="shared" si="20"/>
        <v>652.86099999999999</v>
      </c>
      <c r="GF19" s="242"/>
      <c r="GG19" s="224"/>
      <c r="GH19" s="224"/>
      <c r="GI19" s="224"/>
      <c r="GJ19" s="224"/>
      <c r="GK19" s="168">
        <f t="shared" si="48"/>
        <v>0</v>
      </c>
      <c r="GL19" s="242"/>
      <c r="GM19" s="224"/>
      <c r="GN19" s="224"/>
      <c r="GO19" s="243"/>
      <c r="GP19" s="168">
        <f t="shared" si="49"/>
        <v>0</v>
      </c>
      <c r="GQ19" s="242"/>
      <c r="GR19" s="224">
        <v>25</v>
      </c>
      <c r="GS19" s="224"/>
      <c r="GT19" s="224"/>
      <c r="GU19" s="243"/>
      <c r="GV19" s="168">
        <f t="shared" si="50"/>
        <v>25</v>
      </c>
      <c r="GW19" s="242">
        <v>329.95499999999998</v>
      </c>
      <c r="GX19" s="224">
        <v>656.97500000000002</v>
      </c>
      <c r="GY19" s="224"/>
      <c r="GZ19" s="224"/>
      <c r="HA19" s="224"/>
      <c r="HB19" s="243"/>
      <c r="HC19" s="168">
        <f t="shared" si="51"/>
        <v>986.93000000000006</v>
      </c>
      <c r="HD19" s="168">
        <f t="shared" si="21"/>
        <v>1011.9300000000001</v>
      </c>
      <c r="HE19" s="242"/>
      <c r="HF19" s="224"/>
      <c r="HG19" s="224"/>
      <c r="HH19" s="224"/>
      <c r="HI19" s="168">
        <f t="shared" si="52"/>
        <v>0</v>
      </c>
      <c r="HJ19" s="242"/>
      <c r="HK19" s="224"/>
      <c r="HL19" s="224">
        <v>310.35000000000002</v>
      </c>
      <c r="HM19" s="224"/>
      <c r="HN19" s="243"/>
      <c r="HO19" s="168">
        <f t="shared" si="53"/>
        <v>310.35000000000002</v>
      </c>
      <c r="HP19" s="242"/>
      <c r="HQ19" s="224"/>
      <c r="HR19" s="224"/>
      <c r="HS19" s="224"/>
      <c r="HT19" s="243"/>
      <c r="HU19" s="168">
        <f t="shared" si="54"/>
        <v>0</v>
      </c>
      <c r="HV19" s="242"/>
      <c r="HW19" s="224"/>
      <c r="HX19" s="224"/>
      <c r="HY19" s="168">
        <f t="shared" si="22"/>
        <v>0</v>
      </c>
      <c r="HZ19" s="242"/>
      <c r="IA19" s="224"/>
      <c r="IB19" s="243"/>
      <c r="IC19" s="168">
        <f t="shared" si="55"/>
        <v>0</v>
      </c>
      <c r="ID19" s="168">
        <f t="shared" si="23"/>
        <v>310.35000000000002</v>
      </c>
      <c r="IE19" s="242"/>
      <c r="IF19" s="243"/>
      <c r="IG19" s="168">
        <f t="shared" si="56"/>
        <v>0</v>
      </c>
      <c r="IH19" s="242"/>
      <c r="II19" s="224">
        <v>25</v>
      </c>
      <c r="IJ19" s="224"/>
      <c r="IK19" s="224"/>
      <c r="IL19" s="243"/>
      <c r="IM19" s="168">
        <f t="shared" si="57"/>
        <v>25</v>
      </c>
      <c r="IN19" s="242"/>
      <c r="IO19" s="224"/>
      <c r="IP19" s="243"/>
      <c r="IQ19" s="168">
        <f t="shared" si="58"/>
        <v>0</v>
      </c>
      <c r="IR19" s="242"/>
      <c r="IS19" s="224"/>
      <c r="IT19" s="224"/>
      <c r="IU19" s="224"/>
      <c r="IV19" s="243"/>
      <c r="IW19" s="168">
        <f t="shared" si="59"/>
        <v>0</v>
      </c>
      <c r="IX19" s="242"/>
      <c r="IY19" s="224"/>
      <c r="IZ19" s="224"/>
      <c r="JA19" s="224"/>
      <c r="JB19" s="243"/>
      <c r="JC19" s="168">
        <f t="shared" si="60"/>
        <v>0</v>
      </c>
      <c r="JD19" s="168">
        <f t="shared" si="24"/>
        <v>25</v>
      </c>
      <c r="JE19" s="242"/>
      <c r="JF19" s="224"/>
      <c r="JG19" s="224"/>
      <c r="JH19" s="224"/>
      <c r="JI19" s="243"/>
      <c r="JJ19" s="168">
        <f t="shared" si="61"/>
        <v>0</v>
      </c>
      <c r="JK19" s="242"/>
      <c r="JL19" s="224"/>
      <c r="JM19" s="224"/>
      <c r="JN19" s="224"/>
      <c r="JO19" s="243"/>
      <c r="JP19" s="168">
        <f t="shared" si="62"/>
        <v>0</v>
      </c>
      <c r="JQ19" s="242"/>
      <c r="JR19" s="224"/>
      <c r="JS19" s="224"/>
      <c r="JT19" s="224"/>
      <c r="JU19" s="243"/>
      <c r="JV19" s="168">
        <f t="shared" si="63"/>
        <v>0</v>
      </c>
      <c r="JW19" s="242"/>
      <c r="JX19" s="224"/>
      <c r="JY19" s="224"/>
      <c r="JZ19" s="224"/>
      <c r="KA19" s="224"/>
      <c r="KB19" s="243"/>
      <c r="KC19" s="168">
        <f t="shared" si="64"/>
        <v>0</v>
      </c>
      <c r="KD19" s="168">
        <f t="shared" si="65"/>
        <v>0</v>
      </c>
      <c r="KE19" s="242"/>
      <c r="KF19" s="224"/>
      <c r="KG19" s="224"/>
      <c r="KH19" s="224"/>
      <c r="KI19" s="243"/>
      <c r="KJ19" s="168">
        <f t="shared" si="66"/>
        <v>0</v>
      </c>
      <c r="KK19" s="242"/>
      <c r="KL19" s="224"/>
      <c r="KM19" s="224"/>
      <c r="KN19" s="224"/>
      <c r="KO19" s="243"/>
      <c r="KP19" s="168">
        <f t="shared" si="67"/>
        <v>0</v>
      </c>
      <c r="KQ19" s="242"/>
      <c r="KR19" s="224"/>
      <c r="KS19" s="224"/>
      <c r="KT19" s="224"/>
      <c r="KU19" s="243"/>
      <c r="KV19" s="168">
        <f t="shared" si="68"/>
        <v>0</v>
      </c>
      <c r="KW19" s="242"/>
      <c r="KX19" s="224"/>
      <c r="KY19" s="224"/>
      <c r="KZ19" s="224"/>
      <c r="LA19" s="243"/>
      <c r="LB19" s="168">
        <f t="shared" si="69"/>
        <v>0</v>
      </c>
      <c r="LC19" s="242"/>
      <c r="LD19" s="224"/>
      <c r="LE19" s="243"/>
      <c r="LF19" s="168">
        <f t="shared" si="70"/>
        <v>0</v>
      </c>
      <c r="LG19" s="168">
        <f t="shared" si="71"/>
        <v>0</v>
      </c>
    </row>
    <row r="20" spans="2:324">
      <c r="B20" s="93" t="s">
        <v>87</v>
      </c>
      <c r="C20" s="167"/>
      <c r="D20" s="181">
        <f t="shared" si="72"/>
        <v>0</v>
      </c>
      <c r="E20" s="167"/>
      <c r="F20" s="177"/>
      <c r="G20" s="177"/>
      <c r="H20" s="177"/>
      <c r="I20" s="178"/>
      <c r="J20" s="181">
        <f t="shared" si="6"/>
        <v>0</v>
      </c>
      <c r="K20" s="167"/>
      <c r="L20" s="177"/>
      <c r="M20" s="177"/>
      <c r="N20" s="178"/>
      <c r="O20" s="181">
        <f t="shared" si="73"/>
        <v>0</v>
      </c>
      <c r="P20" s="167"/>
      <c r="Q20" s="177"/>
      <c r="R20" s="177"/>
      <c r="S20" s="177"/>
      <c r="T20" s="178"/>
      <c r="U20" s="168">
        <f t="shared" si="25"/>
        <v>0</v>
      </c>
      <c r="V20" s="167">
        <v>7261.2830000000004</v>
      </c>
      <c r="W20" s="177"/>
      <c r="X20" s="177"/>
      <c r="Y20" s="177">
        <v>11736.396000000001</v>
      </c>
      <c r="Z20" s="177"/>
      <c r="AA20" s="168">
        <f t="shared" si="26"/>
        <v>18997.679</v>
      </c>
      <c r="AB20" s="168">
        <f t="shared" si="8"/>
        <v>18997.679</v>
      </c>
      <c r="AC20" s="242"/>
      <c r="AD20" s="224"/>
      <c r="AE20" s="224"/>
      <c r="AF20" s="224"/>
      <c r="AG20" s="243"/>
      <c r="AH20" s="168">
        <f t="shared" si="27"/>
        <v>0</v>
      </c>
      <c r="AI20" s="242"/>
      <c r="AJ20" s="224"/>
      <c r="AK20" s="224"/>
      <c r="AL20" s="224"/>
      <c r="AM20" s="243"/>
      <c r="AN20" s="168">
        <f t="shared" si="9"/>
        <v>0</v>
      </c>
      <c r="AO20" s="242"/>
      <c r="AP20" s="224">
        <v>1302.17</v>
      </c>
      <c r="AQ20" s="224"/>
      <c r="AR20" s="224"/>
      <c r="AS20" s="243">
        <v>1585.289</v>
      </c>
      <c r="AT20" s="168">
        <f t="shared" si="28"/>
        <v>2887.4589999999998</v>
      </c>
      <c r="AU20" s="242"/>
      <c r="AV20" s="224"/>
      <c r="AW20" s="224"/>
      <c r="AX20" s="224"/>
      <c r="AY20" s="243"/>
      <c r="AZ20" s="168">
        <f t="shared" si="29"/>
        <v>0</v>
      </c>
      <c r="BA20" s="168">
        <f t="shared" si="30"/>
        <v>2887.4589999999998</v>
      </c>
      <c r="BB20" s="242"/>
      <c r="BC20" s="224">
        <v>14775</v>
      </c>
      <c r="BD20" s="224"/>
      <c r="BE20" s="224"/>
      <c r="BF20" s="243"/>
      <c r="BG20" s="168">
        <f t="shared" si="31"/>
        <v>14775</v>
      </c>
      <c r="BH20" s="242">
        <v>849.85</v>
      </c>
      <c r="BI20" s="224"/>
      <c r="BJ20" s="224"/>
      <c r="BK20" s="224"/>
      <c r="BL20" s="243"/>
      <c r="BM20" s="168">
        <f t="shared" si="10"/>
        <v>849.85</v>
      </c>
      <c r="BN20" s="242"/>
      <c r="BO20" s="224">
        <v>13295.723</v>
      </c>
      <c r="BP20" s="224"/>
      <c r="BQ20" s="243"/>
      <c r="BR20" s="168">
        <f t="shared" si="11"/>
        <v>13295.723</v>
      </c>
      <c r="BS20" s="242"/>
      <c r="BT20" s="224"/>
      <c r="BU20" s="224"/>
      <c r="BV20" s="224"/>
      <c r="BW20" s="243"/>
      <c r="BX20" s="239">
        <f t="shared" si="12"/>
        <v>0</v>
      </c>
      <c r="BY20" s="242"/>
      <c r="BZ20" s="224"/>
      <c r="CA20" s="168">
        <f t="shared" si="13"/>
        <v>0</v>
      </c>
      <c r="CB20" s="168">
        <f t="shared" si="14"/>
        <v>28920.573</v>
      </c>
      <c r="CC20" s="242"/>
      <c r="CD20" s="224"/>
      <c r="CE20" s="224"/>
      <c r="CF20" s="168">
        <f t="shared" si="15"/>
        <v>0</v>
      </c>
      <c r="CG20" s="242"/>
      <c r="CH20" s="224"/>
      <c r="CI20" s="224"/>
      <c r="CJ20" s="243">
        <f>6759.585+2567.907</f>
        <v>9327.4920000000002</v>
      </c>
      <c r="CK20" s="168">
        <f t="shared" si="32"/>
        <v>9327.4920000000002</v>
      </c>
      <c r="CL20" s="242">
        <v>824.35500000000002</v>
      </c>
      <c r="CM20" s="224"/>
      <c r="CN20" s="224"/>
      <c r="CO20" s="224">
        <f>427.466+649.5</f>
        <v>1076.9659999999999</v>
      </c>
      <c r="CP20" s="243"/>
      <c r="CQ20" s="168">
        <f t="shared" si="33"/>
        <v>1901.3209999999999</v>
      </c>
      <c r="CR20" s="242"/>
      <c r="CS20" s="224"/>
      <c r="CT20" s="224"/>
      <c r="CU20" s="224"/>
      <c r="CV20" s="243"/>
      <c r="CW20" s="168">
        <f t="shared" si="16"/>
        <v>0</v>
      </c>
      <c r="CX20" s="242"/>
      <c r="CY20" s="224"/>
      <c r="CZ20" s="224"/>
      <c r="DA20" s="243"/>
      <c r="DB20" s="168">
        <f t="shared" si="17"/>
        <v>0</v>
      </c>
      <c r="DC20" s="168">
        <f t="shared" si="18"/>
        <v>11228.813</v>
      </c>
      <c r="DD20" s="242">
        <v>1302.17</v>
      </c>
      <c r="DE20" s="224"/>
      <c r="DF20" s="224"/>
      <c r="DG20" s="224"/>
      <c r="DH20" s="224"/>
      <c r="DI20" s="168">
        <f t="shared" si="34"/>
        <v>1302.17</v>
      </c>
      <c r="DJ20" s="242"/>
      <c r="DK20" s="224"/>
      <c r="DL20" s="224">
        <v>1853.5730000000001</v>
      </c>
      <c r="DM20" s="224"/>
      <c r="DN20" s="243"/>
      <c r="DO20" s="168">
        <f t="shared" si="35"/>
        <v>1853.5730000000001</v>
      </c>
      <c r="DP20" s="242"/>
      <c r="DQ20" s="224"/>
      <c r="DR20" s="224"/>
      <c r="DS20" s="224"/>
      <c r="DT20" s="243"/>
      <c r="DU20" s="168">
        <f t="shared" si="36"/>
        <v>0</v>
      </c>
      <c r="DV20" s="242"/>
      <c r="DW20" s="224"/>
      <c r="DX20" s="224"/>
      <c r="DY20" s="224"/>
      <c r="DZ20" s="243">
        <f>909.145+955.364</f>
        <v>1864.509</v>
      </c>
      <c r="EA20" s="168">
        <f t="shared" si="19"/>
        <v>1864.509</v>
      </c>
      <c r="EB20" s="168">
        <f t="shared" si="37"/>
        <v>5020.2520000000004</v>
      </c>
      <c r="EC20" s="242"/>
      <c r="ED20" s="224">
        <v>3086.0050000000001</v>
      </c>
      <c r="EE20" s="224"/>
      <c r="EF20" s="224"/>
      <c r="EG20" s="243"/>
      <c r="EH20" s="168">
        <f t="shared" si="38"/>
        <v>3086.0050000000001</v>
      </c>
      <c r="EI20" s="242"/>
      <c r="EJ20" s="224"/>
      <c r="EK20" s="224"/>
      <c r="EL20" s="224"/>
      <c r="EM20" s="243"/>
      <c r="EN20" s="168">
        <f t="shared" si="39"/>
        <v>0</v>
      </c>
      <c r="EO20" s="242"/>
      <c r="EP20" s="224"/>
      <c r="EQ20" s="224"/>
      <c r="ER20" s="224"/>
      <c r="ES20" s="243"/>
      <c r="ET20" s="168">
        <f t="shared" si="40"/>
        <v>0</v>
      </c>
      <c r="EU20" s="242"/>
      <c r="EV20" s="224"/>
      <c r="EW20" s="224"/>
      <c r="EX20" s="224"/>
      <c r="EY20" s="224"/>
      <c r="EZ20" s="224"/>
      <c r="FA20" s="243"/>
      <c r="FB20" s="168">
        <f t="shared" si="41"/>
        <v>0</v>
      </c>
      <c r="FC20" s="168">
        <f t="shared" si="42"/>
        <v>3086.0050000000001</v>
      </c>
      <c r="FD20" s="242"/>
      <c r="FE20" s="224">
        <v>4925</v>
      </c>
      <c r="FF20" s="243">
        <v>1627.614</v>
      </c>
      <c r="FG20" s="168">
        <f t="shared" si="43"/>
        <v>6552.6139999999996</v>
      </c>
      <c r="FH20" s="242"/>
      <c r="FI20" s="224"/>
      <c r="FJ20" s="224"/>
      <c r="FK20" s="224"/>
      <c r="FL20" s="243"/>
      <c r="FM20" s="168">
        <f t="shared" si="44"/>
        <v>0</v>
      </c>
      <c r="FN20" s="242"/>
      <c r="FO20" s="224"/>
      <c r="FP20" s="224">
        <v>4925</v>
      </c>
      <c r="FQ20" s="224"/>
      <c r="FR20" s="168">
        <f t="shared" si="45"/>
        <v>4925</v>
      </c>
      <c r="FS20" s="242"/>
      <c r="FT20" s="224"/>
      <c r="FU20" s="224"/>
      <c r="FV20" s="224"/>
      <c r="FW20" s="243"/>
      <c r="FX20" s="168">
        <f t="shared" si="46"/>
        <v>0</v>
      </c>
      <c r="FY20" s="242"/>
      <c r="FZ20" s="224">
        <v>13467.464</v>
      </c>
      <c r="GA20" s="224"/>
      <c r="GB20" s="224"/>
      <c r="GC20" s="243"/>
      <c r="GD20" s="168">
        <f t="shared" si="47"/>
        <v>13467.464</v>
      </c>
      <c r="GE20" s="168">
        <f t="shared" si="20"/>
        <v>24945.078000000001</v>
      </c>
      <c r="GF20" s="242"/>
      <c r="GG20" s="224">
        <v>2955</v>
      </c>
      <c r="GH20" s="224"/>
      <c r="GI20" s="224">
        <v>472.5</v>
      </c>
      <c r="GJ20" s="224"/>
      <c r="GK20" s="168">
        <f t="shared" si="48"/>
        <v>3427.5</v>
      </c>
      <c r="GL20" s="242"/>
      <c r="GM20" s="224"/>
      <c r="GN20" s="224"/>
      <c r="GO20" s="243">
        <v>12343.922</v>
      </c>
      <c r="GP20" s="168">
        <f t="shared" si="49"/>
        <v>12343.922</v>
      </c>
      <c r="GQ20" s="242"/>
      <c r="GR20" s="224"/>
      <c r="GS20" s="224"/>
      <c r="GT20" s="224"/>
      <c r="GU20" s="243"/>
      <c r="GV20" s="168">
        <f t="shared" si="50"/>
        <v>0</v>
      </c>
      <c r="GW20" s="242"/>
      <c r="GX20" s="224"/>
      <c r="GY20" s="224"/>
      <c r="GZ20" s="224"/>
      <c r="HA20" s="224"/>
      <c r="HB20" s="243"/>
      <c r="HC20" s="168">
        <f t="shared" si="51"/>
        <v>0</v>
      </c>
      <c r="HD20" s="168">
        <f t="shared" si="21"/>
        <v>15771.422</v>
      </c>
      <c r="HE20" s="242"/>
      <c r="HF20" s="224"/>
      <c r="HG20" s="224"/>
      <c r="HH20" s="224"/>
      <c r="HI20" s="168">
        <f t="shared" si="52"/>
        <v>0</v>
      </c>
      <c r="HJ20" s="242">
        <f>2836.8+236.5+3299.5</f>
        <v>6372.8</v>
      </c>
      <c r="HK20" s="224"/>
      <c r="HL20" s="224"/>
      <c r="HM20" s="224"/>
      <c r="HN20" s="243">
        <v>2465.7310000000002</v>
      </c>
      <c r="HO20" s="168">
        <f t="shared" si="53"/>
        <v>8838.5310000000009</v>
      </c>
      <c r="HP20" s="242"/>
      <c r="HQ20" s="224">
        <v>850.01499999999999</v>
      </c>
      <c r="HR20" s="224">
        <f>3250.447+2941.525</f>
        <v>6191.9719999999998</v>
      </c>
      <c r="HS20" s="224"/>
      <c r="HT20" s="243"/>
      <c r="HU20" s="168">
        <f t="shared" si="54"/>
        <v>7041.9870000000001</v>
      </c>
      <c r="HV20" s="242"/>
      <c r="HW20" s="224"/>
      <c r="HX20" s="224"/>
      <c r="HY20" s="168">
        <f t="shared" si="22"/>
        <v>0</v>
      </c>
      <c r="HZ20" s="242"/>
      <c r="IA20" s="224"/>
      <c r="IB20" s="243">
        <v>2836.4059999999999</v>
      </c>
      <c r="IC20" s="168">
        <f t="shared" si="55"/>
        <v>2836.4059999999999</v>
      </c>
      <c r="ID20" s="168">
        <f t="shared" si="23"/>
        <v>18716.923999999999</v>
      </c>
      <c r="IE20" s="242"/>
      <c r="IF20" s="243"/>
      <c r="IG20" s="168">
        <f t="shared" si="56"/>
        <v>0</v>
      </c>
      <c r="IH20" s="242"/>
      <c r="II20" s="224">
        <v>5000.5</v>
      </c>
      <c r="IJ20" s="224"/>
      <c r="IK20" s="224"/>
      <c r="IL20" s="243"/>
      <c r="IM20" s="168">
        <f t="shared" si="57"/>
        <v>5000.5</v>
      </c>
      <c r="IN20" s="242"/>
      <c r="IO20" s="224">
        <v>11474.29</v>
      </c>
      <c r="IP20" s="243"/>
      <c r="IQ20" s="168">
        <f t="shared" si="58"/>
        <v>11474.29</v>
      </c>
      <c r="IR20" s="242"/>
      <c r="IS20" s="224"/>
      <c r="IT20" s="224"/>
      <c r="IU20" s="224"/>
      <c r="IV20" s="243"/>
      <c r="IW20" s="168">
        <f t="shared" si="59"/>
        <v>0</v>
      </c>
      <c r="IX20" s="242"/>
      <c r="IY20" s="224"/>
      <c r="IZ20" s="224"/>
      <c r="JA20" s="224"/>
      <c r="JB20" s="243"/>
      <c r="JC20" s="168">
        <f t="shared" si="60"/>
        <v>0</v>
      </c>
      <c r="JD20" s="168">
        <f t="shared" si="24"/>
        <v>16474.79</v>
      </c>
      <c r="JE20" s="242"/>
      <c r="JF20" s="224"/>
      <c r="JG20" s="224"/>
      <c r="JH20" s="224"/>
      <c r="JI20" s="243">
        <v>5000.5</v>
      </c>
      <c r="JJ20" s="168">
        <f t="shared" si="61"/>
        <v>5000.5</v>
      </c>
      <c r="JK20" s="242"/>
      <c r="JL20" s="224"/>
      <c r="JM20" s="224"/>
      <c r="JN20" s="224"/>
      <c r="JO20" s="243"/>
      <c r="JP20" s="168">
        <f t="shared" si="62"/>
        <v>0</v>
      </c>
      <c r="JQ20" s="242"/>
      <c r="JR20" s="224"/>
      <c r="JS20" s="224"/>
      <c r="JT20" s="224"/>
      <c r="JU20" s="243"/>
      <c r="JV20" s="168">
        <f t="shared" si="63"/>
        <v>0</v>
      </c>
      <c r="JW20" s="242"/>
      <c r="JX20" s="224"/>
      <c r="JY20" s="224"/>
      <c r="JZ20" s="224"/>
      <c r="KA20" s="224"/>
      <c r="KB20" s="243"/>
      <c r="KC20" s="168">
        <f t="shared" si="64"/>
        <v>0</v>
      </c>
      <c r="KD20" s="168">
        <f t="shared" si="65"/>
        <v>5000.5</v>
      </c>
      <c r="KE20" s="242"/>
      <c r="KF20" s="224"/>
      <c r="KG20" s="224"/>
      <c r="KH20" s="224"/>
      <c r="KI20" s="243"/>
      <c r="KJ20" s="168">
        <f t="shared" si="66"/>
        <v>0</v>
      </c>
      <c r="KK20" s="242"/>
      <c r="KL20" s="224"/>
      <c r="KM20" s="224"/>
      <c r="KN20" s="224"/>
      <c r="KO20" s="243"/>
      <c r="KP20" s="168">
        <f t="shared" si="67"/>
        <v>0</v>
      </c>
      <c r="KQ20" s="242"/>
      <c r="KR20" s="224"/>
      <c r="KS20" s="224"/>
      <c r="KT20" s="224"/>
      <c r="KU20" s="243"/>
      <c r="KV20" s="168">
        <f t="shared" si="68"/>
        <v>0</v>
      </c>
      <c r="KW20" s="242"/>
      <c r="KX20" s="224"/>
      <c r="KY20" s="224"/>
      <c r="KZ20" s="224"/>
      <c r="LA20" s="243"/>
      <c r="LB20" s="168">
        <f t="shared" si="69"/>
        <v>0</v>
      </c>
      <c r="LC20" s="242"/>
      <c r="LD20" s="224"/>
      <c r="LE20" s="243"/>
      <c r="LF20" s="168">
        <f t="shared" si="70"/>
        <v>0</v>
      </c>
      <c r="LG20" s="168">
        <f t="shared" si="71"/>
        <v>0</v>
      </c>
    </row>
    <row r="21" spans="2:324">
      <c r="B21" s="93" t="s">
        <v>85</v>
      </c>
      <c r="C21" s="167"/>
      <c r="D21" s="181">
        <f t="shared" si="72"/>
        <v>0</v>
      </c>
      <c r="E21" s="167"/>
      <c r="F21" s="177"/>
      <c r="G21" s="177"/>
      <c r="H21" s="177"/>
      <c r="I21" s="178"/>
      <c r="J21" s="181">
        <f t="shared" si="6"/>
        <v>0</v>
      </c>
      <c r="K21" s="167"/>
      <c r="L21" s="177"/>
      <c r="M21" s="177"/>
      <c r="N21" s="178"/>
      <c r="O21" s="181">
        <f t="shared" si="73"/>
        <v>0</v>
      </c>
      <c r="P21" s="167"/>
      <c r="Q21" s="177"/>
      <c r="R21" s="177"/>
      <c r="S21" s="177"/>
      <c r="T21" s="178">
        <v>417.69</v>
      </c>
      <c r="U21" s="168">
        <f t="shared" si="25"/>
        <v>417.69</v>
      </c>
      <c r="V21" s="167"/>
      <c r="W21" s="177">
        <v>1387.68</v>
      </c>
      <c r="X21" s="177"/>
      <c r="Y21" s="177"/>
      <c r="Z21" s="177">
        <v>27577.734</v>
      </c>
      <c r="AA21" s="168">
        <f t="shared" si="26"/>
        <v>28965.414000000001</v>
      </c>
      <c r="AB21" s="168">
        <f t="shared" si="8"/>
        <v>29383.103999999999</v>
      </c>
      <c r="AC21" s="242"/>
      <c r="AD21" s="224"/>
      <c r="AE21" s="224"/>
      <c r="AF21" s="224"/>
      <c r="AG21" s="243">
        <v>539.41399999999999</v>
      </c>
      <c r="AH21" s="168">
        <f t="shared" si="27"/>
        <v>539.41399999999999</v>
      </c>
      <c r="AI21" s="242"/>
      <c r="AJ21" s="224"/>
      <c r="AK21" s="224"/>
      <c r="AL21" s="224"/>
      <c r="AM21" s="243"/>
      <c r="AN21" s="168">
        <f t="shared" si="9"/>
        <v>0</v>
      </c>
      <c r="AO21" s="242"/>
      <c r="AP21" s="224"/>
      <c r="AQ21" s="224"/>
      <c r="AR21" s="224"/>
      <c r="AS21" s="243"/>
      <c r="AT21" s="168">
        <f t="shared" si="28"/>
        <v>0</v>
      </c>
      <c r="AU21" s="242"/>
      <c r="AV21" s="224"/>
      <c r="AW21" s="224"/>
      <c r="AX21" s="224"/>
      <c r="AY21" s="243"/>
      <c r="AZ21" s="168">
        <f t="shared" si="29"/>
        <v>0</v>
      </c>
      <c r="BA21" s="168">
        <f t="shared" si="30"/>
        <v>539.41399999999999</v>
      </c>
      <c r="BB21" s="242">
        <v>30683.366000000002</v>
      </c>
      <c r="BC21" s="224"/>
      <c r="BD21" s="224"/>
      <c r="BE21" s="224"/>
      <c r="BF21" s="243"/>
      <c r="BG21" s="168">
        <f t="shared" si="31"/>
        <v>30683.366000000002</v>
      </c>
      <c r="BH21" s="242"/>
      <c r="BI21" s="224"/>
      <c r="BJ21" s="224"/>
      <c r="BK21" s="224"/>
      <c r="BL21" s="243"/>
      <c r="BM21" s="168">
        <f t="shared" si="10"/>
        <v>0</v>
      </c>
      <c r="BN21" s="242"/>
      <c r="BO21" s="224"/>
      <c r="BP21" s="224"/>
      <c r="BQ21" s="243"/>
      <c r="BR21" s="168">
        <f t="shared" si="11"/>
        <v>0</v>
      </c>
      <c r="BS21" s="242"/>
      <c r="BT21" s="224"/>
      <c r="BU21" s="224"/>
      <c r="BV21" s="224">
        <v>412.45</v>
      </c>
      <c r="BW21" s="243"/>
      <c r="BX21" s="239">
        <f t="shared" si="12"/>
        <v>412.45</v>
      </c>
      <c r="BY21" s="242"/>
      <c r="BZ21" s="224">
        <v>28049.671999999999</v>
      </c>
      <c r="CA21" s="168">
        <f t="shared" si="13"/>
        <v>28049.671999999999</v>
      </c>
      <c r="CB21" s="168">
        <f t="shared" si="14"/>
        <v>59145.487999999998</v>
      </c>
      <c r="CC21" s="242"/>
      <c r="CD21" s="224"/>
      <c r="CE21" s="224"/>
      <c r="CF21" s="168">
        <f t="shared" si="15"/>
        <v>0</v>
      </c>
      <c r="CG21" s="242"/>
      <c r="CH21" s="224"/>
      <c r="CI21" s="224"/>
      <c r="CJ21" s="243"/>
      <c r="CK21" s="168">
        <f t="shared" si="32"/>
        <v>0</v>
      </c>
      <c r="CL21" s="242"/>
      <c r="CM21" s="224"/>
      <c r="CN21" s="224"/>
      <c r="CO21" s="224"/>
      <c r="CP21" s="243"/>
      <c r="CQ21" s="168">
        <f t="shared" si="33"/>
        <v>0</v>
      </c>
      <c r="CR21" s="242">
        <v>1200</v>
      </c>
      <c r="CS21" s="224"/>
      <c r="CT21" s="224"/>
      <c r="CU21" s="224"/>
      <c r="CV21" s="243"/>
      <c r="CW21" s="168">
        <f t="shared" si="16"/>
        <v>1200</v>
      </c>
      <c r="CX21" s="242"/>
      <c r="CY21" s="224"/>
      <c r="CZ21" s="224"/>
      <c r="DA21" s="243">
        <v>28014.432000000001</v>
      </c>
      <c r="DB21" s="168">
        <f t="shared" si="17"/>
        <v>28014.432000000001</v>
      </c>
      <c r="DC21" s="168">
        <f t="shared" si="18"/>
        <v>29214.432000000001</v>
      </c>
      <c r="DD21" s="242"/>
      <c r="DE21" s="224"/>
      <c r="DF21" s="224"/>
      <c r="DG21" s="224"/>
      <c r="DH21" s="224"/>
      <c r="DI21" s="168">
        <f t="shared" si="34"/>
        <v>0</v>
      </c>
      <c r="DJ21" s="242"/>
      <c r="DK21" s="224"/>
      <c r="DL21" s="224"/>
      <c r="DM21" s="224"/>
      <c r="DN21" s="243"/>
      <c r="DO21" s="168">
        <f t="shared" si="35"/>
        <v>0</v>
      </c>
      <c r="DP21" s="242"/>
      <c r="DQ21" s="224"/>
      <c r="DR21" s="224"/>
      <c r="DS21" s="224"/>
      <c r="DT21" s="243"/>
      <c r="DU21" s="168">
        <f t="shared" si="36"/>
        <v>0</v>
      </c>
      <c r="DV21" s="242"/>
      <c r="DW21" s="224"/>
      <c r="DX21" s="224"/>
      <c r="DY21" s="224"/>
      <c r="DZ21" s="243"/>
      <c r="EA21" s="168">
        <f t="shared" si="19"/>
        <v>0</v>
      </c>
      <c r="EB21" s="168">
        <f t="shared" si="37"/>
        <v>0</v>
      </c>
      <c r="EC21" s="167">
        <v>26873.598000000002</v>
      </c>
      <c r="ED21" s="224"/>
      <c r="EE21" s="224"/>
      <c r="EF21" s="224"/>
      <c r="EG21" s="243"/>
      <c r="EH21" s="168">
        <f t="shared" si="38"/>
        <v>26873.598000000002</v>
      </c>
      <c r="EI21" s="242">
        <v>1000</v>
      </c>
      <c r="EJ21" s="224"/>
      <c r="EK21" s="224"/>
      <c r="EL21" s="224"/>
      <c r="EM21" s="243"/>
      <c r="EN21" s="168">
        <f t="shared" si="39"/>
        <v>1000</v>
      </c>
      <c r="EO21" s="242"/>
      <c r="EP21" s="224"/>
      <c r="EQ21" s="224"/>
      <c r="ER21" s="224"/>
      <c r="ES21" s="243">
        <v>500</v>
      </c>
      <c r="ET21" s="168">
        <f t="shared" si="40"/>
        <v>500</v>
      </c>
      <c r="EU21" s="242"/>
      <c r="EV21" s="224"/>
      <c r="EW21" s="224"/>
      <c r="EX21" s="224"/>
      <c r="EY21" s="224"/>
      <c r="EZ21" s="224"/>
      <c r="FA21" s="243"/>
      <c r="FB21" s="168">
        <f t="shared" si="41"/>
        <v>0</v>
      </c>
      <c r="FC21" s="168">
        <f t="shared" si="42"/>
        <v>28373.598000000002</v>
      </c>
      <c r="FD21" s="242">
        <v>26724.19</v>
      </c>
      <c r="FE21" s="224"/>
      <c r="FF21" s="243"/>
      <c r="FG21" s="168">
        <f t="shared" si="43"/>
        <v>26724.19</v>
      </c>
      <c r="FH21" s="242"/>
      <c r="FI21" s="224"/>
      <c r="FJ21" s="224"/>
      <c r="FK21" s="224"/>
      <c r="FL21" s="243">
        <v>2400</v>
      </c>
      <c r="FM21" s="168">
        <f t="shared" si="44"/>
        <v>2400</v>
      </c>
      <c r="FN21" s="242"/>
      <c r="FO21" s="224"/>
      <c r="FP21" s="224">
        <v>500</v>
      </c>
      <c r="FQ21" s="224"/>
      <c r="FR21" s="168">
        <f t="shared" si="45"/>
        <v>500</v>
      </c>
      <c r="FS21" s="242"/>
      <c r="FT21" s="224"/>
      <c r="FU21" s="224"/>
      <c r="FV21" s="224"/>
      <c r="FW21" s="243"/>
      <c r="FX21" s="168">
        <f t="shared" si="46"/>
        <v>0</v>
      </c>
      <c r="FY21" s="242"/>
      <c r="FZ21" s="224"/>
      <c r="GA21" s="224"/>
      <c r="GB21" s="224"/>
      <c r="GC21" s="243">
        <v>26915.531999999999</v>
      </c>
      <c r="GD21" s="168">
        <f t="shared" si="47"/>
        <v>26915.531999999999</v>
      </c>
      <c r="GE21" s="168">
        <f t="shared" si="20"/>
        <v>56539.721999999994</v>
      </c>
      <c r="GF21" s="242"/>
      <c r="GG21" s="224"/>
      <c r="GH21" s="224"/>
      <c r="GI21" s="224"/>
      <c r="GJ21" s="224">
        <v>1000</v>
      </c>
      <c r="GK21" s="168">
        <f t="shared" si="48"/>
        <v>1000</v>
      </c>
      <c r="GL21" s="242"/>
      <c r="GM21" s="224"/>
      <c r="GN21" s="224"/>
      <c r="GO21" s="243"/>
      <c r="GP21" s="168">
        <f t="shared" si="49"/>
        <v>0</v>
      </c>
      <c r="GQ21" s="242"/>
      <c r="GR21" s="224"/>
      <c r="GS21" s="224"/>
      <c r="GT21" s="224"/>
      <c r="GU21" s="243"/>
      <c r="GV21" s="168">
        <f t="shared" si="50"/>
        <v>0</v>
      </c>
      <c r="GW21" s="242"/>
      <c r="GX21" s="224"/>
      <c r="GY21" s="224"/>
      <c r="GZ21" s="224"/>
      <c r="HA21" s="224"/>
      <c r="HB21" s="243">
        <v>26755.030999999999</v>
      </c>
      <c r="HC21" s="168">
        <f t="shared" si="51"/>
        <v>26755.030999999999</v>
      </c>
      <c r="HD21" s="168">
        <f t="shared" si="21"/>
        <v>27755.030999999999</v>
      </c>
      <c r="HE21" s="242"/>
      <c r="HF21" s="224"/>
      <c r="HG21" s="224"/>
      <c r="HH21" s="224"/>
      <c r="HI21" s="168">
        <f t="shared" si="52"/>
        <v>0</v>
      </c>
      <c r="HJ21" s="242"/>
      <c r="HK21" s="224"/>
      <c r="HL21" s="224"/>
      <c r="HM21" s="224"/>
      <c r="HN21" s="243"/>
      <c r="HO21" s="168">
        <f t="shared" si="53"/>
        <v>0</v>
      </c>
      <c r="HP21" s="242"/>
      <c r="HQ21" s="224">
        <v>5400</v>
      </c>
      <c r="HR21" s="224"/>
      <c r="HS21" s="224"/>
      <c r="HT21" s="243"/>
      <c r="HU21" s="168">
        <f t="shared" si="54"/>
        <v>5400</v>
      </c>
      <c r="HV21" s="242"/>
      <c r="HW21" s="224"/>
      <c r="HX21" s="224"/>
      <c r="HY21" s="168">
        <f t="shared" si="22"/>
        <v>0</v>
      </c>
      <c r="HZ21" s="242"/>
      <c r="IA21" s="224"/>
      <c r="IB21" s="243">
        <v>26124.031999999999</v>
      </c>
      <c r="IC21" s="168">
        <f t="shared" si="55"/>
        <v>26124.031999999999</v>
      </c>
      <c r="ID21" s="168">
        <f t="shared" si="23"/>
        <v>31524.031999999999</v>
      </c>
      <c r="IE21" s="242"/>
      <c r="IF21" s="243"/>
      <c r="IG21" s="168">
        <f t="shared" si="56"/>
        <v>0</v>
      </c>
      <c r="IH21" s="242"/>
      <c r="II21" s="224"/>
      <c r="IJ21" s="224"/>
      <c r="IK21" s="224">
        <v>1000</v>
      </c>
      <c r="IL21" s="243"/>
      <c r="IM21" s="168">
        <f t="shared" si="57"/>
        <v>1000</v>
      </c>
      <c r="IN21" s="242"/>
      <c r="IO21" s="224"/>
      <c r="IP21" s="243"/>
      <c r="IQ21" s="168">
        <f t="shared" si="58"/>
        <v>0</v>
      </c>
      <c r="IR21" s="242"/>
      <c r="IS21" s="224"/>
      <c r="IT21" s="224"/>
      <c r="IU21" s="224">
        <v>300</v>
      </c>
      <c r="IV21" s="243"/>
      <c r="IW21" s="168">
        <f t="shared" si="59"/>
        <v>300</v>
      </c>
      <c r="IX21" s="242"/>
      <c r="IY21" s="224"/>
      <c r="IZ21" s="224"/>
      <c r="JA21" s="224"/>
      <c r="JB21" s="243">
        <v>26385.85</v>
      </c>
      <c r="JC21" s="168">
        <f t="shared" si="60"/>
        <v>26385.85</v>
      </c>
      <c r="JD21" s="168">
        <f t="shared" si="24"/>
        <v>27685.85</v>
      </c>
      <c r="JE21" s="242"/>
      <c r="JF21" s="224"/>
      <c r="JG21" s="224"/>
      <c r="JH21" s="224"/>
      <c r="JI21" s="243"/>
      <c r="JJ21" s="168">
        <f t="shared" si="61"/>
        <v>0</v>
      </c>
      <c r="JK21" s="242"/>
      <c r="JL21" s="224"/>
      <c r="JM21" s="224"/>
      <c r="JN21" s="224"/>
      <c r="JO21" s="243"/>
      <c r="JP21" s="168">
        <f t="shared" si="62"/>
        <v>0</v>
      </c>
      <c r="JQ21" s="242"/>
      <c r="JR21" s="224"/>
      <c r="JS21" s="224"/>
      <c r="JT21" s="224"/>
      <c r="JU21" s="243"/>
      <c r="JV21" s="168">
        <f t="shared" si="63"/>
        <v>0</v>
      </c>
      <c r="JW21" s="242"/>
      <c r="JX21" s="224"/>
      <c r="JY21" s="224"/>
      <c r="JZ21" s="224"/>
      <c r="KA21" s="224"/>
      <c r="KB21" s="243"/>
      <c r="KC21" s="168">
        <f t="shared" si="64"/>
        <v>0</v>
      </c>
      <c r="KD21" s="168">
        <f t="shared" si="65"/>
        <v>0</v>
      </c>
      <c r="KE21" s="242"/>
      <c r="KF21" s="224"/>
      <c r="KG21" s="224"/>
      <c r="KH21" s="224"/>
      <c r="KI21" s="243"/>
      <c r="KJ21" s="168">
        <f t="shared" si="66"/>
        <v>0</v>
      </c>
      <c r="KK21" s="242"/>
      <c r="KL21" s="224"/>
      <c r="KM21" s="224"/>
      <c r="KN21" s="224"/>
      <c r="KO21" s="243"/>
      <c r="KP21" s="168">
        <f t="shared" si="67"/>
        <v>0</v>
      </c>
      <c r="KQ21" s="242"/>
      <c r="KR21" s="224"/>
      <c r="KS21" s="224"/>
      <c r="KT21" s="224"/>
      <c r="KU21" s="243"/>
      <c r="KV21" s="168">
        <f t="shared" si="68"/>
        <v>0</v>
      </c>
      <c r="KW21" s="242"/>
      <c r="KX21" s="224"/>
      <c r="KY21" s="224"/>
      <c r="KZ21" s="224"/>
      <c r="LA21" s="243"/>
      <c r="LB21" s="168">
        <f t="shared" si="69"/>
        <v>0</v>
      </c>
      <c r="LC21" s="242"/>
      <c r="LD21" s="224"/>
      <c r="LE21" s="243"/>
      <c r="LF21" s="168">
        <f t="shared" si="70"/>
        <v>0</v>
      </c>
      <c r="LG21" s="168">
        <v>29000</v>
      </c>
    </row>
    <row r="22" spans="2:324">
      <c r="B22" s="93" t="s">
        <v>388</v>
      </c>
      <c r="C22" s="167"/>
      <c r="D22" s="181">
        <f t="shared" si="72"/>
        <v>0</v>
      </c>
      <c r="E22" s="167"/>
      <c r="F22" s="177"/>
      <c r="G22" s="177"/>
      <c r="H22" s="177"/>
      <c r="I22" s="178"/>
      <c r="J22" s="181">
        <f t="shared" si="6"/>
        <v>0</v>
      </c>
      <c r="K22" s="167"/>
      <c r="L22" s="177"/>
      <c r="M22" s="177"/>
      <c r="N22" s="178">
        <v>550</v>
      </c>
      <c r="O22" s="181">
        <f t="shared" si="73"/>
        <v>550</v>
      </c>
      <c r="P22" s="167"/>
      <c r="Q22" s="177"/>
      <c r="R22" s="177"/>
      <c r="S22" s="177"/>
      <c r="T22" s="178"/>
      <c r="U22" s="168">
        <f t="shared" si="25"/>
        <v>0</v>
      </c>
      <c r="V22" s="167"/>
      <c r="W22" s="177"/>
      <c r="X22" s="177"/>
      <c r="Y22" s="177"/>
      <c r="Z22" s="177"/>
      <c r="AA22" s="168">
        <f t="shared" si="26"/>
        <v>0</v>
      </c>
      <c r="AB22" s="168">
        <f t="shared" si="8"/>
        <v>550</v>
      </c>
      <c r="AC22" s="242"/>
      <c r="AD22" s="224"/>
      <c r="AE22" s="224"/>
      <c r="AF22" s="224"/>
      <c r="AG22" s="243"/>
      <c r="AH22" s="168">
        <f t="shared" si="27"/>
        <v>0</v>
      </c>
      <c r="AI22" s="242"/>
      <c r="AJ22" s="224"/>
      <c r="AK22" s="224"/>
      <c r="AL22" s="224"/>
      <c r="AM22" s="243"/>
      <c r="AN22" s="168">
        <f t="shared" si="9"/>
        <v>0</v>
      </c>
      <c r="AO22" s="242">
        <f>150+350</f>
        <v>500</v>
      </c>
      <c r="AP22" s="224"/>
      <c r="AQ22" s="224"/>
      <c r="AR22" s="224"/>
      <c r="AS22" s="243"/>
      <c r="AT22" s="168">
        <f t="shared" si="28"/>
        <v>500</v>
      </c>
      <c r="AU22" s="242"/>
      <c r="AV22" s="224"/>
      <c r="AW22" s="224"/>
      <c r="AX22" s="224"/>
      <c r="AY22" s="243"/>
      <c r="AZ22" s="168">
        <f t="shared" si="29"/>
        <v>0</v>
      </c>
      <c r="BA22" s="168">
        <f t="shared" si="30"/>
        <v>500</v>
      </c>
      <c r="BB22" s="242"/>
      <c r="BC22" s="224"/>
      <c r="BD22" s="224"/>
      <c r="BE22" s="224"/>
      <c r="BF22" s="243"/>
      <c r="BG22" s="168">
        <f t="shared" si="31"/>
        <v>0</v>
      </c>
      <c r="BH22" s="242"/>
      <c r="BI22" s="224"/>
      <c r="BJ22" s="224"/>
      <c r="BK22" s="224"/>
      <c r="BL22" s="243"/>
      <c r="BM22" s="168">
        <f t="shared" si="10"/>
        <v>0</v>
      </c>
      <c r="BN22" s="242"/>
      <c r="BO22" s="224">
        <v>350</v>
      </c>
      <c r="BP22" s="224"/>
      <c r="BQ22" s="243"/>
      <c r="BR22" s="168">
        <f t="shared" si="11"/>
        <v>350</v>
      </c>
      <c r="BS22" s="242"/>
      <c r="BT22" s="224"/>
      <c r="BU22" s="224"/>
      <c r="BV22" s="224"/>
      <c r="BW22" s="243"/>
      <c r="BX22" s="239">
        <f t="shared" si="12"/>
        <v>0</v>
      </c>
      <c r="BY22" s="242"/>
      <c r="BZ22" s="224"/>
      <c r="CA22" s="168">
        <f t="shared" si="13"/>
        <v>0</v>
      </c>
      <c r="CB22" s="168">
        <f t="shared" si="14"/>
        <v>350</v>
      </c>
      <c r="CC22" s="242"/>
      <c r="CD22" s="224"/>
      <c r="CE22" s="224"/>
      <c r="CF22" s="168">
        <f t="shared" si="15"/>
        <v>0</v>
      </c>
      <c r="CG22" s="242"/>
      <c r="CH22" s="224"/>
      <c r="CI22" s="224"/>
      <c r="CJ22" s="243"/>
      <c r="CK22" s="168">
        <f t="shared" si="32"/>
        <v>0</v>
      </c>
      <c r="CL22" s="242"/>
      <c r="CM22" s="224"/>
      <c r="CN22" s="224">
        <v>300</v>
      </c>
      <c r="CO22" s="224"/>
      <c r="CP22" s="243"/>
      <c r="CQ22" s="168">
        <f t="shared" si="33"/>
        <v>300</v>
      </c>
      <c r="CR22" s="242"/>
      <c r="CS22" s="224"/>
      <c r="CT22" s="224"/>
      <c r="CU22" s="224"/>
      <c r="CV22" s="243"/>
      <c r="CW22" s="168">
        <f t="shared" si="16"/>
        <v>0</v>
      </c>
      <c r="CX22" s="242"/>
      <c r="CY22" s="224"/>
      <c r="CZ22" s="224"/>
      <c r="DA22" s="243"/>
      <c r="DB22" s="168">
        <f t="shared" si="17"/>
        <v>0</v>
      </c>
      <c r="DC22" s="168">
        <f t="shared" si="18"/>
        <v>300</v>
      </c>
      <c r="DD22" s="242"/>
      <c r="DE22" s="224"/>
      <c r="DF22" s="224"/>
      <c r="DG22" s="224"/>
      <c r="DH22" s="224"/>
      <c r="DI22" s="168">
        <f t="shared" si="34"/>
        <v>0</v>
      </c>
      <c r="DJ22" s="242"/>
      <c r="DK22" s="224"/>
      <c r="DL22" s="224"/>
      <c r="DM22" s="224"/>
      <c r="DN22" s="243"/>
      <c r="DO22" s="168">
        <f t="shared" si="35"/>
        <v>0</v>
      </c>
      <c r="DP22" s="242">
        <v>550</v>
      </c>
      <c r="DQ22" s="224"/>
      <c r="DR22" s="224"/>
      <c r="DS22" s="224">
        <v>150</v>
      </c>
      <c r="DT22" s="243"/>
      <c r="DU22" s="168">
        <f t="shared" si="36"/>
        <v>700</v>
      </c>
      <c r="DV22" s="242"/>
      <c r="DW22" s="224"/>
      <c r="DX22" s="224"/>
      <c r="DY22" s="224"/>
      <c r="DZ22" s="243"/>
      <c r="EA22" s="168">
        <f t="shared" si="19"/>
        <v>0</v>
      </c>
      <c r="EB22" s="168">
        <f t="shared" si="37"/>
        <v>700</v>
      </c>
      <c r="EC22" s="167"/>
      <c r="ED22" s="224"/>
      <c r="EE22" s="224"/>
      <c r="EF22" s="224"/>
      <c r="EG22" s="243"/>
      <c r="EH22" s="168">
        <f t="shared" si="38"/>
        <v>0</v>
      </c>
      <c r="EI22" s="242"/>
      <c r="EJ22" s="224"/>
      <c r="EK22" s="224"/>
      <c r="EL22" s="224"/>
      <c r="EM22" s="243"/>
      <c r="EN22" s="168">
        <f t="shared" si="39"/>
        <v>0</v>
      </c>
      <c r="EO22" s="242">
        <v>750</v>
      </c>
      <c r="EP22" s="224"/>
      <c r="EQ22" s="224"/>
      <c r="ER22" s="224"/>
      <c r="ES22" s="243">
        <v>100</v>
      </c>
      <c r="ET22" s="168">
        <f t="shared" si="40"/>
        <v>850</v>
      </c>
      <c r="EU22" s="242"/>
      <c r="EV22" s="224"/>
      <c r="EW22" s="224"/>
      <c r="EX22" s="224"/>
      <c r="EY22" s="224"/>
      <c r="EZ22" s="224"/>
      <c r="FA22" s="243"/>
      <c r="FB22" s="168">
        <f t="shared" si="41"/>
        <v>0</v>
      </c>
      <c r="FC22" s="168">
        <f t="shared" si="42"/>
        <v>850</v>
      </c>
      <c r="FD22" s="242"/>
      <c r="FE22" s="224"/>
      <c r="FF22" s="243"/>
      <c r="FG22" s="168">
        <f t="shared" si="43"/>
        <v>0</v>
      </c>
      <c r="FH22" s="242"/>
      <c r="FI22" s="224"/>
      <c r="FJ22" s="224"/>
      <c r="FK22" s="224"/>
      <c r="FL22" s="243"/>
      <c r="FM22" s="168">
        <f t="shared" si="44"/>
        <v>0</v>
      </c>
      <c r="FN22" s="242"/>
      <c r="FO22" s="224"/>
      <c r="FP22" s="224">
        <v>1000</v>
      </c>
      <c r="FQ22" s="224"/>
      <c r="FR22" s="168">
        <f t="shared" si="45"/>
        <v>1000</v>
      </c>
      <c r="FS22" s="242"/>
      <c r="FT22" s="224"/>
      <c r="FU22" s="224"/>
      <c r="FV22" s="224"/>
      <c r="FW22" s="243"/>
      <c r="FX22" s="168">
        <f t="shared" si="46"/>
        <v>0</v>
      </c>
      <c r="FY22" s="242"/>
      <c r="FZ22" s="224"/>
      <c r="GA22" s="224"/>
      <c r="GB22" s="224"/>
      <c r="GC22" s="243"/>
      <c r="GD22" s="168">
        <f t="shared" si="47"/>
        <v>0</v>
      </c>
      <c r="GE22" s="168">
        <f t="shared" si="20"/>
        <v>1000</v>
      </c>
      <c r="GF22" s="242"/>
      <c r="GG22" s="224"/>
      <c r="GH22" s="224"/>
      <c r="GI22" s="224"/>
      <c r="GJ22" s="224"/>
      <c r="GK22" s="168">
        <f t="shared" si="48"/>
        <v>0</v>
      </c>
      <c r="GL22" s="242"/>
      <c r="GM22" s="224"/>
      <c r="GN22" s="224"/>
      <c r="GO22" s="243"/>
      <c r="GP22" s="168">
        <f t="shared" si="49"/>
        <v>0</v>
      </c>
      <c r="GQ22" s="242">
        <v>450</v>
      </c>
      <c r="GR22" s="224"/>
      <c r="GS22" s="224"/>
      <c r="GT22" s="224"/>
      <c r="GU22" s="243"/>
      <c r="GV22" s="168">
        <f t="shared" si="50"/>
        <v>450</v>
      </c>
      <c r="GW22" s="242"/>
      <c r="GX22" s="224"/>
      <c r="GY22" s="224"/>
      <c r="GZ22" s="224"/>
      <c r="HA22" s="224"/>
      <c r="HB22" s="243"/>
      <c r="HC22" s="168">
        <f t="shared" si="51"/>
        <v>0</v>
      </c>
      <c r="HD22" s="168">
        <f t="shared" si="21"/>
        <v>450</v>
      </c>
      <c r="HE22" s="242"/>
      <c r="HF22" s="224"/>
      <c r="HG22" s="224"/>
      <c r="HH22" s="224"/>
      <c r="HI22" s="168">
        <f t="shared" si="52"/>
        <v>0</v>
      </c>
      <c r="HJ22" s="242"/>
      <c r="HK22" s="224"/>
      <c r="HL22" s="224"/>
      <c r="HM22" s="224"/>
      <c r="HN22" s="243"/>
      <c r="HO22" s="168">
        <f t="shared" si="53"/>
        <v>0</v>
      </c>
      <c r="HP22" s="242"/>
      <c r="HQ22" s="224">
        <v>450</v>
      </c>
      <c r="HR22" s="224"/>
      <c r="HS22" s="224"/>
      <c r="HT22" s="243"/>
      <c r="HU22" s="168">
        <f t="shared" si="54"/>
        <v>450</v>
      </c>
      <c r="HV22" s="242"/>
      <c r="HW22" s="224"/>
      <c r="HX22" s="224"/>
      <c r="HY22" s="168">
        <f t="shared" si="22"/>
        <v>0</v>
      </c>
      <c r="HZ22" s="242"/>
      <c r="IA22" s="224"/>
      <c r="IB22" s="243"/>
      <c r="IC22" s="168">
        <f t="shared" si="55"/>
        <v>0</v>
      </c>
      <c r="ID22" s="168">
        <f t="shared" si="23"/>
        <v>450</v>
      </c>
      <c r="IE22" s="242"/>
      <c r="IF22" s="243"/>
      <c r="IG22" s="168">
        <f t="shared" si="56"/>
        <v>0</v>
      </c>
      <c r="IH22" s="242"/>
      <c r="II22" s="224"/>
      <c r="IJ22" s="224"/>
      <c r="IK22" s="224"/>
      <c r="IL22" s="243"/>
      <c r="IM22" s="168">
        <f t="shared" si="57"/>
        <v>0</v>
      </c>
      <c r="IN22" s="242"/>
      <c r="IO22" s="224"/>
      <c r="IP22" s="243">
        <v>250</v>
      </c>
      <c r="IQ22" s="168">
        <f t="shared" si="58"/>
        <v>250</v>
      </c>
      <c r="IR22" s="242"/>
      <c r="IS22" s="224"/>
      <c r="IT22" s="224"/>
      <c r="IU22" s="224"/>
      <c r="IV22" s="243"/>
      <c r="IW22" s="168">
        <f t="shared" si="59"/>
        <v>0</v>
      </c>
      <c r="IX22" s="242"/>
      <c r="IY22" s="224"/>
      <c r="IZ22" s="224"/>
      <c r="JA22" s="224"/>
      <c r="JB22" s="243"/>
      <c r="JC22" s="168">
        <f t="shared" si="60"/>
        <v>0</v>
      </c>
      <c r="JD22" s="168">
        <f t="shared" si="24"/>
        <v>250</v>
      </c>
      <c r="JE22" s="242"/>
      <c r="JF22" s="224"/>
      <c r="JG22" s="224"/>
      <c r="JH22" s="224"/>
      <c r="JI22" s="243"/>
      <c r="JJ22" s="168">
        <f t="shared" si="61"/>
        <v>0</v>
      </c>
      <c r="JK22" s="242"/>
      <c r="JL22" s="224"/>
      <c r="JM22" s="224"/>
      <c r="JN22" s="224"/>
      <c r="JO22" s="243"/>
      <c r="JP22" s="168">
        <f t="shared" si="62"/>
        <v>0</v>
      </c>
      <c r="JQ22" s="242"/>
      <c r="JR22" s="224"/>
      <c r="JS22" s="224"/>
      <c r="JT22" s="224"/>
      <c r="JU22" s="243"/>
      <c r="JV22" s="168">
        <f t="shared" si="63"/>
        <v>0</v>
      </c>
      <c r="JW22" s="242"/>
      <c r="JX22" s="224"/>
      <c r="JY22" s="224"/>
      <c r="JZ22" s="224"/>
      <c r="KA22" s="224"/>
      <c r="KB22" s="243"/>
      <c r="KC22" s="168">
        <f t="shared" si="64"/>
        <v>0</v>
      </c>
      <c r="KD22" s="168">
        <f t="shared" si="65"/>
        <v>0</v>
      </c>
      <c r="KE22" s="242"/>
      <c r="KF22" s="224"/>
      <c r="KG22" s="224"/>
      <c r="KH22" s="224"/>
      <c r="KI22" s="243"/>
      <c r="KJ22" s="168"/>
      <c r="KK22" s="242"/>
      <c r="KL22" s="224"/>
      <c r="KM22" s="224"/>
      <c r="KN22" s="224"/>
      <c r="KO22" s="243"/>
      <c r="KP22" s="168"/>
      <c r="KQ22" s="242"/>
      <c r="KR22" s="224"/>
      <c r="KS22" s="224"/>
      <c r="KT22" s="224"/>
      <c r="KU22" s="243"/>
      <c r="KV22" s="168"/>
      <c r="KW22" s="242"/>
      <c r="KX22" s="224"/>
      <c r="KY22" s="224"/>
      <c r="KZ22" s="224"/>
      <c r="LA22" s="243"/>
      <c r="LB22" s="168"/>
      <c r="LC22" s="242"/>
      <c r="LD22" s="224"/>
      <c r="LE22" s="243"/>
      <c r="LF22" s="168"/>
      <c r="LG22" s="168">
        <f t="shared" si="71"/>
        <v>0</v>
      </c>
    </row>
    <row r="23" spans="2:324">
      <c r="B23" s="93" t="s">
        <v>389</v>
      </c>
      <c r="C23" s="167"/>
      <c r="D23" s="181">
        <f t="shared" si="72"/>
        <v>0</v>
      </c>
      <c r="E23" s="167"/>
      <c r="F23" s="177"/>
      <c r="G23" s="177"/>
      <c r="H23" s="177"/>
      <c r="I23" s="178">
        <f>1470.312+16482.858</f>
        <v>17953.169999999998</v>
      </c>
      <c r="J23" s="181">
        <f t="shared" si="6"/>
        <v>17953.169999999998</v>
      </c>
      <c r="K23" s="167"/>
      <c r="L23" s="177"/>
      <c r="M23" s="177"/>
      <c r="N23" s="178"/>
      <c r="O23" s="181">
        <f t="shared" si="73"/>
        <v>0</v>
      </c>
      <c r="P23" s="167"/>
      <c r="Q23" s="177"/>
      <c r="R23" s="177"/>
      <c r="S23" s="177"/>
      <c r="T23" s="178"/>
      <c r="U23" s="168">
        <f t="shared" si="25"/>
        <v>0</v>
      </c>
      <c r="V23" s="167"/>
      <c r="W23" s="177"/>
      <c r="X23" s="177"/>
      <c r="Y23" s="177"/>
      <c r="Z23" s="177"/>
      <c r="AA23" s="168">
        <f t="shared" si="26"/>
        <v>0</v>
      </c>
      <c r="AB23" s="168">
        <f t="shared" si="8"/>
        <v>17953.169999999998</v>
      </c>
      <c r="AC23" s="242"/>
      <c r="AD23" s="224"/>
      <c r="AE23" s="224"/>
      <c r="AF23" s="224"/>
      <c r="AG23" s="243"/>
      <c r="AH23" s="168">
        <f t="shared" si="27"/>
        <v>0</v>
      </c>
      <c r="AI23" s="242"/>
      <c r="AJ23" s="224"/>
      <c r="AK23" s="224"/>
      <c r="AL23" s="224"/>
      <c r="AM23" s="243"/>
      <c r="AN23" s="168">
        <f t="shared" si="9"/>
        <v>0</v>
      </c>
      <c r="AO23" s="242"/>
      <c r="AP23" s="224"/>
      <c r="AQ23" s="224"/>
      <c r="AR23" s="224"/>
      <c r="AS23" s="243"/>
      <c r="AT23" s="168">
        <f t="shared" si="28"/>
        <v>0</v>
      </c>
      <c r="AU23" s="242"/>
      <c r="AV23" s="224"/>
      <c r="AW23" s="224"/>
      <c r="AX23" s="224"/>
      <c r="AY23" s="243"/>
      <c r="AZ23" s="168">
        <f t="shared" si="29"/>
        <v>0</v>
      </c>
      <c r="BA23" s="168">
        <f t="shared" si="30"/>
        <v>0</v>
      </c>
      <c r="BB23" s="242"/>
      <c r="BC23" s="224"/>
      <c r="BD23" s="224"/>
      <c r="BE23" s="224"/>
      <c r="BF23" s="243"/>
      <c r="BG23" s="168">
        <f t="shared" si="31"/>
        <v>0</v>
      </c>
      <c r="BH23" s="242"/>
      <c r="BI23" s="224"/>
      <c r="BJ23" s="224"/>
      <c r="BK23" s="224"/>
      <c r="BL23" s="243"/>
      <c r="BM23" s="168">
        <f t="shared" si="10"/>
        <v>0</v>
      </c>
      <c r="BN23" s="242"/>
      <c r="BO23" s="224"/>
      <c r="BP23" s="224"/>
      <c r="BQ23" s="243"/>
      <c r="BR23" s="168">
        <f t="shared" si="11"/>
        <v>0</v>
      </c>
      <c r="BS23" s="242"/>
      <c r="BT23" s="224"/>
      <c r="BU23" s="224"/>
      <c r="BV23" s="224"/>
      <c r="BW23" s="243"/>
      <c r="BX23" s="239">
        <f t="shared" si="12"/>
        <v>0</v>
      </c>
      <c r="BY23" s="242"/>
      <c r="BZ23" s="224"/>
      <c r="CA23" s="168">
        <f t="shared" si="13"/>
        <v>0</v>
      </c>
      <c r="CB23" s="168">
        <f t="shared" si="14"/>
        <v>0</v>
      </c>
      <c r="CC23" s="242"/>
      <c r="CD23" s="224"/>
      <c r="CE23" s="224"/>
      <c r="CF23" s="168">
        <f t="shared" si="15"/>
        <v>0</v>
      </c>
      <c r="CG23" s="242"/>
      <c r="CH23" s="224"/>
      <c r="CI23" s="224"/>
      <c r="CJ23" s="243"/>
      <c r="CK23" s="168">
        <f t="shared" si="32"/>
        <v>0</v>
      </c>
      <c r="CL23" s="242"/>
      <c r="CM23" s="224"/>
      <c r="CN23" s="224"/>
      <c r="CO23" s="224"/>
      <c r="CP23" s="243"/>
      <c r="CQ23" s="168">
        <f t="shared" si="33"/>
        <v>0</v>
      </c>
      <c r="CR23" s="242"/>
      <c r="CS23" s="224"/>
      <c r="CT23" s="224"/>
      <c r="CU23" s="224"/>
      <c r="CV23" s="243"/>
      <c r="CW23" s="168">
        <f t="shared" si="16"/>
        <v>0</v>
      </c>
      <c r="CX23" s="242"/>
      <c r="CY23" s="224"/>
      <c r="CZ23" s="224"/>
      <c r="DA23" s="243"/>
      <c r="DB23" s="168">
        <f t="shared" si="17"/>
        <v>0</v>
      </c>
      <c r="DC23" s="168">
        <f t="shared" si="18"/>
        <v>0</v>
      </c>
      <c r="DD23" s="242"/>
      <c r="DE23" s="224"/>
      <c r="DF23" s="224"/>
      <c r="DG23" s="224"/>
      <c r="DH23" s="224"/>
      <c r="DI23" s="168">
        <f t="shared" si="34"/>
        <v>0</v>
      </c>
      <c r="DJ23" s="242"/>
      <c r="DK23" s="224"/>
      <c r="DL23" s="224"/>
      <c r="DM23" s="224"/>
      <c r="DN23" s="243"/>
      <c r="DO23" s="168">
        <f t="shared" si="35"/>
        <v>0</v>
      </c>
      <c r="DP23" s="242"/>
      <c r="DQ23" s="224"/>
      <c r="DR23" s="224"/>
      <c r="DS23" s="224"/>
      <c r="DT23" s="243"/>
      <c r="DU23" s="168">
        <f t="shared" si="36"/>
        <v>0</v>
      </c>
      <c r="DV23" s="242"/>
      <c r="DW23" s="224"/>
      <c r="DX23" s="224"/>
      <c r="DY23" s="224"/>
      <c r="DZ23" s="243"/>
      <c r="EA23" s="168">
        <f t="shared" si="19"/>
        <v>0</v>
      </c>
      <c r="EB23" s="168">
        <f t="shared" si="37"/>
        <v>0</v>
      </c>
      <c r="EC23" s="167"/>
      <c r="ED23" s="224"/>
      <c r="EE23" s="224"/>
      <c r="EF23" s="224"/>
      <c r="EG23" s="243"/>
      <c r="EH23" s="168">
        <f t="shared" si="38"/>
        <v>0</v>
      </c>
      <c r="EI23" s="242"/>
      <c r="EJ23" s="224"/>
      <c r="EK23" s="224"/>
      <c r="EL23" s="224"/>
      <c r="EM23" s="243"/>
      <c r="EN23" s="168">
        <f t="shared" si="39"/>
        <v>0</v>
      </c>
      <c r="EO23" s="242"/>
      <c r="EP23" s="224"/>
      <c r="EQ23" s="224"/>
      <c r="ER23" s="224"/>
      <c r="ES23" s="243"/>
      <c r="ET23" s="168">
        <f t="shared" si="40"/>
        <v>0</v>
      </c>
      <c r="EU23" s="242"/>
      <c r="EV23" s="224"/>
      <c r="EW23" s="224"/>
      <c r="EX23" s="224"/>
      <c r="EY23" s="224"/>
      <c r="EZ23" s="224"/>
      <c r="FA23" s="243"/>
      <c r="FB23" s="168">
        <f t="shared" si="41"/>
        <v>0</v>
      </c>
      <c r="FC23" s="168">
        <f t="shared" si="42"/>
        <v>0</v>
      </c>
      <c r="FD23" s="242"/>
      <c r="FE23" s="224"/>
      <c r="FF23" s="243"/>
      <c r="FG23" s="168">
        <f t="shared" si="43"/>
        <v>0</v>
      </c>
      <c r="FH23" s="242"/>
      <c r="FI23" s="224"/>
      <c r="FJ23" s="224"/>
      <c r="FK23" s="224"/>
      <c r="FL23" s="243"/>
      <c r="FM23" s="168">
        <f t="shared" si="44"/>
        <v>0</v>
      </c>
      <c r="FN23" s="242"/>
      <c r="FO23" s="224"/>
      <c r="FP23" s="224"/>
      <c r="FQ23" s="224"/>
      <c r="FR23" s="168">
        <f t="shared" si="45"/>
        <v>0</v>
      </c>
      <c r="FS23" s="242"/>
      <c r="FT23" s="224"/>
      <c r="FU23" s="224"/>
      <c r="FV23" s="224"/>
      <c r="FW23" s="243"/>
      <c r="FX23" s="168">
        <f t="shared" si="46"/>
        <v>0</v>
      </c>
      <c r="FY23" s="242"/>
      <c r="FZ23" s="224"/>
      <c r="GA23" s="224"/>
      <c r="GB23" s="224"/>
      <c r="GC23" s="243"/>
      <c r="GD23" s="168">
        <f t="shared" si="47"/>
        <v>0</v>
      </c>
      <c r="GE23" s="168">
        <f t="shared" si="20"/>
        <v>0</v>
      </c>
      <c r="GF23" s="242"/>
      <c r="GG23" s="224"/>
      <c r="GH23" s="224"/>
      <c r="GI23" s="224"/>
      <c r="GJ23" s="224"/>
      <c r="GK23" s="168">
        <f t="shared" si="48"/>
        <v>0</v>
      </c>
      <c r="GL23" s="242"/>
      <c r="GM23" s="224"/>
      <c r="GN23" s="224"/>
      <c r="GO23" s="243"/>
      <c r="GP23" s="168">
        <f t="shared" si="49"/>
        <v>0</v>
      </c>
      <c r="GQ23" s="242"/>
      <c r="GR23" s="224"/>
      <c r="GS23" s="224"/>
      <c r="GT23" s="224"/>
      <c r="GU23" s="243"/>
      <c r="GV23" s="168">
        <f t="shared" si="50"/>
        <v>0</v>
      </c>
      <c r="GW23" s="242"/>
      <c r="GX23" s="224"/>
      <c r="GY23" s="224"/>
      <c r="GZ23" s="224"/>
      <c r="HA23" s="224"/>
      <c r="HB23" s="243"/>
      <c r="HC23" s="168">
        <f t="shared" si="51"/>
        <v>0</v>
      </c>
      <c r="HD23" s="168">
        <f t="shared" si="21"/>
        <v>0</v>
      </c>
      <c r="HE23" s="242"/>
      <c r="HF23" s="224"/>
      <c r="HG23" s="224"/>
      <c r="HH23" s="224"/>
      <c r="HI23" s="168">
        <f t="shared" si="52"/>
        <v>0</v>
      </c>
      <c r="HJ23" s="242"/>
      <c r="HK23" s="224"/>
      <c r="HL23" s="224"/>
      <c r="HM23" s="224">
        <v>638</v>
      </c>
      <c r="HN23" s="243"/>
      <c r="HO23" s="168">
        <f t="shared" si="53"/>
        <v>638</v>
      </c>
      <c r="HP23" s="242"/>
      <c r="HQ23" s="224">
        <v>2590</v>
      </c>
      <c r="HR23" s="224"/>
      <c r="HS23" s="224"/>
      <c r="HT23" s="243"/>
      <c r="HU23" s="168">
        <f t="shared" si="54"/>
        <v>2590</v>
      </c>
      <c r="HV23" s="242"/>
      <c r="HW23" s="224"/>
      <c r="HX23" s="224"/>
      <c r="HY23" s="168">
        <f t="shared" si="22"/>
        <v>0</v>
      </c>
      <c r="HZ23" s="242"/>
      <c r="IA23" s="224"/>
      <c r="IB23" s="243"/>
      <c r="IC23" s="168">
        <f t="shared" si="55"/>
        <v>0</v>
      </c>
      <c r="ID23" s="168">
        <f t="shared" si="23"/>
        <v>3228</v>
      </c>
      <c r="IE23" s="242"/>
      <c r="IF23" s="243"/>
      <c r="IG23" s="168">
        <f t="shared" si="56"/>
        <v>0</v>
      </c>
      <c r="IH23" s="242"/>
      <c r="II23" s="224"/>
      <c r="IJ23" s="224"/>
      <c r="IK23" s="224"/>
      <c r="IL23" s="243"/>
      <c r="IM23" s="168">
        <f t="shared" si="57"/>
        <v>0</v>
      </c>
      <c r="IN23" s="242"/>
      <c r="IO23" s="224"/>
      <c r="IP23" s="243"/>
      <c r="IQ23" s="168">
        <f t="shared" si="58"/>
        <v>0</v>
      </c>
      <c r="IR23" s="242"/>
      <c r="IS23" s="224"/>
      <c r="IT23" s="224"/>
      <c r="IU23" s="224"/>
      <c r="IV23" s="243"/>
      <c r="IW23" s="168">
        <f t="shared" si="59"/>
        <v>0</v>
      </c>
      <c r="IX23" s="242"/>
      <c r="IY23" s="224"/>
      <c r="IZ23" s="224"/>
      <c r="JA23" s="224"/>
      <c r="JB23" s="243"/>
      <c r="JC23" s="168">
        <f t="shared" si="60"/>
        <v>0</v>
      </c>
      <c r="JD23" s="168">
        <f t="shared" si="24"/>
        <v>0</v>
      </c>
      <c r="JE23" s="242"/>
      <c r="JF23" s="224"/>
      <c r="JG23" s="224"/>
      <c r="JH23" s="224"/>
      <c r="JI23" s="243"/>
      <c r="JJ23" s="168">
        <f t="shared" si="61"/>
        <v>0</v>
      </c>
      <c r="JK23" s="242"/>
      <c r="JL23" s="224"/>
      <c r="JM23" s="224"/>
      <c r="JN23" s="224"/>
      <c r="JO23" s="243"/>
      <c r="JP23" s="168">
        <f t="shared" si="62"/>
        <v>0</v>
      </c>
      <c r="JQ23" s="242"/>
      <c r="JR23" s="224"/>
      <c r="JS23" s="224"/>
      <c r="JT23" s="224"/>
      <c r="JU23" s="243"/>
      <c r="JV23" s="168">
        <f t="shared" si="63"/>
        <v>0</v>
      </c>
      <c r="JW23" s="242"/>
      <c r="JX23" s="224"/>
      <c r="JY23" s="224"/>
      <c r="JZ23" s="224"/>
      <c r="KA23" s="224"/>
      <c r="KB23" s="243"/>
      <c r="KC23" s="168">
        <f t="shared" si="64"/>
        <v>0</v>
      </c>
      <c r="KD23" s="168">
        <f t="shared" si="65"/>
        <v>0</v>
      </c>
      <c r="KE23" s="242"/>
      <c r="KF23" s="224"/>
      <c r="KG23" s="224"/>
      <c r="KH23" s="224"/>
      <c r="KI23" s="243"/>
      <c r="KJ23" s="168"/>
      <c r="KK23" s="242"/>
      <c r="KL23" s="224"/>
      <c r="KM23" s="224"/>
      <c r="KN23" s="224"/>
      <c r="KO23" s="243"/>
      <c r="KP23" s="168"/>
      <c r="KQ23" s="242"/>
      <c r="KR23" s="224"/>
      <c r="KS23" s="224"/>
      <c r="KT23" s="224"/>
      <c r="KU23" s="243"/>
      <c r="KV23" s="168"/>
      <c r="KW23" s="242"/>
      <c r="KX23" s="224"/>
      <c r="KY23" s="224"/>
      <c r="KZ23" s="224"/>
      <c r="LA23" s="243"/>
      <c r="LB23" s="168"/>
      <c r="LC23" s="242"/>
      <c r="LD23" s="224"/>
      <c r="LE23" s="243"/>
      <c r="LF23" s="168"/>
      <c r="LG23" s="168">
        <f t="shared" si="71"/>
        <v>0</v>
      </c>
      <c r="LL23" s="5"/>
    </row>
    <row r="24" spans="2:324">
      <c r="B24" s="93" t="s">
        <v>86</v>
      </c>
      <c r="C24" s="167"/>
      <c r="D24" s="181">
        <f t="shared" si="72"/>
        <v>0</v>
      </c>
      <c r="E24" s="167"/>
      <c r="F24" s="177"/>
      <c r="G24" s="177"/>
      <c r="H24" s="177"/>
      <c r="I24" s="178"/>
      <c r="J24" s="181">
        <f t="shared" si="6"/>
        <v>0</v>
      </c>
      <c r="K24" s="167"/>
      <c r="L24" s="177"/>
      <c r="M24" s="177"/>
      <c r="N24" s="178"/>
      <c r="O24" s="181">
        <f t="shared" si="73"/>
        <v>0</v>
      </c>
      <c r="P24" s="167"/>
      <c r="Q24" s="177"/>
      <c r="R24" s="177">
        <v>37154.544999999998</v>
      </c>
      <c r="S24" s="177">
        <f>142.303+550.7</f>
        <v>693.00300000000004</v>
      </c>
      <c r="T24" s="178"/>
      <c r="U24" s="168">
        <f t="shared" si="25"/>
        <v>37847.547999999995</v>
      </c>
      <c r="V24" s="167"/>
      <c r="W24" s="177"/>
      <c r="X24" s="177">
        <v>142.303</v>
      </c>
      <c r="Y24" s="177"/>
      <c r="Z24" s="177"/>
      <c r="AA24" s="168">
        <f t="shared" si="26"/>
        <v>142.303</v>
      </c>
      <c r="AB24" s="168">
        <f t="shared" si="8"/>
        <v>37989.850999999995</v>
      </c>
      <c r="AC24" s="242"/>
      <c r="AD24" s="224">
        <f>453.552+355.09+227.319</f>
        <v>1035.961</v>
      </c>
      <c r="AE24" s="224"/>
      <c r="AF24" s="224"/>
      <c r="AG24" s="243"/>
      <c r="AH24" s="168">
        <f t="shared" si="27"/>
        <v>1035.961</v>
      </c>
      <c r="AI24" s="242"/>
      <c r="AJ24" s="224">
        <v>116.682</v>
      </c>
      <c r="AK24" s="224"/>
      <c r="AL24" s="224"/>
      <c r="AM24" s="243"/>
      <c r="AN24" s="168">
        <f t="shared" si="9"/>
        <v>116.682</v>
      </c>
      <c r="AO24" s="242"/>
      <c r="AP24" s="224"/>
      <c r="AQ24" s="224"/>
      <c r="AR24" s="224"/>
      <c r="AS24" s="243"/>
      <c r="AT24" s="168">
        <f t="shared" si="28"/>
        <v>0</v>
      </c>
      <c r="AU24" s="242"/>
      <c r="AV24" s="224"/>
      <c r="AW24" s="224"/>
      <c r="AX24" s="224"/>
      <c r="AY24" s="243"/>
      <c r="AZ24" s="168">
        <f t="shared" si="29"/>
        <v>0</v>
      </c>
      <c r="BA24" s="168">
        <f t="shared" si="30"/>
        <v>1152.643</v>
      </c>
      <c r="BB24" s="242"/>
      <c r="BC24" s="224"/>
      <c r="BD24" s="224"/>
      <c r="BE24" s="224"/>
      <c r="BF24" s="243">
        <v>142.303</v>
      </c>
      <c r="BG24" s="168">
        <f t="shared" si="31"/>
        <v>142.303</v>
      </c>
      <c r="BH24" s="242"/>
      <c r="BI24" s="224"/>
      <c r="BJ24" s="224"/>
      <c r="BK24" s="224"/>
      <c r="BL24" s="243"/>
      <c r="BM24" s="168">
        <f t="shared" si="10"/>
        <v>0</v>
      </c>
      <c r="BN24" s="242">
        <v>142.303</v>
      </c>
      <c r="BO24" s="224"/>
      <c r="BP24" s="224"/>
      <c r="BQ24" s="243"/>
      <c r="BR24" s="168">
        <f t="shared" si="11"/>
        <v>142.303</v>
      </c>
      <c r="BS24" s="242"/>
      <c r="BT24" s="224"/>
      <c r="BU24" s="224"/>
      <c r="BV24" s="224"/>
      <c r="BW24" s="243"/>
      <c r="BX24" s="239">
        <f t="shared" si="12"/>
        <v>0</v>
      </c>
      <c r="BY24" s="242"/>
      <c r="BZ24" s="224"/>
      <c r="CA24" s="168">
        <f t="shared" si="13"/>
        <v>0</v>
      </c>
      <c r="CB24" s="168">
        <f t="shared" si="14"/>
        <v>284.60599999999999</v>
      </c>
      <c r="CC24" s="242"/>
      <c r="CD24" s="224"/>
      <c r="CE24" s="224"/>
      <c r="CF24" s="168">
        <f t="shared" si="15"/>
        <v>0</v>
      </c>
      <c r="CG24" s="242"/>
      <c r="CH24" s="224"/>
      <c r="CI24" s="224"/>
      <c r="CJ24" s="243"/>
      <c r="CK24" s="168">
        <f t="shared" si="32"/>
        <v>0</v>
      </c>
      <c r="CL24" s="242"/>
      <c r="CM24" s="224"/>
      <c r="CN24" s="224">
        <v>142.303</v>
      </c>
      <c r="CO24" s="224">
        <v>31007.793000000001</v>
      </c>
      <c r="CP24" s="243"/>
      <c r="CQ24" s="168">
        <f t="shared" si="33"/>
        <v>31150.096000000001</v>
      </c>
      <c r="CR24" s="242"/>
      <c r="CS24" s="224"/>
      <c r="CT24" s="224"/>
      <c r="CU24" s="224"/>
      <c r="CV24" s="243"/>
      <c r="CW24" s="168">
        <f t="shared" si="16"/>
        <v>0</v>
      </c>
      <c r="CX24" s="242"/>
      <c r="CY24" s="224"/>
      <c r="CZ24" s="224"/>
      <c r="DA24" s="243"/>
      <c r="DB24" s="168">
        <f t="shared" si="17"/>
        <v>0</v>
      </c>
      <c r="DC24" s="168">
        <f t="shared" si="18"/>
        <v>31150.096000000001</v>
      </c>
      <c r="DD24" s="242"/>
      <c r="DE24" s="224"/>
      <c r="DF24" s="224"/>
      <c r="DG24" s="224"/>
      <c r="DH24" s="224"/>
      <c r="DI24" s="168">
        <f t="shared" si="34"/>
        <v>0</v>
      </c>
      <c r="DJ24" s="242"/>
      <c r="DK24" s="224"/>
      <c r="DL24" s="224"/>
      <c r="DM24" s="224"/>
      <c r="DN24" s="243">
        <v>142.303</v>
      </c>
      <c r="DO24" s="168">
        <f t="shared" si="35"/>
        <v>142.303</v>
      </c>
      <c r="DP24" s="242"/>
      <c r="DQ24" s="224"/>
      <c r="DR24" s="224"/>
      <c r="DS24" s="224"/>
      <c r="DT24" s="243"/>
      <c r="DU24" s="168">
        <f t="shared" si="36"/>
        <v>0</v>
      </c>
      <c r="DV24" s="242"/>
      <c r="DW24" s="224"/>
      <c r="DX24" s="224"/>
      <c r="DY24" s="224"/>
      <c r="DZ24" s="243"/>
      <c r="EA24" s="168">
        <f t="shared" si="19"/>
        <v>0</v>
      </c>
      <c r="EB24" s="168">
        <f t="shared" si="37"/>
        <v>142.303</v>
      </c>
      <c r="EC24" s="242"/>
      <c r="ED24" s="224"/>
      <c r="EE24" s="224"/>
      <c r="EF24" s="224"/>
      <c r="EG24" s="243"/>
      <c r="EH24" s="168">
        <f t="shared" si="38"/>
        <v>0</v>
      </c>
      <c r="EI24" s="242"/>
      <c r="EJ24" s="224"/>
      <c r="EK24" s="224"/>
      <c r="EL24" s="224"/>
      <c r="EM24" s="243"/>
      <c r="EN24" s="168">
        <f t="shared" si="39"/>
        <v>0</v>
      </c>
      <c r="EO24" s="242"/>
      <c r="EP24" s="224"/>
      <c r="EQ24" s="224">
        <v>142.303</v>
      </c>
      <c r="ER24" s="224"/>
      <c r="ES24" s="243"/>
      <c r="ET24" s="168">
        <f t="shared" si="40"/>
        <v>142.303</v>
      </c>
      <c r="EU24" s="242"/>
      <c r="EV24" s="224"/>
      <c r="EW24" s="224"/>
      <c r="EX24" s="224"/>
      <c r="EY24" s="224"/>
      <c r="EZ24" s="224"/>
      <c r="FA24" s="243"/>
      <c r="FB24" s="168">
        <f t="shared" si="41"/>
        <v>0</v>
      </c>
      <c r="FC24" s="168">
        <f t="shared" si="42"/>
        <v>142.303</v>
      </c>
      <c r="FD24" s="242"/>
      <c r="FE24" s="224"/>
      <c r="FF24" s="243"/>
      <c r="FG24" s="168">
        <f t="shared" si="43"/>
        <v>0</v>
      </c>
      <c r="FH24" s="242"/>
      <c r="FI24" s="224"/>
      <c r="FJ24" s="224"/>
      <c r="FK24" s="224"/>
      <c r="FL24" s="243"/>
      <c r="FM24" s="168">
        <f t="shared" si="44"/>
        <v>0</v>
      </c>
      <c r="FN24" s="242"/>
      <c r="FO24" s="224"/>
      <c r="FP24" s="224"/>
      <c r="FQ24" s="224"/>
      <c r="FR24" s="168">
        <f t="shared" si="45"/>
        <v>0</v>
      </c>
      <c r="FS24" s="242"/>
      <c r="FT24" s="224"/>
      <c r="FU24" s="224">
        <v>142.303</v>
      </c>
      <c r="FV24" s="224">
        <v>29124.802</v>
      </c>
      <c r="FW24" s="243"/>
      <c r="FX24" s="168">
        <f t="shared" si="46"/>
        <v>29267.105</v>
      </c>
      <c r="FY24" s="242"/>
      <c r="FZ24" s="224"/>
      <c r="GA24" s="224"/>
      <c r="GB24" s="224"/>
      <c r="GC24" s="243"/>
      <c r="GD24" s="168">
        <f t="shared" si="47"/>
        <v>0</v>
      </c>
      <c r="GE24" s="168">
        <f t="shared" si="20"/>
        <v>29267.105</v>
      </c>
      <c r="GF24" s="242"/>
      <c r="GG24" s="224"/>
      <c r="GH24" s="224"/>
      <c r="GI24" s="224"/>
      <c r="GJ24" s="224"/>
      <c r="GK24" s="168">
        <f t="shared" si="48"/>
        <v>0</v>
      </c>
      <c r="GL24" s="242"/>
      <c r="GM24" s="224"/>
      <c r="GN24" s="224"/>
      <c r="GO24" s="243"/>
      <c r="GP24" s="168">
        <f t="shared" si="49"/>
        <v>0</v>
      </c>
      <c r="GQ24" s="242"/>
      <c r="GR24" s="224">
        <v>142.303</v>
      </c>
      <c r="GS24" s="224"/>
      <c r="GT24" s="224"/>
      <c r="GU24" s="243"/>
      <c r="GV24" s="168">
        <f t="shared" si="50"/>
        <v>142.303</v>
      </c>
      <c r="GW24" s="242"/>
      <c r="GX24" s="224"/>
      <c r="GY24" s="224"/>
      <c r="GZ24" s="224"/>
      <c r="HA24" s="224"/>
      <c r="HB24" s="243"/>
      <c r="HC24" s="168">
        <f t="shared" si="51"/>
        <v>0</v>
      </c>
      <c r="HD24" s="168">
        <f t="shared" si="21"/>
        <v>142.303</v>
      </c>
      <c r="HE24" s="242"/>
      <c r="HF24" s="224"/>
      <c r="HG24" s="224"/>
      <c r="HH24" s="224"/>
      <c r="HI24" s="168">
        <f t="shared" si="52"/>
        <v>0</v>
      </c>
      <c r="HJ24" s="242"/>
      <c r="HK24" s="224"/>
      <c r="HL24" s="224"/>
      <c r="HM24" s="224"/>
      <c r="HN24" s="243"/>
      <c r="HO24" s="168">
        <f t="shared" si="53"/>
        <v>0</v>
      </c>
      <c r="HP24" s="242"/>
      <c r="HQ24" s="224"/>
      <c r="HR24" s="224"/>
      <c r="HS24" s="224">
        <v>142.303</v>
      </c>
      <c r="HT24" s="243"/>
      <c r="HU24" s="168">
        <f t="shared" si="54"/>
        <v>142.303</v>
      </c>
      <c r="HV24" s="242"/>
      <c r="HW24" s="224"/>
      <c r="HX24" s="224"/>
      <c r="HY24" s="168">
        <f t="shared" si="22"/>
        <v>0</v>
      </c>
      <c r="HZ24" s="242"/>
      <c r="IA24" s="224"/>
      <c r="IB24" s="243"/>
      <c r="IC24" s="168">
        <f t="shared" si="55"/>
        <v>0</v>
      </c>
      <c r="ID24" s="168">
        <f t="shared" si="23"/>
        <v>142.303</v>
      </c>
      <c r="IE24" s="242"/>
      <c r="IF24" s="243"/>
      <c r="IG24" s="168">
        <f t="shared" si="56"/>
        <v>0</v>
      </c>
      <c r="IH24" s="242"/>
      <c r="II24" s="224"/>
      <c r="IJ24" s="224"/>
      <c r="IK24" s="224"/>
      <c r="IL24" s="243"/>
      <c r="IM24" s="168">
        <f t="shared" si="57"/>
        <v>0</v>
      </c>
      <c r="IN24" s="242"/>
      <c r="IO24" s="224"/>
      <c r="IP24" s="243"/>
      <c r="IQ24" s="168">
        <f t="shared" si="58"/>
        <v>0</v>
      </c>
      <c r="IR24" s="242"/>
      <c r="IS24" s="224"/>
      <c r="IT24" s="224">
        <v>142.303</v>
      </c>
      <c r="IU24" s="224"/>
      <c r="IV24" s="243"/>
      <c r="IW24" s="168">
        <f t="shared" si="59"/>
        <v>142.303</v>
      </c>
      <c r="IX24" s="242"/>
      <c r="IY24" s="224"/>
      <c r="IZ24" s="224">
        <v>28419.39</v>
      </c>
      <c r="JA24" s="224"/>
      <c r="JB24" s="243"/>
      <c r="JC24" s="168">
        <f t="shared" si="60"/>
        <v>28419.39</v>
      </c>
      <c r="JD24" s="168">
        <f t="shared" si="24"/>
        <v>28561.692999999999</v>
      </c>
      <c r="JE24" s="242"/>
      <c r="JF24" s="224"/>
      <c r="JG24" s="224"/>
      <c r="JH24" s="224"/>
      <c r="JI24" s="243"/>
      <c r="JJ24" s="168">
        <f t="shared" si="61"/>
        <v>0</v>
      </c>
      <c r="JK24" s="242"/>
      <c r="JL24" s="224"/>
      <c r="JM24" s="224"/>
      <c r="JN24" s="224"/>
      <c r="JO24" s="243"/>
      <c r="JP24" s="168">
        <f t="shared" si="62"/>
        <v>0</v>
      </c>
      <c r="JQ24" s="242"/>
      <c r="JR24" s="224"/>
      <c r="JS24" s="224"/>
      <c r="JT24" s="224"/>
      <c r="JU24" s="243"/>
      <c r="JV24" s="168">
        <f t="shared" si="63"/>
        <v>0</v>
      </c>
      <c r="JW24" s="242"/>
      <c r="JX24" s="224"/>
      <c r="JY24" s="224"/>
      <c r="JZ24" s="224"/>
      <c r="KA24" s="224"/>
      <c r="KB24" s="243"/>
      <c r="KC24" s="168">
        <f t="shared" si="64"/>
        <v>0</v>
      </c>
      <c r="KD24" s="168">
        <f t="shared" si="65"/>
        <v>0</v>
      </c>
      <c r="KE24" s="242"/>
      <c r="KF24" s="224"/>
      <c r="KG24" s="224"/>
      <c r="KH24" s="224"/>
      <c r="KI24" s="243"/>
      <c r="KJ24" s="168">
        <f t="shared" si="66"/>
        <v>0</v>
      </c>
      <c r="KK24" s="242"/>
      <c r="KL24" s="224"/>
      <c r="KM24" s="224"/>
      <c r="KN24" s="224"/>
      <c r="KO24" s="243"/>
      <c r="KP24" s="168">
        <f t="shared" si="67"/>
        <v>0</v>
      </c>
      <c r="KQ24" s="242"/>
      <c r="KR24" s="224"/>
      <c r="KS24" s="224"/>
      <c r="KT24" s="224"/>
      <c r="KU24" s="243"/>
      <c r="KV24" s="168">
        <f t="shared" si="68"/>
        <v>0</v>
      </c>
      <c r="KW24" s="242"/>
      <c r="KX24" s="224"/>
      <c r="KY24" s="224"/>
      <c r="KZ24" s="224"/>
      <c r="LA24" s="243"/>
      <c r="LB24" s="168">
        <f t="shared" si="69"/>
        <v>0</v>
      </c>
      <c r="LC24" s="242"/>
      <c r="LD24" s="224"/>
      <c r="LE24" s="243"/>
      <c r="LF24" s="168">
        <f t="shared" si="70"/>
        <v>0</v>
      </c>
      <c r="LG24" s="168">
        <f t="shared" si="71"/>
        <v>0</v>
      </c>
      <c r="LL24" s="5"/>
    </row>
    <row r="25" spans="2:324">
      <c r="B25" s="93" t="s">
        <v>170</v>
      </c>
      <c r="C25" s="167"/>
      <c r="D25" s="181">
        <f t="shared" si="72"/>
        <v>0</v>
      </c>
      <c r="E25" s="167"/>
      <c r="F25" s="177">
        <v>4800.0029999999997</v>
      </c>
      <c r="G25" s="177"/>
      <c r="H25" s="177"/>
      <c r="I25" s="178"/>
      <c r="J25" s="181">
        <f t="shared" si="6"/>
        <v>4800.0029999999997</v>
      </c>
      <c r="K25" s="167">
        <v>2850</v>
      </c>
      <c r="L25" s="177"/>
      <c r="M25" s="177"/>
      <c r="N25" s="178"/>
      <c r="O25" s="181">
        <f t="shared" si="73"/>
        <v>2850</v>
      </c>
      <c r="P25" s="167"/>
      <c r="Q25" s="177"/>
      <c r="R25" s="177"/>
      <c r="S25" s="177"/>
      <c r="T25" s="178"/>
      <c r="U25" s="168">
        <f t="shared" si="25"/>
        <v>0</v>
      </c>
      <c r="V25" s="167"/>
      <c r="W25" s="177"/>
      <c r="X25" s="177"/>
      <c r="Y25" s="177"/>
      <c r="Z25" s="177">
        <v>240.001</v>
      </c>
      <c r="AA25" s="168">
        <f t="shared" si="26"/>
        <v>240.001</v>
      </c>
      <c r="AB25" s="168">
        <f t="shared" si="8"/>
        <v>7890.0039999999999</v>
      </c>
      <c r="AC25" s="242"/>
      <c r="AD25" s="224"/>
      <c r="AE25" s="224"/>
      <c r="AF25" s="224"/>
      <c r="AG25" s="243"/>
      <c r="AH25" s="168">
        <f t="shared" si="27"/>
        <v>0</v>
      </c>
      <c r="AI25" s="242"/>
      <c r="AJ25" s="224"/>
      <c r="AK25" s="224"/>
      <c r="AL25" s="224"/>
      <c r="AM25" s="243"/>
      <c r="AN25" s="168">
        <f t="shared" si="9"/>
        <v>0</v>
      </c>
      <c r="AO25" s="242"/>
      <c r="AP25" s="224"/>
      <c r="AQ25" s="224"/>
      <c r="AR25" s="224"/>
      <c r="AS25" s="243"/>
      <c r="AT25" s="168">
        <f t="shared" si="28"/>
        <v>0</v>
      </c>
      <c r="AU25" s="242"/>
      <c r="AV25" s="224"/>
      <c r="AW25" s="224"/>
      <c r="AX25" s="224"/>
      <c r="AY25" s="243"/>
      <c r="AZ25" s="168">
        <f t="shared" si="29"/>
        <v>0</v>
      </c>
      <c r="BA25" s="168">
        <f t="shared" si="30"/>
        <v>0</v>
      </c>
      <c r="BB25" s="242"/>
      <c r="BC25" s="224"/>
      <c r="BD25" s="224"/>
      <c r="BE25" s="224"/>
      <c r="BF25" s="243"/>
      <c r="BG25" s="168">
        <f t="shared" si="31"/>
        <v>0</v>
      </c>
      <c r="BH25" s="242"/>
      <c r="BI25" s="224"/>
      <c r="BJ25" s="224"/>
      <c r="BK25" s="224"/>
      <c r="BL25" s="243">
        <v>2073.752</v>
      </c>
      <c r="BM25" s="168">
        <f t="shared" si="10"/>
        <v>2073.752</v>
      </c>
      <c r="BN25" s="242"/>
      <c r="BO25" s="224"/>
      <c r="BP25" s="224"/>
      <c r="BQ25" s="243"/>
      <c r="BR25" s="168">
        <f t="shared" si="11"/>
        <v>0</v>
      </c>
      <c r="BS25" s="242"/>
      <c r="BT25" s="224"/>
      <c r="BU25" s="224"/>
      <c r="BV25" s="224"/>
      <c r="BW25" s="243"/>
      <c r="BX25" s="239">
        <f t="shared" si="12"/>
        <v>0</v>
      </c>
      <c r="BY25" s="242"/>
      <c r="BZ25" s="224"/>
      <c r="CA25" s="168">
        <f t="shared" si="13"/>
        <v>0</v>
      </c>
      <c r="CB25" s="168">
        <f t="shared" si="14"/>
        <v>2073.752</v>
      </c>
      <c r="CC25" s="242"/>
      <c r="CD25" s="224"/>
      <c r="CE25" s="224"/>
      <c r="CF25" s="168">
        <f t="shared" si="15"/>
        <v>0</v>
      </c>
      <c r="CG25" s="242"/>
      <c r="CH25" s="224"/>
      <c r="CI25" s="224"/>
      <c r="CJ25" s="243"/>
      <c r="CK25" s="168">
        <f t="shared" si="32"/>
        <v>0</v>
      </c>
      <c r="CL25" s="242"/>
      <c r="CM25" s="224">
        <v>2850</v>
      </c>
      <c r="CN25" s="224"/>
      <c r="CO25" s="224"/>
      <c r="CP25" s="243"/>
      <c r="CQ25" s="168">
        <f t="shared" si="33"/>
        <v>2850</v>
      </c>
      <c r="CR25" s="242"/>
      <c r="CS25" s="224">
        <v>2233.4540000000002</v>
      </c>
      <c r="CT25" s="224"/>
      <c r="CU25" s="224"/>
      <c r="CV25" s="243"/>
      <c r="CW25" s="168">
        <f t="shared" si="16"/>
        <v>2233.4540000000002</v>
      </c>
      <c r="CX25" s="242"/>
      <c r="CY25" s="224"/>
      <c r="CZ25" s="224"/>
      <c r="DA25" s="243"/>
      <c r="DB25" s="168">
        <f t="shared" si="17"/>
        <v>0</v>
      </c>
      <c r="DC25" s="168">
        <f t="shared" si="18"/>
        <v>5083.4539999999997</v>
      </c>
      <c r="DD25" s="242"/>
      <c r="DE25" s="224"/>
      <c r="DF25" s="224"/>
      <c r="DG25" s="224"/>
      <c r="DH25" s="224"/>
      <c r="DI25" s="168">
        <f t="shared" si="34"/>
        <v>0</v>
      </c>
      <c r="DJ25" s="242"/>
      <c r="DK25" s="224"/>
      <c r="DL25" s="224"/>
      <c r="DM25" s="224"/>
      <c r="DN25" s="243"/>
      <c r="DO25" s="168">
        <f t="shared" si="35"/>
        <v>0</v>
      </c>
      <c r="DP25" s="242"/>
      <c r="DQ25" s="224"/>
      <c r="DR25" s="224"/>
      <c r="DS25" s="224"/>
      <c r="DT25" s="243"/>
      <c r="DU25" s="168">
        <f t="shared" si="36"/>
        <v>0</v>
      </c>
      <c r="DV25" s="242"/>
      <c r="DW25" s="224"/>
      <c r="DX25" s="224"/>
      <c r="DY25" s="224"/>
      <c r="DZ25" s="243"/>
      <c r="EA25" s="168">
        <f t="shared" si="19"/>
        <v>0</v>
      </c>
      <c r="EB25" s="168">
        <f t="shared" si="37"/>
        <v>0</v>
      </c>
      <c r="EC25" s="242"/>
      <c r="ED25" s="224"/>
      <c r="EE25" s="224"/>
      <c r="EF25" s="224"/>
      <c r="EG25" s="243"/>
      <c r="EH25" s="168">
        <f t="shared" si="38"/>
        <v>0</v>
      </c>
      <c r="EI25" s="242"/>
      <c r="EJ25" s="224"/>
      <c r="EK25" s="224"/>
      <c r="EL25" s="224"/>
      <c r="EM25" s="243"/>
      <c r="EN25" s="168">
        <f t="shared" si="39"/>
        <v>0</v>
      </c>
      <c r="EO25" s="242"/>
      <c r="EP25" s="224"/>
      <c r="EQ25" s="224"/>
      <c r="ER25" s="224"/>
      <c r="ES25" s="243"/>
      <c r="ET25" s="168">
        <f t="shared" si="40"/>
        <v>0</v>
      </c>
      <c r="EU25" s="242"/>
      <c r="EV25" s="224"/>
      <c r="EW25" s="224"/>
      <c r="EX25" s="224"/>
      <c r="EY25" s="224"/>
      <c r="EZ25" s="224"/>
      <c r="FA25" s="243"/>
      <c r="FB25" s="168">
        <f t="shared" si="41"/>
        <v>0</v>
      </c>
      <c r="FC25" s="168">
        <f t="shared" si="42"/>
        <v>0</v>
      </c>
      <c r="FD25" s="242"/>
      <c r="FE25" s="224"/>
      <c r="FF25" s="243">
        <v>2073.752</v>
      </c>
      <c r="FG25" s="168">
        <f t="shared" si="43"/>
        <v>2073.752</v>
      </c>
      <c r="FH25" s="242">
        <v>5040</v>
      </c>
      <c r="FI25" s="224"/>
      <c r="FJ25" s="224"/>
      <c r="FK25" s="224"/>
      <c r="FL25" s="243"/>
      <c r="FM25" s="168">
        <f t="shared" si="44"/>
        <v>5040</v>
      </c>
      <c r="FN25" s="242">
        <v>2850</v>
      </c>
      <c r="FO25" s="224"/>
      <c r="FP25" s="224"/>
      <c r="FQ25" s="224"/>
      <c r="FR25" s="168">
        <f t="shared" si="45"/>
        <v>2850</v>
      </c>
      <c r="FS25" s="242"/>
      <c r="FT25" s="224"/>
      <c r="FU25" s="224"/>
      <c r="FV25" s="224"/>
      <c r="FW25" s="243"/>
      <c r="FX25" s="168">
        <f t="shared" si="46"/>
        <v>0</v>
      </c>
      <c r="FY25" s="242"/>
      <c r="FZ25" s="224"/>
      <c r="GA25" s="224"/>
      <c r="GB25" s="224"/>
      <c r="GC25" s="243"/>
      <c r="GD25" s="168">
        <f t="shared" si="47"/>
        <v>0</v>
      </c>
      <c r="GE25" s="168">
        <f t="shared" si="20"/>
        <v>9963.7520000000004</v>
      </c>
      <c r="GF25" s="242"/>
      <c r="GG25" s="224"/>
      <c r="GH25" s="224"/>
      <c r="GI25" s="224"/>
      <c r="GJ25" s="224"/>
      <c r="GK25" s="168">
        <f t="shared" si="48"/>
        <v>0</v>
      </c>
      <c r="GL25" s="242"/>
      <c r="GM25" s="224"/>
      <c r="GN25" s="224"/>
      <c r="GO25" s="243"/>
      <c r="GP25" s="168">
        <f t="shared" si="49"/>
        <v>0</v>
      </c>
      <c r="GQ25" s="242"/>
      <c r="GR25" s="224"/>
      <c r="GS25" s="224"/>
      <c r="GT25" s="224"/>
      <c r="GU25" s="243"/>
      <c r="GV25" s="168">
        <f t="shared" si="50"/>
        <v>0</v>
      </c>
      <c r="GW25" s="242"/>
      <c r="GX25" s="224"/>
      <c r="GY25" s="224"/>
      <c r="GZ25" s="224"/>
      <c r="HA25" s="224"/>
      <c r="HB25" s="243"/>
      <c r="HC25" s="168">
        <f t="shared" si="51"/>
        <v>0</v>
      </c>
      <c r="HD25" s="168">
        <f t="shared" si="21"/>
        <v>0</v>
      </c>
      <c r="HE25" s="242"/>
      <c r="HF25" s="224"/>
      <c r="HG25" s="224"/>
      <c r="HH25" s="224"/>
      <c r="HI25" s="168">
        <f t="shared" si="52"/>
        <v>0</v>
      </c>
      <c r="HJ25" s="242"/>
      <c r="HK25" s="224"/>
      <c r="HL25" s="224"/>
      <c r="HM25" s="224"/>
      <c r="HN25" s="243"/>
      <c r="HO25" s="168">
        <f t="shared" si="53"/>
        <v>0</v>
      </c>
      <c r="HP25" s="242"/>
      <c r="HQ25" s="224"/>
      <c r="HR25" s="224"/>
      <c r="HS25" s="224"/>
      <c r="HT25" s="243"/>
      <c r="HU25" s="168">
        <f t="shared" si="54"/>
        <v>0</v>
      </c>
      <c r="HV25" s="242"/>
      <c r="HW25" s="224"/>
      <c r="HX25" s="224"/>
      <c r="HY25" s="168">
        <f t="shared" si="22"/>
        <v>0</v>
      </c>
      <c r="HZ25" s="242"/>
      <c r="IA25" s="224"/>
      <c r="IB25" s="243"/>
      <c r="IC25" s="168">
        <f t="shared" si="55"/>
        <v>0</v>
      </c>
      <c r="ID25" s="168">
        <f t="shared" si="23"/>
        <v>0</v>
      </c>
      <c r="IE25" s="242"/>
      <c r="IF25" s="243"/>
      <c r="IG25" s="168">
        <f t="shared" si="56"/>
        <v>0</v>
      </c>
      <c r="IH25" s="242"/>
      <c r="II25" s="224"/>
      <c r="IJ25" s="224"/>
      <c r="IK25" s="224"/>
      <c r="IL25" s="243"/>
      <c r="IM25" s="168">
        <f t="shared" si="57"/>
        <v>0</v>
      </c>
      <c r="IN25" s="242">
        <v>2992.4989999999998</v>
      </c>
      <c r="IO25" s="224"/>
      <c r="IP25" s="243"/>
      <c r="IQ25" s="168">
        <f t="shared" si="58"/>
        <v>2992.4989999999998</v>
      </c>
      <c r="IR25" s="242"/>
      <c r="IS25" s="224"/>
      <c r="IT25" s="224"/>
      <c r="IU25" s="224"/>
      <c r="IV25" s="243"/>
      <c r="IW25" s="168">
        <f t="shared" si="59"/>
        <v>0</v>
      </c>
      <c r="IX25" s="242"/>
      <c r="IY25" s="224"/>
      <c r="IZ25" s="224"/>
      <c r="JA25" s="224"/>
      <c r="JB25" s="243"/>
      <c r="JC25" s="168">
        <f t="shared" si="60"/>
        <v>0</v>
      </c>
      <c r="JD25" s="168">
        <f t="shared" si="24"/>
        <v>2992.4989999999998</v>
      </c>
      <c r="JE25" s="242"/>
      <c r="JF25" s="224"/>
      <c r="JG25" s="224"/>
      <c r="JH25" s="224"/>
      <c r="JI25" s="243"/>
      <c r="JJ25" s="168">
        <f t="shared" si="61"/>
        <v>0</v>
      </c>
      <c r="JK25" s="242"/>
      <c r="JL25" s="224"/>
      <c r="JM25" s="224"/>
      <c r="JN25" s="224"/>
      <c r="JO25" s="243"/>
      <c r="JP25" s="168">
        <f t="shared" si="62"/>
        <v>0</v>
      </c>
      <c r="JQ25" s="242"/>
      <c r="JR25" s="224"/>
      <c r="JS25" s="224"/>
      <c r="JT25" s="224"/>
      <c r="JU25" s="243"/>
      <c r="JV25" s="168">
        <f t="shared" si="63"/>
        <v>0</v>
      </c>
      <c r="JW25" s="242"/>
      <c r="JX25" s="224"/>
      <c r="JY25" s="224"/>
      <c r="JZ25" s="224"/>
      <c r="KA25" s="224"/>
      <c r="KB25" s="243"/>
      <c r="KC25" s="168">
        <f t="shared" si="64"/>
        <v>0</v>
      </c>
      <c r="KD25" s="168">
        <f t="shared" si="65"/>
        <v>0</v>
      </c>
      <c r="KE25" s="242"/>
      <c r="KF25" s="224"/>
      <c r="KG25" s="224"/>
      <c r="KH25" s="224"/>
      <c r="KI25" s="243"/>
      <c r="KJ25" s="168">
        <f t="shared" si="66"/>
        <v>0</v>
      </c>
      <c r="KK25" s="242"/>
      <c r="KL25" s="224"/>
      <c r="KM25" s="224"/>
      <c r="KN25" s="224"/>
      <c r="KO25" s="243"/>
      <c r="KP25" s="168">
        <f t="shared" si="67"/>
        <v>0</v>
      </c>
      <c r="KQ25" s="242"/>
      <c r="KR25" s="224"/>
      <c r="KS25" s="224"/>
      <c r="KT25" s="224"/>
      <c r="KU25" s="243"/>
      <c r="KV25" s="168">
        <f t="shared" si="68"/>
        <v>0</v>
      </c>
      <c r="KW25" s="242"/>
      <c r="KX25" s="224"/>
      <c r="KY25" s="224"/>
      <c r="KZ25" s="224"/>
      <c r="LA25" s="243"/>
      <c r="LB25" s="168">
        <f t="shared" si="69"/>
        <v>0</v>
      </c>
      <c r="LC25" s="242"/>
      <c r="LD25" s="224"/>
      <c r="LE25" s="243"/>
      <c r="LF25" s="168">
        <f t="shared" si="70"/>
        <v>0</v>
      </c>
      <c r="LG25" s="168">
        <f t="shared" si="71"/>
        <v>0</v>
      </c>
    </row>
    <row r="26" spans="2:324">
      <c r="B26" s="93" t="s">
        <v>88</v>
      </c>
      <c r="C26" s="167"/>
      <c r="D26" s="181">
        <f t="shared" si="72"/>
        <v>0</v>
      </c>
      <c r="E26" s="167"/>
      <c r="F26" s="177"/>
      <c r="G26" s="177"/>
      <c r="H26" s="177"/>
      <c r="I26" s="178"/>
      <c r="J26" s="181">
        <f t="shared" si="6"/>
        <v>0</v>
      </c>
      <c r="K26" s="167"/>
      <c r="L26" s="177"/>
      <c r="M26" s="177"/>
      <c r="N26" s="178"/>
      <c r="O26" s="181">
        <f t="shared" si="73"/>
        <v>0</v>
      </c>
      <c r="P26" s="167"/>
      <c r="Q26" s="177"/>
      <c r="R26" s="177"/>
      <c r="S26" s="177"/>
      <c r="T26" s="178"/>
      <c r="U26" s="168">
        <f t="shared" si="25"/>
        <v>0</v>
      </c>
      <c r="V26" s="167">
        <v>2086.7199999999998</v>
      </c>
      <c r="W26" s="177"/>
      <c r="X26" s="177">
        <v>1976.403</v>
      </c>
      <c r="Y26" s="177"/>
      <c r="Z26" s="177">
        <v>590</v>
      </c>
      <c r="AA26" s="168">
        <f t="shared" si="26"/>
        <v>4653.1229999999996</v>
      </c>
      <c r="AB26" s="168">
        <f t="shared" si="8"/>
        <v>4653.1229999999996</v>
      </c>
      <c r="AC26" s="242"/>
      <c r="AD26" s="224">
        <v>921.83799999999997</v>
      </c>
      <c r="AE26" s="224"/>
      <c r="AF26" s="224"/>
      <c r="AG26" s="243">
        <v>1324.912</v>
      </c>
      <c r="AH26" s="168">
        <f t="shared" si="27"/>
        <v>2246.75</v>
      </c>
      <c r="AI26" s="242">
        <v>106.34</v>
      </c>
      <c r="AJ26" s="224"/>
      <c r="AK26" s="224"/>
      <c r="AL26" s="224"/>
      <c r="AM26" s="243"/>
      <c r="AN26" s="168">
        <f t="shared" si="9"/>
        <v>106.34</v>
      </c>
      <c r="AO26" s="242">
        <f>1976.403+1976.403</f>
        <v>3952.806</v>
      </c>
      <c r="AP26" s="224"/>
      <c r="AQ26" s="224"/>
      <c r="AR26" s="224"/>
      <c r="AS26" s="243">
        <f>1528.356+160+368.313</f>
        <v>2056.6689999999999</v>
      </c>
      <c r="AT26" s="168">
        <f t="shared" si="28"/>
        <v>6009.4750000000004</v>
      </c>
      <c r="AU26" s="242"/>
      <c r="AV26" s="224"/>
      <c r="AW26" s="224">
        <v>877.1</v>
      </c>
      <c r="AX26" s="224"/>
      <c r="AY26" s="243">
        <v>793.15899999999999</v>
      </c>
      <c r="AZ26" s="168">
        <f t="shared" si="29"/>
        <v>1670.259</v>
      </c>
      <c r="BA26" s="168">
        <f t="shared" si="30"/>
        <v>10032.824000000001</v>
      </c>
      <c r="BB26" s="242"/>
      <c r="BC26" s="224">
        <f>1599.887+3076.291</f>
        <v>4676.1779999999999</v>
      </c>
      <c r="BD26" s="224"/>
      <c r="BE26" s="224"/>
      <c r="BF26" s="243"/>
      <c r="BG26" s="168">
        <f t="shared" si="31"/>
        <v>4676.1779999999999</v>
      </c>
      <c r="BH26" s="242"/>
      <c r="BI26" s="224">
        <v>509.16399999999999</v>
      </c>
      <c r="BJ26" s="224"/>
      <c r="BK26" s="224"/>
      <c r="BL26" s="243"/>
      <c r="BM26" s="168">
        <f t="shared" si="10"/>
        <v>509.16399999999999</v>
      </c>
      <c r="BN26" s="242"/>
      <c r="BO26" s="224">
        <f>2942.416+262.46+226.823</f>
        <v>3431.6990000000001</v>
      </c>
      <c r="BP26" s="224">
        <v>407.5</v>
      </c>
      <c r="BQ26" s="243">
        <v>93.46</v>
      </c>
      <c r="BR26" s="168">
        <f t="shared" si="11"/>
        <v>3932.6590000000001</v>
      </c>
      <c r="BS26" s="242"/>
      <c r="BT26" s="224"/>
      <c r="BU26" s="224"/>
      <c r="BV26" s="224">
        <v>1976.403</v>
      </c>
      <c r="BW26" s="243"/>
      <c r="BX26" s="239">
        <f t="shared" si="12"/>
        <v>1976.403</v>
      </c>
      <c r="BY26" s="242"/>
      <c r="BZ26" s="224">
        <v>1536.0550000000001</v>
      </c>
      <c r="CA26" s="168">
        <f t="shared" si="13"/>
        <v>1536.0550000000001</v>
      </c>
      <c r="CB26" s="168">
        <f t="shared" si="14"/>
        <v>12630.458999999999</v>
      </c>
      <c r="CC26" s="242"/>
      <c r="CD26" s="224">
        <v>270.49900000000002</v>
      </c>
      <c r="CE26" s="224"/>
      <c r="CF26" s="168">
        <f t="shared" si="15"/>
        <v>270.49900000000002</v>
      </c>
      <c r="CG26" s="242">
        <f>1472.809+5852</f>
        <v>7324.8090000000002</v>
      </c>
      <c r="CH26" s="224"/>
      <c r="CI26" s="224"/>
      <c r="CJ26" s="243">
        <v>1307.6130000000001</v>
      </c>
      <c r="CK26" s="168">
        <f t="shared" si="32"/>
        <v>8632.4220000000005</v>
      </c>
      <c r="CL26" s="242"/>
      <c r="CM26" s="224"/>
      <c r="CN26" s="224">
        <v>1976.403</v>
      </c>
      <c r="CO26" s="224"/>
      <c r="CP26" s="243"/>
      <c r="CQ26" s="168">
        <f t="shared" si="33"/>
        <v>1976.403</v>
      </c>
      <c r="CR26" s="242"/>
      <c r="CS26" s="224"/>
      <c r="CT26" s="224"/>
      <c r="CU26" s="224"/>
      <c r="CV26" s="243"/>
      <c r="CW26" s="168">
        <f t="shared" si="16"/>
        <v>0</v>
      </c>
      <c r="CX26" s="242">
        <f>1883.354+2877.098</f>
        <v>4760.4520000000002</v>
      </c>
      <c r="CY26" s="224"/>
      <c r="CZ26" s="224">
        <v>3894.3969999999999</v>
      </c>
      <c r="DA26" s="243"/>
      <c r="DB26" s="168">
        <f t="shared" si="17"/>
        <v>8654.8490000000002</v>
      </c>
      <c r="DC26" s="168">
        <f t="shared" si="18"/>
        <v>19534.172999999999</v>
      </c>
      <c r="DD26" s="242"/>
      <c r="DE26" s="224">
        <v>170.94</v>
      </c>
      <c r="DF26" s="224">
        <v>1172.646</v>
      </c>
      <c r="DG26" s="224"/>
      <c r="DH26" s="224">
        <v>737.12699999999995</v>
      </c>
      <c r="DI26" s="168">
        <f t="shared" si="34"/>
        <v>2080.7129999999997</v>
      </c>
      <c r="DJ26" s="242">
        <v>675.5</v>
      </c>
      <c r="DK26" s="224">
        <v>1284.2149999999999</v>
      </c>
      <c r="DL26" s="224"/>
      <c r="DM26" s="224"/>
      <c r="DN26" s="243">
        <f>390.82+1012.226+2094.203</f>
        <v>3497.2489999999998</v>
      </c>
      <c r="DO26" s="168">
        <f t="shared" si="35"/>
        <v>5456.9639999999999</v>
      </c>
      <c r="DP26" s="242">
        <v>1206.8440000000001</v>
      </c>
      <c r="DQ26" s="224"/>
      <c r="DR26" s="224"/>
      <c r="DS26" s="224">
        <f>161.78+1976.403</f>
        <v>2138.183</v>
      </c>
      <c r="DT26" s="243"/>
      <c r="DU26" s="168">
        <f t="shared" si="36"/>
        <v>3345.027</v>
      </c>
      <c r="DV26" s="242">
        <v>2000</v>
      </c>
      <c r="DW26" s="224"/>
      <c r="DX26" s="224"/>
      <c r="DY26" s="224">
        <v>1516.35</v>
      </c>
      <c r="DZ26" s="243"/>
      <c r="EA26" s="168">
        <f t="shared" si="19"/>
        <v>3516.35</v>
      </c>
      <c r="EB26" s="168">
        <f t="shared" si="37"/>
        <v>14399.054</v>
      </c>
      <c r="EC26" s="242"/>
      <c r="ED26" s="224"/>
      <c r="EE26" s="224"/>
      <c r="EF26" s="224"/>
      <c r="EG26" s="243"/>
      <c r="EH26" s="168">
        <f t="shared" si="38"/>
        <v>0</v>
      </c>
      <c r="EI26" s="242"/>
      <c r="EJ26" s="224"/>
      <c r="EK26" s="224">
        <v>255</v>
      </c>
      <c r="EL26" s="224">
        <v>899.65</v>
      </c>
      <c r="EM26" s="243"/>
      <c r="EN26" s="168">
        <f t="shared" si="39"/>
        <v>1154.6500000000001</v>
      </c>
      <c r="EO26" s="242">
        <f>142.1+1976.403</f>
        <v>2118.5030000000002</v>
      </c>
      <c r="EP26" s="224">
        <v>2050.5479999999998</v>
      </c>
      <c r="EQ26" s="224"/>
      <c r="ER26" s="224">
        <v>273.95</v>
      </c>
      <c r="ES26" s="243"/>
      <c r="ET26" s="168">
        <f t="shared" si="40"/>
        <v>4443.0009999999993</v>
      </c>
      <c r="EU26" s="242"/>
      <c r="EV26" s="224">
        <f>814.7+4000</f>
        <v>4814.7</v>
      </c>
      <c r="EW26" s="224"/>
      <c r="EX26" s="224"/>
      <c r="EY26" s="224"/>
      <c r="EZ26" s="224">
        <v>1667.04</v>
      </c>
      <c r="FA26" s="243"/>
      <c r="FB26" s="168">
        <f t="shared" si="41"/>
        <v>6481.74</v>
      </c>
      <c r="FC26" s="168">
        <f t="shared" si="42"/>
        <v>12079.391</v>
      </c>
      <c r="FD26" s="242"/>
      <c r="FE26" s="224"/>
      <c r="FF26" s="243">
        <v>71.3</v>
      </c>
      <c r="FG26" s="168">
        <f t="shared" si="43"/>
        <v>71.3</v>
      </c>
      <c r="FH26" s="242"/>
      <c r="FI26" s="224"/>
      <c r="FJ26" s="224"/>
      <c r="FK26" s="224"/>
      <c r="FL26" s="243">
        <v>2547.6309999999999</v>
      </c>
      <c r="FM26" s="168">
        <f t="shared" si="44"/>
        <v>2547.6309999999999</v>
      </c>
      <c r="FN26" s="242"/>
      <c r="FO26" s="224"/>
      <c r="FP26" s="224"/>
      <c r="FQ26" s="224">
        <v>1976.403</v>
      </c>
      <c r="FR26" s="168">
        <f t="shared" si="45"/>
        <v>1976.403</v>
      </c>
      <c r="FS26" s="242">
        <v>391.64</v>
      </c>
      <c r="FT26" s="224">
        <v>956.41800000000001</v>
      </c>
      <c r="FU26" s="224"/>
      <c r="FV26" s="224"/>
      <c r="FW26" s="243"/>
      <c r="FX26" s="168">
        <v>5000</v>
      </c>
      <c r="FY26" s="242"/>
      <c r="FZ26" s="224"/>
      <c r="GA26" s="224"/>
      <c r="GB26" s="224"/>
      <c r="GC26" s="243"/>
      <c r="GD26" s="168">
        <f t="shared" si="47"/>
        <v>0</v>
      </c>
      <c r="GE26" s="168">
        <f t="shared" si="20"/>
        <v>9595.3339999999989</v>
      </c>
      <c r="GF26" s="242"/>
      <c r="GG26" s="224"/>
      <c r="GH26" s="224">
        <v>447.15</v>
      </c>
      <c r="GI26" s="224">
        <v>1311</v>
      </c>
      <c r="GJ26" s="224">
        <f>59.86+118.5</f>
        <v>178.36</v>
      </c>
      <c r="GK26" s="168">
        <f t="shared" si="48"/>
        <v>1936.5100000000002</v>
      </c>
      <c r="GL26" s="242"/>
      <c r="GM26" s="224"/>
      <c r="GN26" s="224"/>
      <c r="GO26" s="243"/>
      <c r="GP26" s="168">
        <f t="shared" si="49"/>
        <v>0</v>
      </c>
      <c r="GQ26" s="242"/>
      <c r="GR26" s="224"/>
      <c r="GS26" s="224"/>
      <c r="GT26" s="224"/>
      <c r="GU26" s="243">
        <v>1647.2929999999999</v>
      </c>
      <c r="GV26" s="168">
        <f t="shared" si="50"/>
        <v>1647.2929999999999</v>
      </c>
      <c r="GW26" s="242">
        <v>1976.403</v>
      </c>
      <c r="GX26" s="224"/>
      <c r="GY26" s="224"/>
      <c r="GZ26" s="224"/>
      <c r="HA26" s="224"/>
      <c r="HB26" s="243"/>
      <c r="HC26" s="168">
        <f t="shared" si="51"/>
        <v>1976.403</v>
      </c>
      <c r="HD26" s="168">
        <f t="shared" si="21"/>
        <v>5560.2060000000001</v>
      </c>
      <c r="HE26" s="242">
        <v>1926.5429999999999</v>
      </c>
      <c r="HF26" s="224"/>
      <c r="HG26" s="224">
        <v>35.9</v>
      </c>
      <c r="HH26" s="224"/>
      <c r="HI26" s="168">
        <f t="shared" si="52"/>
        <v>1962.443</v>
      </c>
      <c r="HJ26" s="242"/>
      <c r="HK26" s="224">
        <v>490.68700000000001</v>
      </c>
      <c r="HL26" s="224"/>
      <c r="HM26" s="224">
        <v>715.76</v>
      </c>
      <c r="HN26" s="243">
        <f>113.125+78.9</f>
        <v>192.02500000000001</v>
      </c>
      <c r="HO26" s="168">
        <f t="shared" si="53"/>
        <v>1398.4720000000002</v>
      </c>
      <c r="HP26" s="242"/>
      <c r="HQ26" s="224">
        <v>1647.02</v>
      </c>
      <c r="HR26" s="224"/>
      <c r="HS26" s="224"/>
      <c r="HT26" s="243"/>
      <c r="HU26" s="168">
        <f t="shared" si="54"/>
        <v>1647.02</v>
      </c>
      <c r="HV26" s="242"/>
      <c r="HW26" s="224"/>
      <c r="HX26" s="224">
        <v>617.13</v>
      </c>
      <c r="HY26" s="168">
        <f t="shared" si="22"/>
        <v>617.13</v>
      </c>
      <c r="HZ26" s="242"/>
      <c r="IA26" s="224"/>
      <c r="IB26" s="243"/>
      <c r="IC26" s="168">
        <f t="shared" si="55"/>
        <v>0</v>
      </c>
      <c r="ID26" s="168">
        <f t="shared" si="23"/>
        <v>5625.0649999999996</v>
      </c>
      <c r="IE26" s="242">
        <v>1976.403</v>
      </c>
      <c r="IF26" s="243"/>
      <c r="IG26" s="168">
        <f t="shared" si="56"/>
        <v>1976.403</v>
      </c>
      <c r="IH26" s="242"/>
      <c r="II26" s="224"/>
      <c r="IJ26" s="224">
        <f>2113.579+1688.635</f>
        <v>3802.2139999999999</v>
      </c>
      <c r="IK26" s="224"/>
      <c r="IL26" s="243"/>
      <c r="IM26" s="168">
        <f t="shared" si="57"/>
        <v>3802.2139999999999</v>
      </c>
      <c r="IN26" s="242"/>
      <c r="IO26" s="224"/>
      <c r="IP26" s="243">
        <f>600+1104.627</f>
        <v>1704.627</v>
      </c>
      <c r="IQ26" s="168">
        <f t="shared" si="58"/>
        <v>1704.627</v>
      </c>
      <c r="IR26" s="242">
        <v>5554.2889999999998</v>
      </c>
      <c r="IS26" s="224">
        <v>300</v>
      </c>
      <c r="IT26" s="224"/>
      <c r="IU26" s="224">
        <v>2243.875</v>
      </c>
      <c r="IV26" s="243"/>
      <c r="IW26" s="168">
        <f t="shared" si="59"/>
        <v>8098.1639999999998</v>
      </c>
      <c r="IX26" s="242"/>
      <c r="IY26" s="224"/>
      <c r="IZ26" s="224"/>
      <c r="JA26" s="224"/>
      <c r="JB26" s="243">
        <f>1976.403+2953.194</f>
        <v>4929.5969999999998</v>
      </c>
      <c r="JC26" s="168">
        <f t="shared" si="60"/>
        <v>4929.5969999999998</v>
      </c>
      <c r="JD26" s="168">
        <f t="shared" si="24"/>
        <v>20511.004999999997</v>
      </c>
      <c r="JE26" s="242"/>
      <c r="JF26" s="224"/>
      <c r="JG26" s="224"/>
      <c r="JH26" s="224"/>
      <c r="JI26" s="243"/>
      <c r="JJ26" s="168">
        <f t="shared" si="61"/>
        <v>0</v>
      </c>
      <c r="JK26" s="242"/>
      <c r="JL26" s="224"/>
      <c r="JM26" s="224"/>
      <c r="JN26" s="224"/>
      <c r="JO26" s="243"/>
      <c r="JP26" s="168">
        <f t="shared" si="62"/>
        <v>0</v>
      </c>
      <c r="JQ26" s="242"/>
      <c r="JR26" s="224"/>
      <c r="JS26" s="224"/>
      <c r="JT26" s="224"/>
      <c r="JU26" s="243"/>
      <c r="JV26" s="168">
        <f t="shared" si="63"/>
        <v>0</v>
      </c>
      <c r="JW26" s="242"/>
      <c r="JX26" s="224"/>
      <c r="JY26" s="224"/>
      <c r="JZ26" s="224"/>
      <c r="KA26" s="224"/>
      <c r="KB26" s="243"/>
      <c r="KC26" s="168">
        <f t="shared" si="64"/>
        <v>0</v>
      </c>
      <c r="KD26" s="168">
        <f t="shared" si="65"/>
        <v>0</v>
      </c>
      <c r="KE26" s="242"/>
      <c r="KF26" s="224"/>
      <c r="KG26" s="224"/>
      <c r="KH26" s="224"/>
      <c r="KI26" s="243"/>
      <c r="KJ26" s="168">
        <f t="shared" si="66"/>
        <v>0</v>
      </c>
      <c r="KK26" s="242"/>
      <c r="KL26" s="224"/>
      <c r="KM26" s="224"/>
      <c r="KN26" s="224"/>
      <c r="KO26" s="243"/>
      <c r="KP26" s="168">
        <f t="shared" si="67"/>
        <v>0</v>
      </c>
      <c r="KQ26" s="242"/>
      <c r="KR26" s="224"/>
      <c r="KS26" s="224"/>
      <c r="KT26" s="224"/>
      <c r="KU26" s="243"/>
      <c r="KV26" s="168">
        <f t="shared" si="68"/>
        <v>0</v>
      </c>
      <c r="KW26" s="242"/>
      <c r="KX26" s="224"/>
      <c r="KY26" s="224"/>
      <c r="KZ26" s="224"/>
      <c r="LA26" s="243"/>
      <c r="LB26" s="168">
        <f t="shared" si="69"/>
        <v>0</v>
      </c>
      <c r="LC26" s="242"/>
      <c r="LD26" s="224"/>
      <c r="LE26" s="243"/>
      <c r="LF26" s="168">
        <f t="shared" si="70"/>
        <v>0</v>
      </c>
      <c r="LG26" s="168">
        <v>20000</v>
      </c>
    </row>
    <row r="27" spans="2:324">
      <c r="B27" s="93" t="s">
        <v>89</v>
      </c>
      <c r="C27" s="167"/>
      <c r="D27" s="181">
        <f t="shared" si="72"/>
        <v>0</v>
      </c>
      <c r="E27" s="167"/>
      <c r="F27" s="177"/>
      <c r="G27" s="177"/>
      <c r="H27" s="177"/>
      <c r="I27" s="178">
        <v>7380</v>
      </c>
      <c r="J27" s="181">
        <f t="shared" si="6"/>
        <v>7380</v>
      </c>
      <c r="K27" s="167"/>
      <c r="L27" s="177"/>
      <c r="M27" s="177"/>
      <c r="N27" s="178"/>
      <c r="O27" s="181">
        <f t="shared" si="73"/>
        <v>0</v>
      </c>
      <c r="P27" s="167"/>
      <c r="Q27" s="177"/>
      <c r="R27" s="177"/>
      <c r="S27" s="177"/>
      <c r="T27" s="178"/>
      <c r="U27" s="168">
        <f t="shared" si="25"/>
        <v>0</v>
      </c>
      <c r="V27" s="167"/>
      <c r="W27" s="177"/>
      <c r="X27" s="177"/>
      <c r="Y27" s="177"/>
      <c r="Z27" s="177">
        <v>30727.24</v>
      </c>
      <c r="AA27" s="168">
        <f t="shared" si="26"/>
        <v>30727.24</v>
      </c>
      <c r="AB27" s="168">
        <f t="shared" si="8"/>
        <v>38107.240000000005</v>
      </c>
      <c r="AC27" s="242"/>
      <c r="AD27" s="224"/>
      <c r="AE27" s="224"/>
      <c r="AF27" s="224">
        <v>1040</v>
      </c>
      <c r="AG27" s="243"/>
      <c r="AH27" s="168">
        <f t="shared" si="27"/>
        <v>1040</v>
      </c>
      <c r="AI27" s="242"/>
      <c r="AJ27" s="224">
        <v>40</v>
      </c>
      <c r="AK27" s="224"/>
      <c r="AL27" s="224"/>
      <c r="AM27" s="243"/>
      <c r="AN27" s="168">
        <f t="shared" si="9"/>
        <v>40</v>
      </c>
      <c r="AO27" s="242"/>
      <c r="AP27" s="224"/>
      <c r="AQ27" s="224"/>
      <c r="AR27" s="224"/>
      <c r="AS27" s="243"/>
      <c r="AT27" s="168">
        <f t="shared" si="28"/>
        <v>0</v>
      </c>
      <c r="AU27" s="242"/>
      <c r="AV27" s="224"/>
      <c r="AW27" s="224">
        <v>75</v>
      </c>
      <c r="AX27" s="224"/>
      <c r="AY27" s="243"/>
      <c r="AZ27" s="168">
        <f t="shared" si="29"/>
        <v>75</v>
      </c>
      <c r="BA27" s="168">
        <f t="shared" si="30"/>
        <v>1155</v>
      </c>
      <c r="BB27" s="242"/>
      <c r="BC27" s="224"/>
      <c r="BD27" s="224">
        <f>9331.877+23217.544</f>
        <v>32549.421000000002</v>
      </c>
      <c r="BE27" s="224"/>
      <c r="BF27" s="243"/>
      <c r="BG27" s="168">
        <f t="shared" si="31"/>
        <v>32549.421000000002</v>
      </c>
      <c r="BH27" s="242"/>
      <c r="BI27" s="224"/>
      <c r="BJ27" s="224"/>
      <c r="BK27" s="224"/>
      <c r="BL27" s="243"/>
      <c r="BM27" s="168">
        <f t="shared" si="10"/>
        <v>0</v>
      </c>
      <c r="BN27" s="242"/>
      <c r="BO27" s="224"/>
      <c r="BP27" s="224"/>
      <c r="BQ27" s="243"/>
      <c r="BR27" s="168">
        <f t="shared" si="11"/>
        <v>0</v>
      </c>
      <c r="BS27" s="242"/>
      <c r="BT27" s="224"/>
      <c r="BU27" s="224"/>
      <c r="BV27" s="224"/>
      <c r="BW27" s="243">
        <v>120</v>
      </c>
      <c r="BX27" s="239">
        <f t="shared" si="12"/>
        <v>120</v>
      </c>
      <c r="BY27" s="242"/>
      <c r="BZ27" s="224"/>
      <c r="CA27" s="168">
        <f t="shared" si="13"/>
        <v>0</v>
      </c>
      <c r="CB27" s="168">
        <f t="shared" si="14"/>
        <v>32669.421000000002</v>
      </c>
      <c r="CC27" s="242">
        <v>23143.82</v>
      </c>
      <c r="CD27" s="224"/>
      <c r="CE27" s="224">
        <v>75</v>
      </c>
      <c r="CF27" s="168">
        <f t="shared" si="15"/>
        <v>23218.82</v>
      </c>
      <c r="CG27" s="242"/>
      <c r="CH27" s="224"/>
      <c r="CI27" s="224"/>
      <c r="CJ27" s="243"/>
      <c r="CK27" s="168">
        <f t="shared" si="32"/>
        <v>0</v>
      </c>
      <c r="CL27" s="242"/>
      <c r="CM27" s="224">
        <v>170</v>
      </c>
      <c r="CN27" s="224"/>
      <c r="CO27" s="224"/>
      <c r="CP27" s="243"/>
      <c r="CQ27" s="168">
        <f t="shared" si="33"/>
        <v>170</v>
      </c>
      <c r="CR27" s="242"/>
      <c r="CS27" s="224"/>
      <c r="CT27" s="224"/>
      <c r="CU27" s="224"/>
      <c r="CV27" s="243"/>
      <c r="CW27" s="168">
        <f t="shared" si="16"/>
        <v>0</v>
      </c>
      <c r="CX27" s="242"/>
      <c r="CY27" s="224"/>
      <c r="CZ27" s="224"/>
      <c r="DA27" s="243">
        <f>180+17993.554</f>
        <v>18173.554</v>
      </c>
      <c r="DB27" s="168">
        <f t="shared" si="17"/>
        <v>18173.554</v>
      </c>
      <c r="DC27" s="168">
        <f t="shared" si="18"/>
        <v>41562.373999999996</v>
      </c>
      <c r="DD27" s="242"/>
      <c r="DE27" s="224"/>
      <c r="DF27" s="224"/>
      <c r="DG27" s="224"/>
      <c r="DH27" s="224">
        <v>311.27999999999997</v>
      </c>
      <c r="DI27" s="168">
        <f t="shared" si="34"/>
        <v>311.27999999999997</v>
      </c>
      <c r="DJ27" s="242"/>
      <c r="DK27" s="224"/>
      <c r="DL27" s="224"/>
      <c r="DM27" s="224"/>
      <c r="DN27" s="243"/>
      <c r="DO27" s="168">
        <f t="shared" si="35"/>
        <v>0</v>
      </c>
      <c r="DP27" s="242"/>
      <c r="DQ27" s="224"/>
      <c r="DR27" s="224"/>
      <c r="DS27" s="224"/>
      <c r="DT27" s="243"/>
      <c r="DU27" s="168">
        <f t="shared" si="36"/>
        <v>0</v>
      </c>
      <c r="DV27" s="242"/>
      <c r="DW27" s="224"/>
      <c r="DX27" s="224"/>
      <c r="DY27" s="224"/>
      <c r="DZ27" s="243"/>
      <c r="EA27" s="168">
        <f t="shared" si="19"/>
        <v>0</v>
      </c>
      <c r="EB27" s="168">
        <f t="shared" si="37"/>
        <v>311.27999999999997</v>
      </c>
      <c r="EC27" s="242">
        <v>17371.465</v>
      </c>
      <c r="ED27" s="224"/>
      <c r="EE27" s="224"/>
      <c r="EF27" s="224"/>
      <c r="EG27" s="243"/>
      <c r="EH27" s="168">
        <f t="shared" si="38"/>
        <v>17371.465</v>
      </c>
      <c r="EI27" s="242"/>
      <c r="EJ27" s="224"/>
      <c r="EK27" s="224"/>
      <c r="EL27" s="224"/>
      <c r="EM27" s="243"/>
      <c r="EN27" s="168">
        <f t="shared" si="39"/>
        <v>0</v>
      </c>
      <c r="EO27" s="242"/>
      <c r="EP27" s="224"/>
      <c r="EQ27" s="224"/>
      <c r="ER27" s="224"/>
      <c r="ES27" s="243"/>
      <c r="ET27" s="168">
        <f t="shared" si="40"/>
        <v>0</v>
      </c>
      <c r="EU27" s="242"/>
      <c r="EV27" s="224"/>
      <c r="EW27" s="224"/>
      <c r="EX27" s="224"/>
      <c r="EY27" s="224"/>
      <c r="EZ27" s="224"/>
      <c r="FA27" s="243">
        <v>19157.310000000001</v>
      </c>
      <c r="FB27" s="168">
        <f t="shared" si="41"/>
        <v>19157.310000000001</v>
      </c>
      <c r="FC27" s="168">
        <f t="shared" si="42"/>
        <v>36528.775000000001</v>
      </c>
      <c r="FD27" s="242"/>
      <c r="FE27" s="224"/>
      <c r="FF27" s="243"/>
      <c r="FG27" s="168">
        <f t="shared" si="43"/>
        <v>0</v>
      </c>
      <c r="FH27" s="242"/>
      <c r="FI27" s="224"/>
      <c r="FJ27" s="224"/>
      <c r="FK27" s="224"/>
      <c r="FL27" s="243"/>
      <c r="FM27" s="168">
        <f t="shared" si="44"/>
        <v>0</v>
      </c>
      <c r="FN27" s="242">
        <v>197.685</v>
      </c>
      <c r="FO27" s="224"/>
      <c r="FP27" s="224">
        <v>787.65</v>
      </c>
      <c r="FQ27" s="224"/>
      <c r="FR27" s="168">
        <f t="shared" si="45"/>
        <v>985.33500000000004</v>
      </c>
      <c r="FS27" s="242"/>
      <c r="FT27" s="224"/>
      <c r="FU27" s="224"/>
      <c r="FV27" s="224"/>
      <c r="FW27" s="243"/>
      <c r="FX27" s="168">
        <f t="shared" si="46"/>
        <v>0</v>
      </c>
      <c r="FY27" s="242"/>
      <c r="FZ27" s="224"/>
      <c r="GA27" s="224"/>
      <c r="GB27" s="224">
        <v>64201.269</v>
      </c>
      <c r="GC27" s="243"/>
      <c r="GD27" s="168">
        <f t="shared" si="47"/>
        <v>64201.269</v>
      </c>
      <c r="GE27" s="168">
        <f t="shared" si="20"/>
        <v>65186.603999999999</v>
      </c>
      <c r="GF27" s="242"/>
      <c r="GG27" s="224"/>
      <c r="GH27" s="224"/>
      <c r="GI27" s="224"/>
      <c r="GJ27" s="224"/>
      <c r="GK27" s="168">
        <f t="shared" si="48"/>
        <v>0</v>
      </c>
      <c r="GL27" s="242"/>
      <c r="GM27" s="224">
        <v>59.7</v>
      </c>
      <c r="GN27" s="224"/>
      <c r="GO27" s="243"/>
      <c r="GP27" s="168">
        <f t="shared" si="49"/>
        <v>59.7</v>
      </c>
      <c r="GQ27" s="242"/>
      <c r="GR27" s="224"/>
      <c r="GS27" s="224"/>
      <c r="GT27" s="224"/>
      <c r="GU27" s="243"/>
      <c r="GV27" s="168">
        <f t="shared" si="50"/>
        <v>0</v>
      </c>
      <c r="GW27" s="242"/>
      <c r="GX27" s="224"/>
      <c r="GY27" s="224"/>
      <c r="GZ27" s="224"/>
      <c r="HA27" s="224"/>
      <c r="HB27" s="243"/>
      <c r="HC27" s="168">
        <f t="shared" si="51"/>
        <v>0</v>
      </c>
      <c r="HD27" s="168">
        <f t="shared" si="21"/>
        <v>59.7</v>
      </c>
      <c r="HE27" s="242">
        <v>55748.815000000002</v>
      </c>
      <c r="HF27" s="224"/>
      <c r="HG27" s="224"/>
      <c r="HH27" s="224"/>
      <c r="HI27" s="168">
        <f t="shared" si="52"/>
        <v>55748.815000000002</v>
      </c>
      <c r="HJ27" s="242"/>
      <c r="HK27" s="224"/>
      <c r="HL27" s="224"/>
      <c r="HM27" s="224"/>
      <c r="HN27" s="243"/>
      <c r="HO27" s="168">
        <f t="shared" si="53"/>
        <v>0</v>
      </c>
      <c r="HP27" s="242"/>
      <c r="HQ27" s="224"/>
      <c r="HR27" s="224"/>
      <c r="HS27" s="224"/>
      <c r="HT27" s="243"/>
      <c r="HU27" s="168">
        <f t="shared" si="54"/>
        <v>0</v>
      </c>
      <c r="HV27" s="242"/>
      <c r="HW27" s="224"/>
      <c r="HX27" s="224"/>
      <c r="HY27" s="168">
        <f t="shared" si="22"/>
        <v>0</v>
      </c>
      <c r="HZ27" s="242"/>
      <c r="IA27" s="224"/>
      <c r="IB27" s="243">
        <v>20523.458999999999</v>
      </c>
      <c r="IC27" s="168">
        <f t="shared" si="55"/>
        <v>20523.458999999999</v>
      </c>
      <c r="ID27" s="168">
        <f t="shared" si="23"/>
        <v>76272.274000000005</v>
      </c>
      <c r="IE27" s="242"/>
      <c r="IF27" s="243"/>
      <c r="IG27" s="168">
        <f t="shared" si="56"/>
        <v>0</v>
      </c>
      <c r="IH27" s="242"/>
      <c r="II27" s="224">
        <v>480</v>
      </c>
      <c r="IJ27" s="224"/>
      <c r="IK27" s="224"/>
      <c r="IL27" s="243"/>
      <c r="IM27" s="168">
        <f t="shared" si="57"/>
        <v>480</v>
      </c>
      <c r="IN27" s="242">
        <v>167.2</v>
      </c>
      <c r="IO27" s="224"/>
      <c r="IP27" s="243"/>
      <c r="IQ27" s="168">
        <f t="shared" si="58"/>
        <v>167.2</v>
      </c>
      <c r="IR27" s="242"/>
      <c r="IS27" s="224"/>
      <c r="IT27" s="224"/>
      <c r="IU27" s="224"/>
      <c r="IV27" s="243"/>
      <c r="IW27" s="168">
        <f t="shared" si="59"/>
        <v>0</v>
      </c>
      <c r="IX27" s="242"/>
      <c r="IY27" s="224"/>
      <c r="IZ27" s="224"/>
      <c r="JA27" s="224"/>
      <c r="JB27" s="243">
        <v>16961.817999999999</v>
      </c>
      <c r="JC27" s="168">
        <f t="shared" si="60"/>
        <v>16961.817999999999</v>
      </c>
      <c r="JD27" s="168">
        <f t="shared" si="24"/>
        <v>17609.018</v>
      </c>
      <c r="JE27" s="242"/>
      <c r="JF27" s="224"/>
      <c r="JG27" s="224"/>
      <c r="JH27" s="224"/>
      <c r="JI27" s="243"/>
      <c r="JJ27" s="168">
        <f t="shared" si="61"/>
        <v>0</v>
      </c>
      <c r="JK27" s="242"/>
      <c r="JL27" s="224"/>
      <c r="JM27" s="224"/>
      <c r="JN27" s="224"/>
      <c r="JO27" s="243"/>
      <c r="JP27" s="168">
        <f t="shared" si="62"/>
        <v>0</v>
      </c>
      <c r="JQ27" s="242"/>
      <c r="JR27" s="224"/>
      <c r="JS27" s="224"/>
      <c r="JT27" s="224"/>
      <c r="JU27" s="243"/>
      <c r="JV27" s="168">
        <f t="shared" si="63"/>
        <v>0</v>
      </c>
      <c r="JW27" s="242"/>
      <c r="JX27" s="224"/>
      <c r="JY27" s="224"/>
      <c r="JZ27" s="224"/>
      <c r="KA27" s="224"/>
      <c r="KB27" s="243"/>
      <c r="KC27" s="168">
        <f t="shared" si="64"/>
        <v>0</v>
      </c>
      <c r="KD27" s="168">
        <f t="shared" si="65"/>
        <v>0</v>
      </c>
      <c r="KE27" s="242"/>
      <c r="KF27" s="224"/>
      <c r="KG27" s="224"/>
      <c r="KH27" s="224"/>
      <c r="KI27" s="243"/>
      <c r="KJ27" s="168">
        <f t="shared" si="66"/>
        <v>0</v>
      </c>
      <c r="KK27" s="242"/>
      <c r="KL27" s="224"/>
      <c r="KM27" s="224"/>
      <c r="KN27" s="224"/>
      <c r="KO27" s="243"/>
      <c r="KP27" s="168">
        <f t="shared" si="67"/>
        <v>0</v>
      </c>
      <c r="KQ27" s="242"/>
      <c r="KR27" s="224"/>
      <c r="KS27" s="224"/>
      <c r="KT27" s="224"/>
      <c r="KU27" s="243"/>
      <c r="KV27" s="168">
        <f t="shared" si="68"/>
        <v>0</v>
      </c>
      <c r="KW27" s="242"/>
      <c r="KX27" s="224"/>
      <c r="KY27" s="224"/>
      <c r="KZ27" s="224"/>
      <c r="LA27" s="243"/>
      <c r="LB27" s="168">
        <f t="shared" si="69"/>
        <v>0</v>
      </c>
      <c r="LC27" s="242"/>
      <c r="LD27" s="224"/>
      <c r="LE27" s="243"/>
      <c r="LF27" s="168">
        <f t="shared" si="70"/>
        <v>0</v>
      </c>
      <c r="LG27" s="168">
        <v>35000</v>
      </c>
    </row>
    <row r="28" spans="2:324">
      <c r="B28" s="93" t="s">
        <v>171</v>
      </c>
      <c r="C28" s="167"/>
      <c r="D28" s="181">
        <f t="shared" si="72"/>
        <v>0</v>
      </c>
      <c r="E28" s="167"/>
      <c r="F28" s="177">
        <v>1386.395</v>
      </c>
      <c r="G28" s="177"/>
      <c r="H28" s="177"/>
      <c r="I28" s="178">
        <v>33.488</v>
      </c>
      <c r="J28" s="181">
        <f t="shared" si="6"/>
        <v>1419.883</v>
      </c>
      <c r="K28" s="167"/>
      <c r="L28" s="177"/>
      <c r="M28" s="177"/>
      <c r="N28" s="178"/>
      <c r="O28" s="181">
        <f t="shared" si="73"/>
        <v>0</v>
      </c>
      <c r="P28" s="167"/>
      <c r="Q28" s="177"/>
      <c r="R28" s="177"/>
      <c r="S28" s="177"/>
      <c r="T28" s="178"/>
      <c r="U28" s="168">
        <f t="shared" si="25"/>
        <v>0</v>
      </c>
      <c r="V28" s="167"/>
      <c r="W28" s="177"/>
      <c r="X28" s="177"/>
      <c r="Y28" s="177">
        <v>1.4159999999999999</v>
      </c>
      <c r="Z28" s="177"/>
      <c r="AA28" s="168">
        <f t="shared" si="26"/>
        <v>1.4159999999999999</v>
      </c>
      <c r="AB28" s="168">
        <f t="shared" si="8"/>
        <v>1421.299</v>
      </c>
      <c r="AC28" s="242"/>
      <c r="AD28" s="224"/>
      <c r="AE28" s="224"/>
      <c r="AF28" s="224"/>
      <c r="AG28" s="243"/>
      <c r="AH28" s="168">
        <f t="shared" si="27"/>
        <v>0</v>
      </c>
      <c r="AI28" s="242">
        <v>1.4159999999999999</v>
      </c>
      <c r="AJ28" s="224"/>
      <c r="AK28" s="224"/>
      <c r="AL28" s="224"/>
      <c r="AM28" s="243"/>
      <c r="AN28" s="168">
        <f t="shared" si="9"/>
        <v>1.4159999999999999</v>
      </c>
      <c r="AO28" s="242"/>
      <c r="AP28" s="224"/>
      <c r="AQ28" s="224"/>
      <c r="AR28" s="224"/>
      <c r="AS28" s="243"/>
      <c r="AT28" s="168">
        <f t="shared" si="28"/>
        <v>0</v>
      </c>
      <c r="AU28" s="242"/>
      <c r="AV28" s="224"/>
      <c r="AW28" s="224"/>
      <c r="AX28" s="224"/>
      <c r="AY28" s="243"/>
      <c r="AZ28" s="168">
        <f t="shared" si="29"/>
        <v>0</v>
      </c>
      <c r="BA28" s="168">
        <f t="shared" si="30"/>
        <v>1.4159999999999999</v>
      </c>
      <c r="BB28" s="242"/>
      <c r="BC28" s="224"/>
      <c r="BD28" s="224"/>
      <c r="BE28" s="224"/>
      <c r="BF28" s="243"/>
      <c r="BG28" s="168">
        <f t="shared" si="31"/>
        <v>0</v>
      </c>
      <c r="BH28" s="242"/>
      <c r="BI28" s="224"/>
      <c r="BJ28" s="224"/>
      <c r="BK28" s="224"/>
      <c r="BL28" s="243"/>
      <c r="BM28" s="168">
        <f t="shared" si="10"/>
        <v>0</v>
      </c>
      <c r="BN28" s="242"/>
      <c r="BO28" s="224"/>
      <c r="BP28" s="224"/>
      <c r="BQ28" s="243"/>
      <c r="BR28" s="168">
        <f t="shared" si="11"/>
        <v>0</v>
      </c>
      <c r="BS28" s="242"/>
      <c r="BT28" s="224"/>
      <c r="BU28" s="224"/>
      <c r="BV28" s="224"/>
      <c r="BW28" s="243"/>
      <c r="BX28" s="239">
        <f t="shared" si="12"/>
        <v>0</v>
      </c>
      <c r="BY28" s="242"/>
      <c r="BZ28" s="224"/>
      <c r="CA28" s="168">
        <f t="shared" si="13"/>
        <v>0</v>
      </c>
      <c r="CB28" s="168">
        <f t="shared" si="14"/>
        <v>0</v>
      </c>
      <c r="CC28" s="242"/>
      <c r="CD28" s="224"/>
      <c r="CE28" s="224"/>
      <c r="CF28" s="168">
        <f t="shared" si="15"/>
        <v>0</v>
      </c>
      <c r="CG28" s="242">
        <f>80.282+4064.604</f>
        <v>4144.8859999999995</v>
      </c>
      <c r="CH28" s="224"/>
      <c r="CI28" s="224"/>
      <c r="CJ28" s="243"/>
      <c r="CK28" s="168">
        <f t="shared" si="32"/>
        <v>4144.8859999999995</v>
      </c>
      <c r="CL28" s="242"/>
      <c r="CM28" s="224"/>
      <c r="CN28" s="224"/>
      <c r="CO28" s="224"/>
      <c r="CP28" s="243"/>
      <c r="CQ28" s="168">
        <f t="shared" si="33"/>
        <v>0</v>
      </c>
      <c r="CR28" s="242"/>
      <c r="CS28" s="224"/>
      <c r="CT28" s="224"/>
      <c r="CU28" s="224"/>
      <c r="CV28" s="243"/>
      <c r="CW28" s="168">
        <f t="shared" si="16"/>
        <v>0</v>
      </c>
      <c r="CX28" s="242"/>
      <c r="CY28" s="224"/>
      <c r="CZ28" s="224"/>
      <c r="DA28" s="243"/>
      <c r="DB28" s="168">
        <f t="shared" si="17"/>
        <v>0</v>
      </c>
      <c r="DC28" s="168">
        <f t="shared" si="18"/>
        <v>4144.8859999999995</v>
      </c>
      <c r="DD28" s="242"/>
      <c r="DE28" s="224"/>
      <c r="DF28" s="224"/>
      <c r="DG28" s="224"/>
      <c r="DH28" s="224"/>
      <c r="DI28" s="168">
        <f t="shared" si="34"/>
        <v>0</v>
      </c>
      <c r="DJ28" s="242"/>
      <c r="DK28" s="224"/>
      <c r="DL28" s="224"/>
      <c r="DM28" s="224"/>
      <c r="DN28" s="243"/>
      <c r="DO28" s="168">
        <f t="shared" si="35"/>
        <v>0</v>
      </c>
      <c r="DP28" s="242"/>
      <c r="DQ28" s="224"/>
      <c r="DR28" s="224"/>
      <c r="DS28" s="224"/>
      <c r="DT28" s="243"/>
      <c r="DU28" s="168">
        <f t="shared" si="36"/>
        <v>0</v>
      </c>
      <c r="DV28" s="242"/>
      <c r="DW28" s="224"/>
      <c r="DX28" s="224"/>
      <c r="DY28" s="224"/>
      <c r="DZ28" s="243"/>
      <c r="EA28" s="168">
        <f t="shared" si="19"/>
        <v>0</v>
      </c>
      <c r="EB28" s="168">
        <f t="shared" si="37"/>
        <v>0</v>
      </c>
      <c r="EC28" s="242"/>
      <c r="ED28" s="224"/>
      <c r="EE28" s="224"/>
      <c r="EF28" s="224">
        <v>2.8319999999999999</v>
      </c>
      <c r="EG28" s="243"/>
      <c r="EH28" s="168">
        <f t="shared" si="38"/>
        <v>2.8319999999999999</v>
      </c>
      <c r="EI28" s="242"/>
      <c r="EJ28" s="224"/>
      <c r="EK28" s="224"/>
      <c r="EL28" s="224"/>
      <c r="EM28" s="243"/>
      <c r="EN28" s="168">
        <f t="shared" si="39"/>
        <v>0</v>
      </c>
      <c r="EO28" s="242"/>
      <c r="EP28" s="224"/>
      <c r="EQ28" s="224"/>
      <c r="ER28" s="224"/>
      <c r="ES28" s="243"/>
      <c r="ET28" s="168">
        <f t="shared" si="40"/>
        <v>0</v>
      </c>
      <c r="EU28" s="242"/>
      <c r="EV28" s="224"/>
      <c r="EW28" s="224"/>
      <c r="EX28" s="224"/>
      <c r="EY28" s="224"/>
      <c r="EZ28" s="224"/>
      <c r="FA28" s="243"/>
      <c r="FB28" s="168">
        <f t="shared" si="41"/>
        <v>0</v>
      </c>
      <c r="FC28" s="168">
        <f t="shared" si="42"/>
        <v>2.8319999999999999</v>
      </c>
      <c r="FD28" s="242"/>
      <c r="FE28" s="224">
        <v>853.29</v>
      </c>
      <c r="FF28" s="243"/>
      <c r="FG28" s="168">
        <f>SUM(FD28:FF28)</f>
        <v>853.29</v>
      </c>
      <c r="FH28" s="242">
        <v>8053.259</v>
      </c>
      <c r="FI28" s="224"/>
      <c r="FJ28" s="224"/>
      <c r="FK28" s="224"/>
      <c r="FL28" s="243"/>
      <c r="FM28" s="168">
        <f t="shared" si="44"/>
        <v>8053.259</v>
      </c>
      <c r="FN28" s="242"/>
      <c r="FO28" s="224"/>
      <c r="FP28" s="224"/>
      <c r="FQ28" s="224"/>
      <c r="FR28" s="168">
        <f t="shared" si="45"/>
        <v>0</v>
      </c>
      <c r="FS28" s="242"/>
      <c r="FT28" s="224"/>
      <c r="FU28" s="224"/>
      <c r="FV28" s="224"/>
      <c r="FW28" s="243"/>
      <c r="FX28" s="168">
        <f t="shared" si="46"/>
        <v>0</v>
      </c>
      <c r="FY28" s="242"/>
      <c r="FZ28" s="224"/>
      <c r="GA28" s="224"/>
      <c r="GB28" s="224"/>
      <c r="GC28" s="243"/>
      <c r="GD28" s="168">
        <f t="shared" si="47"/>
        <v>0</v>
      </c>
      <c r="GE28" s="168">
        <f t="shared" si="20"/>
        <v>8906.5489999999991</v>
      </c>
      <c r="GF28" s="242"/>
      <c r="GG28" s="224"/>
      <c r="GH28" s="224"/>
      <c r="GI28" s="224"/>
      <c r="GJ28" s="224"/>
      <c r="GK28" s="168">
        <f t="shared" si="48"/>
        <v>0</v>
      </c>
      <c r="GL28" s="242"/>
      <c r="GM28" s="224"/>
      <c r="GN28" s="224"/>
      <c r="GO28" s="243"/>
      <c r="GP28" s="168">
        <f t="shared" si="49"/>
        <v>0</v>
      </c>
      <c r="GQ28" s="242"/>
      <c r="GR28" s="224"/>
      <c r="GS28" s="224"/>
      <c r="GT28" s="224"/>
      <c r="GU28" s="243"/>
      <c r="GV28" s="168">
        <f t="shared" si="50"/>
        <v>0</v>
      </c>
      <c r="GW28" s="242"/>
      <c r="GX28" s="224"/>
      <c r="GY28" s="224"/>
      <c r="GZ28" s="224"/>
      <c r="HA28" s="224"/>
      <c r="HB28" s="243"/>
      <c r="HC28" s="168">
        <f t="shared" si="51"/>
        <v>0</v>
      </c>
      <c r="HD28" s="168">
        <f t="shared" si="21"/>
        <v>0</v>
      </c>
      <c r="HE28" s="242"/>
      <c r="HF28" s="224"/>
      <c r="HG28" s="224"/>
      <c r="HH28" s="224"/>
      <c r="HI28" s="168">
        <f t="shared" si="52"/>
        <v>0</v>
      </c>
      <c r="HJ28" s="242"/>
      <c r="HK28" s="224"/>
      <c r="HL28" s="224"/>
      <c r="HM28" s="224"/>
      <c r="HN28" s="243"/>
      <c r="HO28" s="168">
        <f t="shared" si="53"/>
        <v>0</v>
      </c>
      <c r="HP28" s="242">
        <v>1.4159999999999999</v>
      </c>
      <c r="HQ28" s="224"/>
      <c r="HR28" s="224"/>
      <c r="HS28" s="224"/>
      <c r="HT28" s="243"/>
      <c r="HU28" s="168">
        <f t="shared" si="54"/>
        <v>1.4159999999999999</v>
      </c>
      <c r="HV28" s="242"/>
      <c r="HW28" s="224"/>
      <c r="HX28" s="224"/>
      <c r="HY28" s="168">
        <f t="shared" si="22"/>
        <v>0</v>
      </c>
      <c r="HZ28" s="242"/>
      <c r="IA28" s="224"/>
      <c r="IB28" s="243"/>
      <c r="IC28" s="168">
        <f t="shared" si="55"/>
        <v>0</v>
      </c>
      <c r="ID28" s="168">
        <f t="shared" si="23"/>
        <v>1.4159999999999999</v>
      </c>
      <c r="IE28" s="242"/>
      <c r="IF28" s="243"/>
      <c r="IG28" s="168">
        <f t="shared" si="56"/>
        <v>0</v>
      </c>
      <c r="IH28" s="242">
        <f>7801.421+30.479</f>
        <v>7831.9000000000005</v>
      </c>
      <c r="II28" s="224"/>
      <c r="IJ28" s="224"/>
      <c r="IK28" s="224"/>
      <c r="IL28" s="243"/>
      <c r="IM28" s="168">
        <f t="shared" si="57"/>
        <v>7831.9000000000005</v>
      </c>
      <c r="IN28" s="242"/>
      <c r="IO28" s="224"/>
      <c r="IP28" s="243"/>
      <c r="IQ28" s="168">
        <f t="shared" si="58"/>
        <v>0</v>
      </c>
      <c r="IR28" s="242"/>
      <c r="IS28" s="224"/>
      <c r="IT28" s="224"/>
      <c r="IU28" s="224"/>
      <c r="IV28" s="243"/>
      <c r="IW28" s="168">
        <f t="shared" si="59"/>
        <v>0</v>
      </c>
      <c r="IX28" s="242"/>
      <c r="IY28" s="224"/>
      <c r="IZ28" s="224"/>
      <c r="JA28" s="224"/>
      <c r="JB28" s="243"/>
      <c r="JC28" s="168">
        <f t="shared" si="60"/>
        <v>0</v>
      </c>
      <c r="JD28" s="168">
        <f t="shared" si="24"/>
        <v>7831.9000000000005</v>
      </c>
      <c r="JE28" s="242"/>
      <c r="JF28" s="224"/>
      <c r="JG28" s="224"/>
      <c r="JH28" s="224"/>
      <c r="JI28" s="243"/>
      <c r="JJ28" s="168">
        <f t="shared" si="61"/>
        <v>0</v>
      </c>
      <c r="JK28" s="242"/>
      <c r="JL28" s="224"/>
      <c r="JM28" s="224"/>
      <c r="JN28" s="224"/>
      <c r="JO28" s="243"/>
      <c r="JP28" s="168">
        <f t="shared" si="62"/>
        <v>0</v>
      </c>
      <c r="JQ28" s="242"/>
      <c r="JR28" s="224"/>
      <c r="JS28" s="224"/>
      <c r="JT28" s="224"/>
      <c r="JU28" s="243"/>
      <c r="JV28" s="168">
        <f t="shared" si="63"/>
        <v>0</v>
      </c>
      <c r="JW28" s="242"/>
      <c r="JX28" s="224"/>
      <c r="JY28" s="224"/>
      <c r="JZ28" s="224"/>
      <c r="KA28" s="224"/>
      <c r="KB28" s="243"/>
      <c r="KC28" s="168">
        <f t="shared" si="64"/>
        <v>0</v>
      </c>
      <c r="KD28" s="168">
        <f t="shared" si="65"/>
        <v>0</v>
      </c>
      <c r="KE28" s="242"/>
      <c r="KF28" s="224"/>
      <c r="KG28" s="224"/>
      <c r="KH28" s="224"/>
      <c r="KI28" s="243"/>
      <c r="KJ28" s="168">
        <f t="shared" si="66"/>
        <v>0</v>
      </c>
      <c r="KK28" s="242"/>
      <c r="KL28" s="224"/>
      <c r="KM28" s="224"/>
      <c r="KN28" s="224"/>
      <c r="KO28" s="243"/>
      <c r="KP28" s="168">
        <f t="shared" si="67"/>
        <v>0</v>
      </c>
      <c r="KQ28" s="242"/>
      <c r="KR28" s="224"/>
      <c r="KS28" s="224"/>
      <c r="KT28" s="224"/>
      <c r="KU28" s="243"/>
      <c r="KV28" s="168">
        <f t="shared" si="68"/>
        <v>0</v>
      </c>
      <c r="KW28" s="242"/>
      <c r="KX28" s="224"/>
      <c r="KY28" s="224"/>
      <c r="KZ28" s="224"/>
      <c r="LA28" s="243"/>
      <c r="LB28" s="168">
        <f t="shared" si="69"/>
        <v>0</v>
      </c>
      <c r="LC28" s="242"/>
      <c r="LD28" s="224"/>
      <c r="LE28" s="243"/>
      <c r="LF28" s="168">
        <f t="shared" si="70"/>
        <v>0</v>
      </c>
      <c r="LG28" s="168">
        <f t="shared" si="71"/>
        <v>0</v>
      </c>
      <c r="LI28" s="91"/>
    </row>
    <row r="29" spans="2:324">
      <c r="B29" s="93" t="s">
        <v>386</v>
      </c>
      <c r="C29" s="167"/>
      <c r="D29" s="181">
        <f t="shared" si="72"/>
        <v>0</v>
      </c>
      <c r="E29" s="167"/>
      <c r="F29" s="177">
        <v>119.721</v>
      </c>
      <c r="G29" s="177"/>
      <c r="H29" s="177"/>
      <c r="I29" s="178"/>
      <c r="J29" s="181">
        <f t="shared" ref="J29:J37" si="74">SUM(E29:I29)</f>
        <v>119.721</v>
      </c>
      <c r="K29" s="167"/>
      <c r="L29" s="177"/>
      <c r="M29" s="177"/>
      <c r="N29" s="178"/>
      <c r="O29" s="181">
        <f t="shared" si="73"/>
        <v>0</v>
      </c>
      <c r="P29" s="167"/>
      <c r="Q29" s="177"/>
      <c r="R29" s="177"/>
      <c r="S29" s="177"/>
      <c r="T29" s="178"/>
      <c r="U29" s="168">
        <f t="shared" si="25"/>
        <v>0</v>
      </c>
      <c r="V29" s="167"/>
      <c r="W29" s="177"/>
      <c r="X29" s="177"/>
      <c r="Y29" s="177"/>
      <c r="Z29" s="177"/>
      <c r="AA29" s="168">
        <f t="shared" si="26"/>
        <v>0</v>
      </c>
      <c r="AB29" s="168">
        <f t="shared" si="8"/>
        <v>119.721</v>
      </c>
      <c r="AC29" s="242"/>
      <c r="AD29" s="224"/>
      <c r="AE29" s="224"/>
      <c r="AF29" s="224"/>
      <c r="AG29" s="243"/>
      <c r="AH29" s="168">
        <f t="shared" si="27"/>
        <v>0</v>
      </c>
      <c r="AI29" s="242"/>
      <c r="AJ29" s="224"/>
      <c r="AK29" s="224"/>
      <c r="AL29" s="224"/>
      <c r="AM29" s="243"/>
      <c r="AN29" s="168">
        <f t="shared" si="9"/>
        <v>0</v>
      </c>
      <c r="AO29" s="242"/>
      <c r="AP29" s="224"/>
      <c r="AQ29" s="224"/>
      <c r="AR29" s="224"/>
      <c r="AS29" s="243"/>
      <c r="AT29" s="168">
        <f t="shared" si="28"/>
        <v>0</v>
      </c>
      <c r="AU29" s="242"/>
      <c r="AV29" s="224"/>
      <c r="AW29" s="224"/>
      <c r="AX29" s="224"/>
      <c r="AY29" s="243"/>
      <c r="AZ29" s="168">
        <f t="shared" si="29"/>
        <v>0</v>
      </c>
      <c r="BA29" s="168">
        <f t="shared" si="30"/>
        <v>0</v>
      </c>
      <c r="BB29" s="242"/>
      <c r="BC29" s="224"/>
      <c r="BD29" s="224"/>
      <c r="BE29" s="224"/>
      <c r="BF29" s="243"/>
      <c r="BG29" s="168">
        <f t="shared" si="31"/>
        <v>0</v>
      </c>
      <c r="BH29" s="242"/>
      <c r="BI29" s="224"/>
      <c r="BJ29" s="224"/>
      <c r="BK29" s="224"/>
      <c r="BL29" s="243"/>
      <c r="BM29" s="168">
        <f t="shared" si="10"/>
        <v>0</v>
      </c>
      <c r="BN29" s="242"/>
      <c r="BO29" s="224"/>
      <c r="BP29" s="224"/>
      <c r="BQ29" s="243"/>
      <c r="BR29" s="168">
        <f t="shared" si="11"/>
        <v>0</v>
      </c>
      <c r="BS29" s="242"/>
      <c r="BT29" s="224"/>
      <c r="BU29" s="224"/>
      <c r="BV29" s="224"/>
      <c r="BW29" s="243"/>
      <c r="BX29" s="239">
        <f t="shared" si="12"/>
        <v>0</v>
      </c>
      <c r="BY29" s="242"/>
      <c r="BZ29" s="224"/>
      <c r="CA29" s="168">
        <f t="shared" si="13"/>
        <v>0</v>
      </c>
      <c r="CB29" s="168">
        <f t="shared" si="14"/>
        <v>0</v>
      </c>
      <c r="CC29" s="242"/>
      <c r="CD29" s="224"/>
      <c r="CE29" s="224"/>
      <c r="CF29" s="168">
        <f t="shared" si="15"/>
        <v>0</v>
      </c>
      <c r="CG29" s="242">
        <v>348.58600000000001</v>
      </c>
      <c r="CH29" s="224"/>
      <c r="CI29" s="224"/>
      <c r="CJ29" s="243"/>
      <c r="CK29" s="168">
        <f t="shared" si="32"/>
        <v>348.58600000000001</v>
      </c>
      <c r="CL29" s="242"/>
      <c r="CM29" s="224"/>
      <c r="CN29" s="224"/>
      <c r="CO29" s="224"/>
      <c r="CP29" s="243"/>
      <c r="CQ29" s="168">
        <f t="shared" si="33"/>
        <v>0</v>
      </c>
      <c r="CR29" s="242"/>
      <c r="CS29" s="224"/>
      <c r="CT29" s="224"/>
      <c r="CU29" s="224"/>
      <c r="CV29" s="243"/>
      <c r="CW29" s="168">
        <f t="shared" si="16"/>
        <v>0</v>
      </c>
      <c r="CX29" s="242"/>
      <c r="CY29" s="224"/>
      <c r="CZ29" s="224"/>
      <c r="DA29" s="243"/>
      <c r="DB29" s="168">
        <f t="shared" si="17"/>
        <v>0</v>
      </c>
      <c r="DC29" s="168">
        <f t="shared" si="18"/>
        <v>348.58600000000001</v>
      </c>
      <c r="DD29" s="242"/>
      <c r="DE29" s="224"/>
      <c r="DF29" s="224"/>
      <c r="DG29" s="224"/>
      <c r="DH29" s="224"/>
      <c r="DI29" s="168">
        <f t="shared" si="34"/>
        <v>0</v>
      </c>
      <c r="DJ29" s="242"/>
      <c r="DK29" s="224"/>
      <c r="DL29" s="224"/>
      <c r="DM29" s="224"/>
      <c r="DN29" s="243"/>
      <c r="DO29" s="168">
        <f t="shared" si="35"/>
        <v>0</v>
      </c>
      <c r="DP29" s="242"/>
      <c r="DQ29" s="224"/>
      <c r="DR29" s="224"/>
      <c r="DS29" s="224"/>
      <c r="DT29" s="243"/>
      <c r="DU29" s="168">
        <f t="shared" si="36"/>
        <v>0</v>
      </c>
      <c r="DV29" s="242"/>
      <c r="DW29" s="224"/>
      <c r="DX29" s="224"/>
      <c r="DY29" s="224"/>
      <c r="DZ29" s="243"/>
      <c r="EA29" s="168">
        <f t="shared" si="19"/>
        <v>0</v>
      </c>
      <c r="EB29" s="168">
        <f t="shared" si="37"/>
        <v>0</v>
      </c>
      <c r="EC29" s="242"/>
      <c r="ED29" s="224"/>
      <c r="EE29" s="224"/>
      <c r="EF29" s="224"/>
      <c r="EG29" s="243"/>
      <c r="EH29" s="168">
        <f t="shared" si="38"/>
        <v>0</v>
      </c>
      <c r="EI29" s="242"/>
      <c r="EJ29" s="224"/>
      <c r="EK29" s="224"/>
      <c r="EL29" s="224"/>
      <c r="EM29" s="243"/>
      <c r="EN29" s="168">
        <f t="shared" si="39"/>
        <v>0</v>
      </c>
      <c r="EO29" s="242"/>
      <c r="EP29" s="224"/>
      <c r="EQ29" s="224"/>
      <c r="ER29" s="224"/>
      <c r="ES29" s="243"/>
      <c r="ET29" s="168">
        <f t="shared" si="40"/>
        <v>0</v>
      </c>
      <c r="EU29" s="242"/>
      <c r="EV29" s="224"/>
      <c r="EW29" s="224"/>
      <c r="EX29" s="224"/>
      <c r="EY29" s="224"/>
      <c r="EZ29" s="224"/>
      <c r="FA29" s="243"/>
      <c r="FB29" s="168">
        <f t="shared" si="41"/>
        <v>0</v>
      </c>
      <c r="FC29" s="168">
        <f t="shared" si="42"/>
        <v>0</v>
      </c>
      <c r="FD29" s="242"/>
      <c r="FE29" s="224"/>
      <c r="FF29" s="243"/>
      <c r="FG29" s="168">
        <f t="shared" si="43"/>
        <v>0</v>
      </c>
      <c r="FH29" s="242">
        <v>771.24599999999998</v>
      </c>
      <c r="FI29" s="224"/>
      <c r="FJ29" s="224"/>
      <c r="FK29" s="224"/>
      <c r="FL29" s="243"/>
      <c r="FM29" s="168">
        <f t="shared" si="44"/>
        <v>771.24599999999998</v>
      </c>
      <c r="FN29" s="242"/>
      <c r="FO29" s="224"/>
      <c r="FP29" s="224"/>
      <c r="FQ29" s="224"/>
      <c r="FR29" s="168">
        <f t="shared" si="45"/>
        <v>0</v>
      </c>
      <c r="FS29" s="242"/>
      <c r="FT29" s="224"/>
      <c r="FU29" s="224"/>
      <c r="FV29" s="224"/>
      <c r="FW29" s="243"/>
      <c r="FX29" s="168">
        <f t="shared" si="46"/>
        <v>0</v>
      </c>
      <c r="FY29" s="242"/>
      <c r="FZ29" s="224"/>
      <c r="GA29" s="224"/>
      <c r="GB29" s="224"/>
      <c r="GC29" s="243"/>
      <c r="GD29" s="168">
        <f t="shared" si="47"/>
        <v>0</v>
      </c>
      <c r="GE29" s="168">
        <f t="shared" si="20"/>
        <v>771.24599999999998</v>
      </c>
      <c r="GF29" s="242"/>
      <c r="GG29" s="224"/>
      <c r="GH29" s="224"/>
      <c r="GI29" s="224"/>
      <c r="GJ29" s="224"/>
      <c r="GK29" s="168">
        <f t="shared" si="48"/>
        <v>0</v>
      </c>
      <c r="GL29" s="242"/>
      <c r="GM29" s="224"/>
      <c r="GN29" s="224"/>
      <c r="GO29" s="243"/>
      <c r="GP29" s="168">
        <f t="shared" si="49"/>
        <v>0</v>
      </c>
      <c r="GQ29" s="242"/>
      <c r="GR29" s="224"/>
      <c r="GS29" s="224"/>
      <c r="GT29" s="224"/>
      <c r="GU29" s="243"/>
      <c r="GV29" s="168">
        <f t="shared" si="50"/>
        <v>0</v>
      </c>
      <c r="GW29" s="242"/>
      <c r="GX29" s="224"/>
      <c r="GY29" s="224"/>
      <c r="GZ29" s="224"/>
      <c r="HA29" s="224"/>
      <c r="HB29" s="243"/>
      <c r="HC29" s="168">
        <f t="shared" si="51"/>
        <v>0</v>
      </c>
      <c r="HD29" s="168">
        <f t="shared" si="21"/>
        <v>0</v>
      </c>
      <c r="HE29" s="242"/>
      <c r="HF29" s="224"/>
      <c r="HG29" s="224"/>
      <c r="HH29" s="224"/>
      <c r="HI29" s="168">
        <f t="shared" si="52"/>
        <v>0</v>
      </c>
      <c r="HJ29" s="242"/>
      <c r="HK29" s="224"/>
      <c r="HL29" s="224"/>
      <c r="HM29" s="224"/>
      <c r="HN29" s="243"/>
      <c r="HO29" s="168">
        <f t="shared" si="53"/>
        <v>0</v>
      </c>
      <c r="HP29" s="242"/>
      <c r="HQ29" s="224"/>
      <c r="HR29" s="224"/>
      <c r="HS29" s="224"/>
      <c r="HT29" s="243"/>
      <c r="HU29" s="168">
        <f t="shared" si="54"/>
        <v>0</v>
      </c>
      <c r="HV29" s="242"/>
      <c r="HW29" s="224"/>
      <c r="HX29" s="224"/>
      <c r="HY29" s="168">
        <f t="shared" si="22"/>
        <v>0</v>
      </c>
      <c r="HZ29" s="242"/>
      <c r="IA29" s="224"/>
      <c r="IB29" s="243"/>
      <c r="IC29" s="168">
        <f t="shared" si="55"/>
        <v>0</v>
      </c>
      <c r="ID29" s="168">
        <f t="shared" si="23"/>
        <v>0</v>
      </c>
      <c r="IE29" s="242"/>
      <c r="IF29" s="243"/>
      <c r="IG29" s="168">
        <f t="shared" si="56"/>
        <v>0</v>
      </c>
      <c r="IH29" s="242">
        <v>739.98599999999999</v>
      </c>
      <c r="II29" s="224"/>
      <c r="IJ29" s="224"/>
      <c r="IK29" s="224"/>
      <c r="IL29" s="243"/>
      <c r="IM29" s="168">
        <f t="shared" si="57"/>
        <v>739.98599999999999</v>
      </c>
      <c r="IN29" s="242"/>
      <c r="IO29" s="224"/>
      <c r="IP29" s="243"/>
      <c r="IQ29" s="168">
        <f t="shared" si="58"/>
        <v>0</v>
      </c>
      <c r="IR29" s="242"/>
      <c r="IS29" s="224"/>
      <c r="IT29" s="224"/>
      <c r="IU29" s="224"/>
      <c r="IV29" s="243"/>
      <c r="IW29" s="168">
        <f t="shared" si="59"/>
        <v>0</v>
      </c>
      <c r="IX29" s="242"/>
      <c r="IY29" s="224"/>
      <c r="IZ29" s="224"/>
      <c r="JA29" s="224"/>
      <c r="JB29" s="243"/>
      <c r="JC29" s="168">
        <f t="shared" si="60"/>
        <v>0</v>
      </c>
      <c r="JD29" s="168">
        <f t="shared" si="24"/>
        <v>739.98599999999999</v>
      </c>
      <c r="JE29" s="242"/>
      <c r="JF29" s="224"/>
      <c r="JG29" s="224"/>
      <c r="JH29" s="224"/>
      <c r="JI29" s="243"/>
      <c r="JJ29" s="168">
        <f t="shared" si="61"/>
        <v>0</v>
      </c>
      <c r="JK29" s="242"/>
      <c r="JL29" s="224"/>
      <c r="JM29" s="224"/>
      <c r="JN29" s="224"/>
      <c r="JO29" s="243"/>
      <c r="JP29" s="168">
        <f t="shared" si="62"/>
        <v>0</v>
      </c>
      <c r="JQ29" s="242"/>
      <c r="JR29" s="224"/>
      <c r="JS29" s="224"/>
      <c r="JT29" s="224"/>
      <c r="JU29" s="243"/>
      <c r="JV29" s="168">
        <f t="shared" si="63"/>
        <v>0</v>
      </c>
      <c r="JW29" s="242"/>
      <c r="JX29" s="224"/>
      <c r="JY29" s="224"/>
      <c r="JZ29" s="224"/>
      <c r="KA29" s="224"/>
      <c r="KB29" s="243"/>
      <c r="KC29" s="168">
        <f t="shared" si="64"/>
        <v>0</v>
      </c>
      <c r="KD29" s="168">
        <f t="shared" si="65"/>
        <v>0</v>
      </c>
      <c r="KE29" s="242"/>
      <c r="KF29" s="224"/>
      <c r="KG29" s="224"/>
      <c r="KH29" s="224"/>
      <c r="KI29" s="243"/>
      <c r="KJ29" s="168"/>
      <c r="KK29" s="242"/>
      <c r="KL29" s="224"/>
      <c r="KM29" s="224"/>
      <c r="KN29" s="224"/>
      <c r="KO29" s="243"/>
      <c r="KP29" s="168"/>
      <c r="KQ29" s="242"/>
      <c r="KR29" s="224"/>
      <c r="KS29" s="224"/>
      <c r="KT29" s="224"/>
      <c r="KU29" s="243"/>
      <c r="KV29" s="168"/>
      <c r="KW29" s="242"/>
      <c r="KX29" s="224"/>
      <c r="KY29" s="224"/>
      <c r="KZ29" s="224"/>
      <c r="LA29" s="243"/>
      <c r="LB29" s="168"/>
      <c r="LC29" s="242"/>
      <c r="LD29" s="224"/>
      <c r="LE29" s="243"/>
      <c r="LF29" s="168"/>
      <c r="LG29" s="168">
        <f t="shared" si="71"/>
        <v>0</v>
      </c>
    </row>
    <row r="30" spans="2:324">
      <c r="B30" s="93" t="s">
        <v>376</v>
      </c>
      <c r="C30" s="167">
        <f>31.2+11.44+62.5</f>
        <v>105.14</v>
      </c>
      <c r="D30" s="181">
        <f t="shared" si="72"/>
        <v>105.14</v>
      </c>
      <c r="E30" s="167">
        <v>47.5</v>
      </c>
      <c r="F30" s="177">
        <v>2.1</v>
      </c>
      <c r="G30" s="177">
        <f>3.64+0.84</f>
        <v>4.4800000000000004</v>
      </c>
      <c r="H30" s="177">
        <v>6.7</v>
      </c>
      <c r="I30" s="178">
        <f>9.62+5</f>
        <v>14.62</v>
      </c>
      <c r="J30" s="181">
        <f t="shared" si="74"/>
        <v>75.400000000000006</v>
      </c>
      <c r="K30" s="167">
        <f>23.7+0.26</f>
        <v>23.96</v>
      </c>
      <c r="L30" s="177">
        <f>9.4+7.02</f>
        <v>16.420000000000002</v>
      </c>
      <c r="M30" s="177">
        <f>3.9+18.6</f>
        <v>22.5</v>
      </c>
      <c r="N30" s="178">
        <f>5+2.34</f>
        <v>7.34</v>
      </c>
      <c r="O30" s="181">
        <f t="shared" si="73"/>
        <v>70.22</v>
      </c>
      <c r="P30" s="167">
        <f>4.94+4.6</f>
        <v>9.5399999999999991</v>
      </c>
      <c r="Q30" s="177">
        <v>34.1</v>
      </c>
      <c r="R30" s="177">
        <f>1.56+11.24</f>
        <v>12.8</v>
      </c>
      <c r="S30" s="177">
        <f>1.3+15.2</f>
        <v>16.5</v>
      </c>
      <c r="T30" s="178">
        <v>2</v>
      </c>
      <c r="U30" s="168">
        <f t="shared" si="25"/>
        <v>74.94</v>
      </c>
      <c r="V30" s="167">
        <v>10.4</v>
      </c>
      <c r="W30" s="177">
        <f>8.58+2.8</f>
        <v>11.379999999999999</v>
      </c>
      <c r="X30" s="177">
        <f>1.04+19.4</f>
        <v>20.439999999999998</v>
      </c>
      <c r="Y30" s="177">
        <f>0.5+4.68</f>
        <v>5.18</v>
      </c>
      <c r="Z30" s="177">
        <f>2.86+0.5</f>
        <v>3.36</v>
      </c>
      <c r="AA30" s="168">
        <f t="shared" si="26"/>
        <v>50.76</v>
      </c>
      <c r="AB30" s="168">
        <f t="shared" si="8"/>
        <v>376.46</v>
      </c>
      <c r="AC30" s="242">
        <f>17.6+46.371</f>
        <v>63.971000000000004</v>
      </c>
      <c r="AD30" s="224">
        <f>36.7+5.98</f>
        <v>42.680000000000007</v>
      </c>
      <c r="AE30" s="224">
        <f>48.5+1.56</f>
        <v>50.06</v>
      </c>
      <c r="AF30" s="224">
        <f>4.3+2.08</f>
        <v>6.38</v>
      </c>
      <c r="AG30" s="243">
        <v>1.8</v>
      </c>
      <c r="AH30" s="168">
        <f t="shared" si="27"/>
        <v>164.89100000000002</v>
      </c>
      <c r="AI30" s="224">
        <f>20.9+1.3</f>
        <v>22.2</v>
      </c>
      <c r="AJ30" s="224">
        <f>7+8.84</f>
        <v>15.84</v>
      </c>
      <c r="AK30" s="224">
        <f>13.5+3.38</f>
        <v>16.88</v>
      </c>
      <c r="AL30" s="224">
        <f>18.5+0.26</f>
        <v>18.760000000000002</v>
      </c>
      <c r="AM30" s="243">
        <f>2.8+3.64</f>
        <v>6.4399999999999995</v>
      </c>
      <c r="AN30" s="168">
        <f t="shared" si="9"/>
        <v>80.12</v>
      </c>
      <c r="AO30" s="242">
        <v>2.5</v>
      </c>
      <c r="AP30" s="224">
        <f>2.6+5.72</f>
        <v>8.32</v>
      </c>
      <c r="AQ30" s="224">
        <f>30.3+5.2</f>
        <v>35.5</v>
      </c>
      <c r="AR30" s="224">
        <f>4.8+1.3</f>
        <v>6.1</v>
      </c>
      <c r="AS30" s="243"/>
      <c r="AT30" s="168">
        <f t="shared" si="28"/>
        <v>52.42</v>
      </c>
      <c r="AU30" s="242">
        <v>1.5</v>
      </c>
      <c r="AV30" s="224">
        <f>7.7+7.54</f>
        <v>15.24</v>
      </c>
      <c r="AW30" s="224">
        <f>23.3+3.9</f>
        <v>27.2</v>
      </c>
      <c r="AX30" s="224">
        <v>0.5</v>
      </c>
      <c r="AY30" s="243">
        <f>2.08+19</f>
        <v>21.08</v>
      </c>
      <c r="AZ30" s="168">
        <f t="shared" si="29"/>
        <v>65.52</v>
      </c>
      <c r="BA30" s="168">
        <f t="shared" si="30"/>
        <v>362.95100000000002</v>
      </c>
      <c r="BB30" s="242">
        <f>5.5+1.82</f>
        <v>7.32</v>
      </c>
      <c r="BC30" s="224">
        <f>4.94+24.2</f>
        <v>29.14</v>
      </c>
      <c r="BD30" s="224">
        <v>63.4</v>
      </c>
      <c r="BE30" s="224">
        <f>13.7+7.8</f>
        <v>21.5</v>
      </c>
      <c r="BF30" s="243"/>
      <c r="BG30" s="168">
        <f t="shared" si="31"/>
        <v>121.36</v>
      </c>
      <c r="BH30" s="242">
        <v>15.7</v>
      </c>
      <c r="BI30" s="224">
        <f>4.16+7.1</f>
        <v>11.26</v>
      </c>
      <c r="BJ30" s="224">
        <f>2.34+10.3</f>
        <v>12.64</v>
      </c>
      <c r="BK30" s="224">
        <f>1.56+17.9</f>
        <v>19.459999999999997</v>
      </c>
      <c r="BL30" s="243">
        <f>1.3+2.6</f>
        <v>3.9000000000000004</v>
      </c>
      <c r="BM30" s="168">
        <f t="shared" si="10"/>
        <v>62.96</v>
      </c>
      <c r="BN30" s="242">
        <v>1.3</v>
      </c>
      <c r="BO30" s="224">
        <f>4.68+9.6</f>
        <v>14.28</v>
      </c>
      <c r="BP30" s="224">
        <v>29.1</v>
      </c>
      <c r="BQ30" s="243">
        <f>3.12+4</f>
        <v>7.12</v>
      </c>
      <c r="BR30" s="168">
        <f t="shared" si="11"/>
        <v>51.8</v>
      </c>
      <c r="BS30" s="242">
        <f>2.5+1.56</f>
        <v>4.0600000000000005</v>
      </c>
      <c r="BT30" s="224">
        <v>3.6</v>
      </c>
      <c r="BU30" s="224">
        <v>31.5</v>
      </c>
      <c r="BV30" s="224">
        <v>1.5</v>
      </c>
      <c r="BW30" s="243">
        <f>12.1+8.32</f>
        <v>20.420000000000002</v>
      </c>
      <c r="BX30" s="239">
        <f t="shared" si="12"/>
        <v>61.08</v>
      </c>
      <c r="BY30" s="242">
        <f>4.42+4.5</f>
        <v>8.92</v>
      </c>
      <c r="BZ30" s="224">
        <v>5.3</v>
      </c>
      <c r="CA30" s="168">
        <f t="shared" si="13"/>
        <v>14.219999999999999</v>
      </c>
      <c r="CB30" s="168">
        <f t="shared" si="14"/>
        <v>311.42</v>
      </c>
      <c r="CC30" s="242">
        <f>4.16+35.2</f>
        <v>39.36</v>
      </c>
      <c r="CD30" s="224">
        <f>4.16+45.3</f>
        <v>49.459999999999994</v>
      </c>
      <c r="CE30" s="224">
        <f>1.3+2.3</f>
        <v>3.5999999999999996</v>
      </c>
      <c r="CF30" s="168">
        <f t="shared" si="15"/>
        <v>92.419999999999987</v>
      </c>
      <c r="CG30" s="242">
        <v>1.5</v>
      </c>
      <c r="CH30" s="224">
        <f>5.2+9.1</f>
        <v>14.3</v>
      </c>
      <c r="CI30" s="224">
        <v>21.6</v>
      </c>
      <c r="CJ30" s="243">
        <f>3.38+1.8</f>
        <v>5.18</v>
      </c>
      <c r="CK30" s="168">
        <f t="shared" si="32"/>
        <v>42.580000000000005</v>
      </c>
      <c r="CL30" s="167">
        <v>2</v>
      </c>
      <c r="CM30" s="224">
        <f>3.12+23.2</f>
        <v>26.32</v>
      </c>
      <c r="CN30" s="224">
        <f>5.2+1.3</f>
        <v>6.5</v>
      </c>
      <c r="CO30" s="224">
        <f>0.78+8.9</f>
        <v>9.68</v>
      </c>
      <c r="CP30" s="178">
        <f>1.04+26</f>
        <v>27.04</v>
      </c>
      <c r="CQ30" s="168">
        <f t="shared" si="33"/>
        <v>71.539999999999992</v>
      </c>
      <c r="CR30" s="242">
        <f>0.26+7.5</f>
        <v>7.76</v>
      </c>
      <c r="CS30" s="224">
        <v>5.98</v>
      </c>
      <c r="CT30" s="224">
        <v>23.1</v>
      </c>
      <c r="CU30" s="224">
        <f>3.38+5.8</f>
        <v>9.18</v>
      </c>
      <c r="CV30" s="243">
        <f>0.332+1</f>
        <v>1.3320000000000001</v>
      </c>
      <c r="CW30" s="168">
        <f t="shared" si="16"/>
        <v>47.352000000000004</v>
      </c>
      <c r="CX30" s="242">
        <f>1.04+7.3</f>
        <v>8.34</v>
      </c>
      <c r="CY30" s="224">
        <f>22.9+2.34</f>
        <v>25.24</v>
      </c>
      <c r="CZ30" s="224">
        <f>2.08+4.1</f>
        <v>6.18</v>
      </c>
      <c r="DA30" s="243">
        <f>1.5+1.82</f>
        <v>3.3200000000000003</v>
      </c>
      <c r="DB30" s="168">
        <f t="shared" si="17"/>
        <v>43.08</v>
      </c>
      <c r="DC30" s="168">
        <f t="shared" si="18"/>
        <v>296.97199999999998</v>
      </c>
      <c r="DD30" s="242">
        <v>17.3</v>
      </c>
      <c r="DE30" s="224">
        <v>65.5</v>
      </c>
      <c r="DF30" s="224">
        <f>14.04+8.3</f>
        <v>22.34</v>
      </c>
      <c r="DG30" s="224">
        <v>0.3</v>
      </c>
      <c r="DH30" s="224">
        <f>2.6+16.1</f>
        <v>18.700000000000003</v>
      </c>
      <c r="DI30" s="168">
        <f t="shared" si="34"/>
        <v>124.14</v>
      </c>
      <c r="DJ30" s="242">
        <v>8.4</v>
      </c>
      <c r="DK30" s="224">
        <f>3.9+5</f>
        <v>8.9</v>
      </c>
      <c r="DL30" s="224">
        <v>21.62</v>
      </c>
      <c r="DM30" s="224">
        <v>1.8</v>
      </c>
      <c r="DN30" s="243">
        <v>3.64</v>
      </c>
      <c r="DO30" s="168">
        <f t="shared" si="35"/>
        <v>44.36</v>
      </c>
      <c r="DP30" s="242">
        <v>2.08</v>
      </c>
      <c r="DQ30" s="224">
        <v>31.6</v>
      </c>
      <c r="DR30" s="224">
        <v>3.28</v>
      </c>
      <c r="DS30" s="224">
        <v>18.059999999999999</v>
      </c>
      <c r="DT30" s="243">
        <v>13.56</v>
      </c>
      <c r="DU30" s="168">
        <f t="shared" si="36"/>
        <v>68.58</v>
      </c>
      <c r="DV30" s="242">
        <v>18</v>
      </c>
      <c r="DW30" s="224">
        <v>12.42</v>
      </c>
      <c r="DX30" s="224">
        <v>5.6360000000000001</v>
      </c>
      <c r="DY30" s="224">
        <v>5.7</v>
      </c>
      <c r="DZ30" s="243">
        <v>3.04</v>
      </c>
      <c r="EA30" s="168">
        <f t="shared" si="19"/>
        <v>44.796000000000006</v>
      </c>
      <c r="EB30" s="168">
        <f t="shared" si="37"/>
        <v>281.87599999999998</v>
      </c>
      <c r="EC30" s="242">
        <v>13.26</v>
      </c>
      <c r="ED30" s="224">
        <v>78.540000000000006</v>
      </c>
      <c r="EE30" s="224">
        <v>3.02</v>
      </c>
      <c r="EF30" s="224">
        <v>7.36</v>
      </c>
      <c r="EG30" s="243">
        <v>2.5</v>
      </c>
      <c r="EH30" s="168">
        <f t="shared" si="38"/>
        <v>104.68</v>
      </c>
      <c r="EI30" s="242">
        <v>8.5</v>
      </c>
      <c r="EJ30" s="224">
        <f>16.4+7.02</f>
        <v>23.419999999999998</v>
      </c>
      <c r="EK30" s="224">
        <v>9.06</v>
      </c>
      <c r="EL30" s="224">
        <f>19+1.82</f>
        <v>20.82</v>
      </c>
      <c r="EM30" s="243">
        <v>1.56</v>
      </c>
      <c r="EN30" s="168">
        <f t="shared" si="39"/>
        <v>63.36</v>
      </c>
      <c r="EO30" s="242">
        <f>11.1+3.12</f>
        <v>14.219999999999999</v>
      </c>
      <c r="EP30" s="224">
        <f>2.5+1.56</f>
        <v>4.0600000000000005</v>
      </c>
      <c r="EQ30" s="224">
        <f>25.84+0.52</f>
        <v>26.36</v>
      </c>
      <c r="ER30" s="224">
        <f>2.8+2.34</f>
        <v>5.14</v>
      </c>
      <c r="ES30" s="243">
        <f>1.5+1.3</f>
        <v>2.8</v>
      </c>
      <c r="ET30" s="168">
        <f t="shared" si="40"/>
        <v>52.58</v>
      </c>
      <c r="EU30" s="242">
        <f>1.2+2.34</f>
        <v>3.54</v>
      </c>
      <c r="EV30" s="224">
        <v>7.3</v>
      </c>
      <c r="EW30" s="224">
        <f>22.34+4.68</f>
        <v>27.02</v>
      </c>
      <c r="EX30" s="224">
        <f>2+1.82</f>
        <v>3.8200000000000003</v>
      </c>
      <c r="EY30" s="224">
        <v>0.52</v>
      </c>
      <c r="EZ30" s="224">
        <v>2.34</v>
      </c>
      <c r="FA30" s="243">
        <v>13.7</v>
      </c>
      <c r="FB30" s="168">
        <f t="shared" si="41"/>
        <v>58.240000000000009</v>
      </c>
      <c r="FC30" s="168">
        <f t="shared" si="42"/>
        <v>278.86</v>
      </c>
      <c r="FD30" s="242">
        <v>10.5</v>
      </c>
      <c r="FE30" s="224">
        <f>6.1+4.16</f>
        <v>10.26</v>
      </c>
      <c r="FF30" s="243">
        <f>63.84+6.76</f>
        <v>70.600000000000009</v>
      </c>
      <c r="FG30" s="168">
        <f t="shared" si="43"/>
        <v>91.360000000000014</v>
      </c>
      <c r="FH30" s="242">
        <f>6.8+3.9</f>
        <v>10.7</v>
      </c>
      <c r="FI30" s="224">
        <f>1.1+3.38</f>
        <v>4.4800000000000004</v>
      </c>
      <c r="FJ30" s="224">
        <f>19.6+4.42</f>
        <v>24.020000000000003</v>
      </c>
      <c r="FK30" s="224">
        <v>4.0999999999999996</v>
      </c>
      <c r="FL30" s="243">
        <v>1.64</v>
      </c>
      <c r="FM30" s="168">
        <f t="shared" si="44"/>
        <v>44.940000000000005</v>
      </c>
      <c r="FN30" s="242">
        <v>15.1</v>
      </c>
      <c r="FO30" s="224">
        <v>13.8</v>
      </c>
      <c r="FP30" s="224">
        <v>5.98</v>
      </c>
      <c r="FQ30" s="224">
        <v>4.8</v>
      </c>
      <c r="FR30" s="168">
        <f t="shared" si="45"/>
        <v>39.679999999999993</v>
      </c>
      <c r="FS30" s="242">
        <v>19.2</v>
      </c>
      <c r="FT30" s="224">
        <v>4.84</v>
      </c>
      <c r="FU30" s="224">
        <v>1.8</v>
      </c>
      <c r="FV30" s="224">
        <v>17.600000000000001</v>
      </c>
      <c r="FW30" s="243">
        <v>1.3</v>
      </c>
      <c r="FX30" s="168">
        <f t="shared" si="46"/>
        <v>44.739999999999995</v>
      </c>
      <c r="FY30" s="242">
        <f>9.1+2.86</f>
        <v>11.959999999999999</v>
      </c>
      <c r="FZ30" s="224">
        <f>4+11.18</f>
        <v>15.18</v>
      </c>
      <c r="GA30" s="224">
        <f>15.2+6.24</f>
        <v>21.439999999999998</v>
      </c>
      <c r="GB30" s="224">
        <v>2</v>
      </c>
      <c r="GC30" s="243">
        <f>0.3+1.56</f>
        <v>1.86</v>
      </c>
      <c r="GD30" s="168">
        <f t="shared" si="47"/>
        <v>52.44</v>
      </c>
      <c r="GE30" s="168">
        <f t="shared" si="20"/>
        <v>273.16000000000003</v>
      </c>
      <c r="GF30" s="242">
        <v>33.9</v>
      </c>
      <c r="GG30" s="224">
        <v>42.8</v>
      </c>
      <c r="GH30" s="224"/>
      <c r="GI30" s="224">
        <v>2</v>
      </c>
      <c r="GJ30" s="224">
        <v>15.4</v>
      </c>
      <c r="GK30" s="168">
        <f t="shared" si="48"/>
        <v>94.1</v>
      </c>
      <c r="GL30" s="242">
        <v>8.1</v>
      </c>
      <c r="GM30" s="224">
        <f>2.5+17.68</f>
        <v>20.18</v>
      </c>
      <c r="GN30" s="224">
        <v>15.2</v>
      </c>
      <c r="GO30" s="243">
        <f>8.06+7.3</f>
        <v>15.36</v>
      </c>
      <c r="GP30" s="168">
        <f t="shared" si="49"/>
        <v>58.84</v>
      </c>
      <c r="GQ30" s="242">
        <v>0.5</v>
      </c>
      <c r="GR30" s="224">
        <f>8.84+5.8</f>
        <v>14.64</v>
      </c>
      <c r="GS30" s="224">
        <f>35.9+2.34</f>
        <v>38.239999999999995</v>
      </c>
      <c r="GT30" s="224">
        <f>2.34+3.68</f>
        <v>6.02</v>
      </c>
      <c r="GU30" s="243"/>
      <c r="GV30" s="168">
        <f t="shared" si="50"/>
        <v>59.399999999999991</v>
      </c>
      <c r="GW30" s="242">
        <f>3.12+14.8</f>
        <v>17.920000000000002</v>
      </c>
      <c r="GX30" s="224">
        <v>10.3</v>
      </c>
      <c r="GY30" s="224">
        <f>3.64+0.5</f>
        <v>4.1400000000000006</v>
      </c>
      <c r="GZ30" s="224">
        <f>16.6+2.6</f>
        <v>19.200000000000003</v>
      </c>
      <c r="HA30" s="224">
        <f>1.3+2.6</f>
        <v>3.9000000000000004</v>
      </c>
      <c r="HB30" s="243">
        <f>0.8+1.04</f>
        <v>1.84</v>
      </c>
      <c r="HC30" s="168">
        <f t="shared" si="51"/>
        <v>57.300000000000004</v>
      </c>
      <c r="HD30" s="168">
        <f t="shared" si="21"/>
        <v>269.64</v>
      </c>
      <c r="HE30" s="242">
        <f>5.5+1.3</f>
        <v>6.8</v>
      </c>
      <c r="HF30" s="224">
        <f>6.76+75</f>
        <v>81.760000000000005</v>
      </c>
      <c r="HG30" s="224">
        <v>0.5</v>
      </c>
      <c r="HH30" s="224">
        <f>1.82+4.1</f>
        <v>5.92</v>
      </c>
      <c r="HI30" s="168">
        <f t="shared" si="52"/>
        <v>94.98</v>
      </c>
      <c r="HJ30" s="242">
        <f>3+1.3</f>
        <v>4.3</v>
      </c>
      <c r="HK30" s="224">
        <f>1.3+5.9</f>
        <v>7.2</v>
      </c>
      <c r="HL30" s="224">
        <v>14.1</v>
      </c>
      <c r="HM30" s="224">
        <f>3.64+12</f>
        <v>15.64</v>
      </c>
      <c r="HN30" s="243"/>
      <c r="HO30" s="168">
        <f t="shared" si="53"/>
        <v>41.24</v>
      </c>
      <c r="HP30" s="242">
        <v>11.6</v>
      </c>
      <c r="HQ30" s="224">
        <v>4</v>
      </c>
      <c r="HR30" s="224">
        <f>7.02+1.5</f>
        <v>8.52</v>
      </c>
      <c r="HS30" s="224">
        <f>20.3+15.6</f>
        <v>35.9</v>
      </c>
      <c r="HT30" s="243">
        <f>1.82+2.6</f>
        <v>4.42</v>
      </c>
      <c r="HU30" s="168">
        <f t="shared" si="54"/>
        <v>64.44</v>
      </c>
      <c r="HV30" s="242">
        <f>5.5+2.86</f>
        <v>8.36</v>
      </c>
      <c r="HW30" s="224">
        <v>9.6999999999999993</v>
      </c>
      <c r="HX30" s="224">
        <v>18.7</v>
      </c>
      <c r="HY30" s="168">
        <f t="shared" si="22"/>
        <v>36.76</v>
      </c>
      <c r="HZ30" s="242">
        <f>5.3+7.8</f>
        <v>13.1</v>
      </c>
      <c r="IA30" s="224">
        <v>1</v>
      </c>
      <c r="IB30" s="243">
        <f>20.2+7.8</f>
        <v>28</v>
      </c>
      <c r="IC30" s="168">
        <f t="shared" si="55"/>
        <v>42.1</v>
      </c>
      <c r="ID30" s="168">
        <f t="shared" si="23"/>
        <v>279.52</v>
      </c>
      <c r="IE30" s="242">
        <f>3.3+5.72</f>
        <v>9.02</v>
      </c>
      <c r="IF30" s="243">
        <f>1.82+63.7</f>
        <v>65.52</v>
      </c>
      <c r="IG30" s="168">
        <f t="shared" si="56"/>
        <v>74.539999999999992</v>
      </c>
      <c r="IH30" s="242">
        <f>10.9+4.42</f>
        <v>15.32</v>
      </c>
      <c r="II30" s="224">
        <v>6.4</v>
      </c>
      <c r="IJ30" s="224">
        <f>3.1+4.42</f>
        <v>7.52</v>
      </c>
      <c r="IK30" s="224">
        <f>1.82+9</f>
        <v>10.82</v>
      </c>
      <c r="IL30" s="243">
        <f>28.7+1.3</f>
        <v>30</v>
      </c>
      <c r="IM30" s="168">
        <f t="shared" si="57"/>
        <v>70.06</v>
      </c>
      <c r="IN30" s="242">
        <v>9</v>
      </c>
      <c r="IO30" s="224">
        <f>3.12+8.1</f>
        <v>11.219999999999999</v>
      </c>
      <c r="IP30" s="243">
        <f>22.5+2.86</f>
        <v>25.36</v>
      </c>
      <c r="IQ30" s="168">
        <f t="shared" si="58"/>
        <v>45.58</v>
      </c>
      <c r="IR30" s="242">
        <f>7.54+2.16</f>
        <v>9.6999999999999993</v>
      </c>
      <c r="IS30" s="224">
        <v>26.5</v>
      </c>
      <c r="IT30" s="224">
        <v>2.08</v>
      </c>
      <c r="IU30" s="224">
        <f>19.7+6.24</f>
        <v>25.939999999999998</v>
      </c>
      <c r="IV30" s="243">
        <v>0.5</v>
      </c>
      <c r="IW30" s="168">
        <f t="shared" si="59"/>
        <v>64.72</v>
      </c>
      <c r="IX30" s="242">
        <f>8+4.42</f>
        <v>12.42</v>
      </c>
      <c r="IY30" s="224">
        <f>2.08+5.5</f>
        <v>7.58</v>
      </c>
      <c r="IZ30" s="224">
        <f>24.8+4.16</f>
        <v>28.96</v>
      </c>
      <c r="JA30" s="224">
        <f>1.56+1.74</f>
        <v>3.3</v>
      </c>
      <c r="JB30" s="243">
        <v>0.78</v>
      </c>
      <c r="JC30" s="168">
        <f t="shared" si="60"/>
        <v>53.04</v>
      </c>
      <c r="JD30" s="168">
        <f t="shared" si="24"/>
        <v>307.94</v>
      </c>
      <c r="JE30" s="242">
        <v>6.8</v>
      </c>
      <c r="JF30" s="224">
        <f>73.6+4.42</f>
        <v>78.02</v>
      </c>
      <c r="JG30" s="224">
        <f>1.3+0.5</f>
        <v>1.8</v>
      </c>
      <c r="JH30" s="224">
        <f>9.1+3.64</f>
        <v>12.74</v>
      </c>
      <c r="JI30" s="243"/>
      <c r="JJ30" s="168">
        <f t="shared" si="61"/>
        <v>99.359999999999985</v>
      </c>
      <c r="JK30" s="242"/>
      <c r="JL30" s="224"/>
      <c r="JM30" s="224"/>
      <c r="JN30" s="224"/>
      <c r="JO30" s="243"/>
      <c r="JP30" s="168">
        <f t="shared" si="62"/>
        <v>0</v>
      </c>
      <c r="JQ30" s="242"/>
      <c r="JR30" s="224"/>
      <c r="JS30" s="224"/>
      <c r="JT30" s="224"/>
      <c r="JU30" s="243"/>
      <c r="JV30" s="168">
        <f t="shared" si="63"/>
        <v>0</v>
      </c>
      <c r="JW30" s="242"/>
      <c r="JX30" s="224"/>
      <c r="JY30" s="224"/>
      <c r="JZ30" s="224"/>
      <c r="KA30" s="224"/>
      <c r="KB30" s="243"/>
      <c r="KC30" s="168">
        <f t="shared" si="64"/>
        <v>0</v>
      </c>
      <c r="KD30" s="168">
        <f t="shared" si="65"/>
        <v>99.359999999999985</v>
      </c>
      <c r="KE30" s="242"/>
      <c r="KF30" s="224"/>
      <c r="KG30" s="224"/>
      <c r="KH30" s="224"/>
      <c r="KI30" s="243"/>
      <c r="KJ30" s="168">
        <f t="shared" si="66"/>
        <v>0</v>
      </c>
      <c r="KK30" s="242"/>
      <c r="KL30" s="224"/>
      <c r="KM30" s="224"/>
      <c r="KN30" s="224"/>
      <c r="KO30" s="243"/>
      <c r="KP30" s="168">
        <f t="shared" si="67"/>
        <v>0</v>
      </c>
      <c r="KQ30" s="242"/>
      <c r="KR30" s="224"/>
      <c r="KS30" s="224"/>
      <c r="KT30" s="224"/>
      <c r="KU30" s="243"/>
      <c r="KV30" s="168">
        <f t="shared" si="68"/>
        <v>0</v>
      </c>
      <c r="KW30" s="242"/>
      <c r="KX30" s="224"/>
      <c r="KY30" s="224"/>
      <c r="KZ30" s="224"/>
      <c r="LA30" s="243"/>
      <c r="LB30" s="168">
        <f t="shared" si="69"/>
        <v>0</v>
      </c>
      <c r="LC30" s="242"/>
      <c r="LD30" s="224"/>
      <c r="LE30" s="243"/>
      <c r="LF30" s="168">
        <f t="shared" si="70"/>
        <v>0</v>
      </c>
      <c r="LG30" s="168">
        <v>1200</v>
      </c>
    </row>
    <row r="31" spans="2:324">
      <c r="B31" s="93" t="s">
        <v>387</v>
      </c>
      <c r="C31" s="167"/>
      <c r="D31" s="181">
        <f t="shared" si="72"/>
        <v>0</v>
      </c>
      <c r="E31" s="167"/>
      <c r="F31" s="177"/>
      <c r="G31" s="177"/>
      <c r="H31" s="177"/>
      <c r="I31" s="178"/>
      <c r="J31" s="181">
        <f t="shared" si="74"/>
        <v>0</v>
      </c>
      <c r="K31" s="167"/>
      <c r="L31" s="177"/>
      <c r="M31" s="177"/>
      <c r="N31" s="178">
        <v>15</v>
      </c>
      <c r="O31" s="181">
        <f t="shared" si="73"/>
        <v>15</v>
      </c>
      <c r="P31" s="167"/>
      <c r="Q31" s="177"/>
      <c r="R31" s="177">
        <v>6</v>
      </c>
      <c r="S31" s="177"/>
      <c r="T31" s="178"/>
      <c r="U31" s="168">
        <f t="shared" si="25"/>
        <v>6</v>
      </c>
      <c r="V31" s="167">
        <v>6</v>
      </c>
      <c r="W31" s="177"/>
      <c r="X31" s="177"/>
      <c r="Y31" s="177"/>
      <c r="Z31" s="177"/>
      <c r="AA31" s="168">
        <f t="shared" si="26"/>
        <v>6</v>
      </c>
      <c r="AB31" s="168">
        <f t="shared" si="8"/>
        <v>27</v>
      </c>
      <c r="AC31" s="242"/>
      <c r="AD31" s="224">
        <f>1.416+3</f>
        <v>4.4160000000000004</v>
      </c>
      <c r="AE31" s="224">
        <v>1.4159999999999999</v>
      </c>
      <c r="AF31" s="224">
        <v>3</v>
      </c>
      <c r="AG31" s="243"/>
      <c r="AH31" s="168">
        <f t="shared" si="27"/>
        <v>8.8320000000000007</v>
      </c>
      <c r="AI31" s="242"/>
      <c r="AJ31" s="224">
        <v>18</v>
      </c>
      <c r="AK31" s="224"/>
      <c r="AL31" s="224"/>
      <c r="AM31" s="243"/>
      <c r="AN31" s="168">
        <f t="shared" si="9"/>
        <v>18</v>
      </c>
      <c r="AO31" s="242">
        <v>6</v>
      </c>
      <c r="AP31" s="224"/>
      <c r="AQ31" s="224">
        <v>3</v>
      </c>
      <c r="AR31" s="224">
        <v>9</v>
      </c>
      <c r="AS31" s="243"/>
      <c r="AT31" s="168">
        <f t="shared" si="28"/>
        <v>18</v>
      </c>
      <c r="AU31" s="242">
        <v>6</v>
      </c>
      <c r="AV31" s="224"/>
      <c r="AW31" s="224"/>
      <c r="AX31" s="224"/>
      <c r="AY31" s="243"/>
      <c r="AZ31" s="168">
        <f t="shared" si="29"/>
        <v>6</v>
      </c>
      <c r="BA31" s="168">
        <f t="shared" si="30"/>
        <v>50.832000000000001</v>
      </c>
      <c r="BB31" s="242"/>
      <c r="BC31" s="224">
        <v>3</v>
      </c>
      <c r="BD31" s="224"/>
      <c r="BE31" s="224"/>
      <c r="BF31" s="243"/>
      <c r="BG31" s="168">
        <f t="shared" si="31"/>
        <v>3</v>
      </c>
      <c r="BH31" s="242"/>
      <c r="BI31" s="224">
        <v>3</v>
      </c>
      <c r="BJ31" s="224"/>
      <c r="BK31" s="224"/>
      <c r="BL31" s="243">
        <v>18</v>
      </c>
      <c r="BM31" s="168">
        <f t="shared" si="10"/>
        <v>21</v>
      </c>
      <c r="BN31" s="242"/>
      <c r="BO31" s="224"/>
      <c r="BP31" s="224"/>
      <c r="BQ31" s="243">
        <v>6</v>
      </c>
      <c r="BR31" s="168">
        <f t="shared" si="11"/>
        <v>6</v>
      </c>
      <c r="BS31" s="242"/>
      <c r="BT31" s="224">
        <v>6</v>
      </c>
      <c r="BU31" s="224"/>
      <c r="BV31" s="224"/>
      <c r="BW31" s="243"/>
      <c r="BX31" s="239">
        <f t="shared" si="12"/>
        <v>6</v>
      </c>
      <c r="BY31" s="242">
        <v>3</v>
      </c>
      <c r="BZ31" s="224"/>
      <c r="CA31" s="168">
        <f t="shared" si="13"/>
        <v>3</v>
      </c>
      <c r="CB31" s="168">
        <f t="shared" si="14"/>
        <v>39</v>
      </c>
      <c r="CC31" s="242"/>
      <c r="CD31" s="224">
        <v>3</v>
      </c>
      <c r="CE31" s="224"/>
      <c r="CF31" s="168">
        <f t="shared" si="15"/>
        <v>3</v>
      </c>
      <c r="CG31" s="242">
        <v>15</v>
      </c>
      <c r="CH31" s="224"/>
      <c r="CI31" s="224"/>
      <c r="CJ31" s="243">
        <v>9</v>
      </c>
      <c r="CK31" s="168">
        <f t="shared" si="32"/>
        <v>24</v>
      </c>
      <c r="CL31" s="167"/>
      <c r="CM31" s="224"/>
      <c r="CN31" s="224">
        <v>6</v>
      </c>
      <c r="CO31" s="224"/>
      <c r="CP31" s="243"/>
      <c r="CQ31" s="168">
        <f t="shared" si="33"/>
        <v>6</v>
      </c>
      <c r="CR31" s="242">
        <v>3</v>
      </c>
      <c r="CS31" s="224"/>
      <c r="CT31" s="224"/>
      <c r="CU31" s="224"/>
      <c r="CV31" s="243"/>
      <c r="CW31" s="168">
        <f t="shared" si="16"/>
        <v>3</v>
      </c>
      <c r="CX31" s="242"/>
      <c r="CY31" s="224"/>
      <c r="CZ31" s="224">
        <v>6</v>
      </c>
      <c r="DA31" s="243"/>
      <c r="DB31" s="168">
        <f t="shared" si="17"/>
        <v>6</v>
      </c>
      <c r="DC31" s="168">
        <f t="shared" si="18"/>
        <v>42</v>
      </c>
      <c r="DD31" s="242"/>
      <c r="DE31" s="224"/>
      <c r="DF31" s="224"/>
      <c r="DG31" s="224"/>
      <c r="DH31" s="224">
        <v>9</v>
      </c>
      <c r="DI31" s="168">
        <f t="shared" si="34"/>
        <v>9</v>
      </c>
      <c r="DJ31" s="242"/>
      <c r="DK31" s="224"/>
      <c r="DL31" s="224"/>
      <c r="DM31" s="224"/>
      <c r="DN31" s="243">
        <v>9</v>
      </c>
      <c r="DO31" s="168">
        <f t="shared" si="35"/>
        <v>9</v>
      </c>
      <c r="DP31" s="242"/>
      <c r="DQ31" s="224"/>
      <c r="DR31" s="224">
        <v>6</v>
      </c>
      <c r="DS31" s="224"/>
      <c r="DT31" s="243"/>
      <c r="DU31" s="168">
        <f t="shared" si="36"/>
        <v>6</v>
      </c>
      <c r="DV31" s="242"/>
      <c r="DW31" s="224"/>
      <c r="DX31" s="224"/>
      <c r="DY31" s="224"/>
      <c r="DZ31" s="243"/>
      <c r="EA31" s="168">
        <f t="shared" si="19"/>
        <v>0</v>
      </c>
      <c r="EB31" s="168">
        <f t="shared" si="37"/>
        <v>24</v>
      </c>
      <c r="EC31" s="242"/>
      <c r="ED31" s="224"/>
      <c r="EE31" s="224"/>
      <c r="EF31" s="224"/>
      <c r="EG31" s="243"/>
      <c r="EH31" s="168">
        <f t="shared" si="38"/>
        <v>0</v>
      </c>
      <c r="EI31" s="242"/>
      <c r="EJ31" s="224"/>
      <c r="EK31" s="224"/>
      <c r="EL31" s="224"/>
      <c r="EM31" s="243">
        <v>12</v>
      </c>
      <c r="EN31" s="168">
        <f t="shared" si="39"/>
        <v>12</v>
      </c>
      <c r="EO31" s="242"/>
      <c r="EP31" s="224"/>
      <c r="EQ31" s="224">
        <v>12</v>
      </c>
      <c r="ER31" s="224"/>
      <c r="ES31" s="243"/>
      <c r="ET31" s="168">
        <f t="shared" si="40"/>
        <v>12</v>
      </c>
      <c r="EU31" s="242"/>
      <c r="EV31" s="224"/>
      <c r="EW31" s="224"/>
      <c r="EX31" s="224"/>
      <c r="EY31" s="224"/>
      <c r="EZ31" s="224"/>
      <c r="FA31" s="243"/>
      <c r="FB31" s="168">
        <f t="shared" si="41"/>
        <v>0</v>
      </c>
      <c r="FC31" s="168">
        <f t="shared" si="42"/>
        <v>24</v>
      </c>
      <c r="FD31" s="242"/>
      <c r="FE31" s="224"/>
      <c r="FF31" s="243"/>
      <c r="FG31" s="168">
        <f t="shared" si="43"/>
        <v>0</v>
      </c>
      <c r="FH31" s="242"/>
      <c r="FI31" s="224"/>
      <c r="FJ31" s="224"/>
      <c r="FK31" s="224"/>
      <c r="FL31" s="243"/>
      <c r="FM31" s="168">
        <f t="shared" si="44"/>
        <v>0</v>
      </c>
      <c r="FN31" s="242"/>
      <c r="FO31" s="224"/>
      <c r="FP31" s="224"/>
      <c r="FQ31" s="224">
        <v>9</v>
      </c>
      <c r="FR31" s="168">
        <f t="shared" si="45"/>
        <v>9</v>
      </c>
      <c r="FS31" s="242"/>
      <c r="FT31" s="224"/>
      <c r="FU31" s="224"/>
      <c r="FV31" s="224"/>
      <c r="FW31" s="243"/>
      <c r="FX31" s="168">
        <f t="shared" si="46"/>
        <v>0</v>
      </c>
      <c r="FY31" s="242">
        <v>3</v>
      </c>
      <c r="FZ31" s="224"/>
      <c r="GA31" s="224"/>
      <c r="GB31" s="224"/>
      <c r="GC31" s="243"/>
      <c r="GD31" s="168">
        <f t="shared" si="47"/>
        <v>3</v>
      </c>
      <c r="GE31" s="168">
        <f t="shared" si="20"/>
        <v>12</v>
      </c>
      <c r="GF31" s="242"/>
      <c r="GG31" s="224"/>
      <c r="GH31" s="224"/>
      <c r="GI31" s="224"/>
      <c r="GJ31" s="224">
        <v>3</v>
      </c>
      <c r="GK31" s="168">
        <f t="shared" si="48"/>
        <v>3</v>
      </c>
      <c r="GL31" s="242"/>
      <c r="GM31" s="224">
        <v>12</v>
      </c>
      <c r="GN31" s="224"/>
      <c r="GO31" s="243">
        <v>6</v>
      </c>
      <c r="GP31" s="168">
        <f t="shared" si="49"/>
        <v>18</v>
      </c>
      <c r="GQ31" s="242">
        <v>12</v>
      </c>
      <c r="GR31" s="224"/>
      <c r="GS31" s="224">
        <v>6</v>
      </c>
      <c r="GT31" s="224"/>
      <c r="GU31" s="243"/>
      <c r="GV31" s="168">
        <f t="shared" si="50"/>
        <v>18</v>
      </c>
      <c r="GW31" s="242"/>
      <c r="GX31" s="224"/>
      <c r="GY31" s="224"/>
      <c r="GZ31" s="224"/>
      <c r="HA31" s="224"/>
      <c r="HB31" s="243"/>
      <c r="HC31" s="168">
        <f t="shared" si="51"/>
        <v>0</v>
      </c>
      <c r="HD31" s="168">
        <f t="shared" si="21"/>
        <v>39</v>
      </c>
      <c r="HE31" s="242">
        <v>18</v>
      </c>
      <c r="HF31" s="224"/>
      <c r="HG31" s="224"/>
      <c r="HH31" s="224">
        <v>6</v>
      </c>
      <c r="HI31" s="168">
        <f t="shared" si="52"/>
        <v>24</v>
      </c>
      <c r="HJ31" s="242"/>
      <c r="HK31" s="224"/>
      <c r="HL31" s="224">
        <v>6</v>
      </c>
      <c r="HM31" s="224"/>
      <c r="HN31" s="243"/>
      <c r="HO31" s="168">
        <f t="shared" si="53"/>
        <v>6</v>
      </c>
      <c r="HP31" s="242"/>
      <c r="HQ31" s="224">
        <v>12</v>
      </c>
      <c r="HR31" s="224"/>
      <c r="HS31" s="224"/>
      <c r="HT31" s="243"/>
      <c r="HU31" s="168">
        <f t="shared" si="54"/>
        <v>12</v>
      </c>
      <c r="HV31" s="242"/>
      <c r="HW31" s="224"/>
      <c r="HX31" s="224"/>
      <c r="HY31" s="168">
        <f t="shared" si="22"/>
        <v>0</v>
      </c>
      <c r="HZ31" s="242"/>
      <c r="IA31" s="224"/>
      <c r="IB31" s="243">
        <v>1.4159999999999999</v>
      </c>
      <c r="IC31" s="168">
        <f t="shared" si="55"/>
        <v>1.4159999999999999</v>
      </c>
      <c r="ID31" s="168">
        <f t="shared" si="23"/>
        <v>43.415999999999997</v>
      </c>
      <c r="IE31" s="242">
        <v>12</v>
      </c>
      <c r="IF31" s="243"/>
      <c r="IG31" s="168">
        <f t="shared" si="56"/>
        <v>12</v>
      </c>
      <c r="IH31" s="242"/>
      <c r="II31" s="224"/>
      <c r="IJ31" s="224"/>
      <c r="IK31" s="224"/>
      <c r="IL31" s="243"/>
      <c r="IM31" s="168">
        <f t="shared" si="57"/>
        <v>0</v>
      </c>
      <c r="IN31" s="242"/>
      <c r="IO31" s="224"/>
      <c r="IP31" s="243">
        <v>18</v>
      </c>
      <c r="IQ31" s="168">
        <f t="shared" si="58"/>
        <v>18</v>
      </c>
      <c r="IR31" s="242"/>
      <c r="IS31" s="224"/>
      <c r="IT31" s="224">
        <v>3</v>
      </c>
      <c r="IU31" s="224"/>
      <c r="IV31" s="243"/>
      <c r="IW31" s="168">
        <f t="shared" si="59"/>
        <v>3</v>
      </c>
      <c r="IX31" s="242"/>
      <c r="IY31" s="224"/>
      <c r="IZ31" s="224"/>
      <c r="JA31" s="224"/>
      <c r="JB31" s="243">
        <v>18</v>
      </c>
      <c r="JC31" s="168">
        <f t="shared" si="60"/>
        <v>18</v>
      </c>
      <c r="JD31" s="168">
        <f t="shared" si="24"/>
        <v>51</v>
      </c>
      <c r="JE31" s="242"/>
      <c r="JF31" s="224"/>
      <c r="JG31" s="224"/>
      <c r="JH31" s="224"/>
      <c r="JI31" s="243"/>
      <c r="JJ31" s="168">
        <f t="shared" si="61"/>
        <v>0</v>
      </c>
      <c r="JK31" s="242"/>
      <c r="JL31" s="224"/>
      <c r="JM31" s="224"/>
      <c r="JN31" s="224"/>
      <c r="JO31" s="243"/>
      <c r="JP31" s="168">
        <f t="shared" si="62"/>
        <v>0</v>
      </c>
      <c r="JQ31" s="242"/>
      <c r="JR31" s="224"/>
      <c r="JS31" s="224"/>
      <c r="JT31" s="224"/>
      <c r="JU31" s="243"/>
      <c r="JV31" s="168">
        <f t="shared" si="63"/>
        <v>0</v>
      </c>
      <c r="JW31" s="242"/>
      <c r="JX31" s="224"/>
      <c r="JY31" s="224"/>
      <c r="JZ31" s="224"/>
      <c r="KA31" s="224"/>
      <c r="KB31" s="243"/>
      <c r="KC31" s="168">
        <f t="shared" si="64"/>
        <v>0</v>
      </c>
      <c r="KD31" s="168">
        <f t="shared" si="65"/>
        <v>0</v>
      </c>
      <c r="KE31" s="242"/>
      <c r="KF31" s="224"/>
      <c r="KG31" s="224"/>
      <c r="KH31" s="224"/>
      <c r="KI31" s="243"/>
      <c r="KJ31" s="168"/>
      <c r="KK31" s="242"/>
      <c r="KL31" s="224"/>
      <c r="KM31" s="224"/>
      <c r="KN31" s="224"/>
      <c r="KO31" s="243"/>
      <c r="KP31" s="168"/>
      <c r="KQ31" s="242"/>
      <c r="KR31" s="224"/>
      <c r="KS31" s="224"/>
      <c r="KT31" s="224"/>
      <c r="KU31" s="243"/>
      <c r="KV31" s="168"/>
      <c r="KW31" s="242"/>
      <c r="KX31" s="224"/>
      <c r="KY31" s="224"/>
      <c r="KZ31" s="224"/>
      <c r="LA31" s="243"/>
      <c r="LB31" s="168"/>
      <c r="LC31" s="242"/>
      <c r="LD31" s="224"/>
      <c r="LE31" s="243"/>
      <c r="LF31" s="168"/>
      <c r="LG31" s="168">
        <f t="shared" si="71"/>
        <v>0</v>
      </c>
    </row>
    <row r="32" spans="2:324">
      <c r="B32" s="93" t="s">
        <v>377</v>
      </c>
      <c r="C32" s="167">
        <v>342.00099999999998</v>
      </c>
      <c r="D32" s="181">
        <f t="shared" si="72"/>
        <v>342.00099999999998</v>
      </c>
      <c r="E32" s="167"/>
      <c r="F32" s="177"/>
      <c r="G32" s="177"/>
      <c r="H32" s="177"/>
      <c r="I32" s="178"/>
      <c r="J32" s="181">
        <f t="shared" si="74"/>
        <v>0</v>
      </c>
      <c r="K32" s="167"/>
      <c r="L32" s="177"/>
      <c r="M32" s="177"/>
      <c r="N32" s="178"/>
      <c r="O32" s="181">
        <f t="shared" si="73"/>
        <v>0</v>
      </c>
      <c r="P32" s="167"/>
      <c r="Q32" s="177"/>
      <c r="R32" s="177"/>
      <c r="S32" s="177"/>
      <c r="T32" s="178"/>
      <c r="U32" s="168">
        <f t="shared" si="25"/>
        <v>0</v>
      </c>
      <c r="V32" s="167"/>
      <c r="W32" s="177"/>
      <c r="X32" s="177"/>
      <c r="Y32" s="177"/>
      <c r="Z32" s="177"/>
      <c r="AA32" s="168">
        <f t="shared" si="26"/>
        <v>0</v>
      </c>
      <c r="AB32" s="168">
        <f t="shared" si="8"/>
        <v>342.00099999999998</v>
      </c>
      <c r="AC32" s="242">
        <v>352.00099999999998</v>
      </c>
      <c r="AD32" s="224"/>
      <c r="AE32" s="224"/>
      <c r="AF32" s="224"/>
      <c r="AG32" s="243"/>
      <c r="AH32" s="168">
        <f t="shared" si="27"/>
        <v>352.00099999999998</v>
      </c>
      <c r="AI32" s="242"/>
      <c r="AJ32" s="224"/>
      <c r="AK32" s="224"/>
      <c r="AL32" s="224"/>
      <c r="AM32" s="243"/>
      <c r="AN32" s="168">
        <f t="shared" si="9"/>
        <v>0</v>
      </c>
      <c r="AO32" s="242"/>
      <c r="AP32" s="224"/>
      <c r="AQ32" s="224"/>
      <c r="AR32" s="224"/>
      <c r="AS32" s="243"/>
      <c r="AT32" s="168">
        <f t="shared" si="28"/>
        <v>0</v>
      </c>
      <c r="AU32" s="242"/>
      <c r="AV32" s="224"/>
      <c r="AW32" s="224"/>
      <c r="AX32" s="224"/>
      <c r="AY32" s="243"/>
      <c r="AZ32" s="168">
        <f t="shared" si="29"/>
        <v>0</v>
      </c>
      <c r="BA32" s="168">
        <f t="shared" si="30"/>
        <v>352.00099999999998</v>
      </c>
      <c r="BB32" s="242">
        <v>342.00099999999998</v>
      </c>
      <c r="BC32" s="224"/>
      <c r="BD32" s="224"/>
      <c r="BE32" s="224"/>
      <c r="BF32" s="243"/>
      <c r="BG32" s="168">
        <f t="shared" si="31"/>
        <v>342.00099999999998</v>
      </c>
      <c r="BH32" s="242"/>
      <c r="BI32" s="224"/>
      <c r="BJ32" s="224"/>
      <c r="BK32" s="224"/>
      <c r="BL32" s="243"/>
      <c r="BM32" s="168">
        <f t="shared" si="10"/>
        <v>0</v>
      </c>
      <c r="BN32" s="242"/>
      <c r="BO32" s="224"/>
      <c r="BP32" s="224"/>
      <c r="BQ32" s="243"/>
      <c r="BR32" s="168">
        <f t="shared" si="11"/>
        <v>0</v>
      </c>
      <c r="BS32" s="242"/>
      <c r="BT32" s="224"/>
      <c r="BU32" s="224"/>
      <c r="BV32" s="224"/>
      <c r="BW32" s="243"/>
      <c r="BX32" s="239">
        <f t="shared" si="12"/>
        <v>0</v>
      </c>
      <c r="BY32" s="242"/>
      <c r="BZ32" s="224"/>
      <c r="CA32" s="168">
        <f t="shared" si="13"/>
        <v>0</v>
      </c>
      <c r="CB32" s="168">
        <f t="shared" si="14"/>
        <v>342.00099999999998</v>
      </c>
      <c r="CC32" s="242"/>
      <c r="CD32" s="224">
        <v>342.00099999999998</v>
      </c>
      <c r="CE32" s="224"/>
      <c r="CF32" s="168">
        <f t="shared" si="15"/>
        <v>342.00099999999998</v>
      </c>
      <c r="CG32" s="242"/>
      <c r="CH32" s="224"/>
      <c r="CI32" s="224"/>
      <c r="CJ32" s="243"/>
      <c r="CK32" s="168">
        <f t="shared" si="32"/>
        <v>0</v>
      </c>
      <c r="CL32" s="167"/>
      <c r="CM32" s="224"/>
      <c r="CN32" s="224"/>
      <c r="CO32" s="224"/>
      <c r="CP32" s="243"/>
      <c r="CQ32" s="168">
        <f t="shared" si="33"/>
        <v>0</v>
      </c>
      <c r="CR32" s="242"/>
      <c r="CS32" s="224"/>
      <c r="CT32" s="224"/>
      <c r="CU32" s="224"/>
      <c r="CV32" s="243">
        <v>25</v>
      </c>
      <c r="CW32" s="168">
        <f t="shared" si="16"/>
        <v>25</v>
      </c>
      <c r="CX32" s="242"/>
      <c r="CY32" s="224"/>
      <c r="CZ32" s="224"/>
      <c r="DA32" s="243"/>
      <c r="DB32" s="168">
        <f t="shared" si="17"/>
        <v>0</v>
      </c>
      <c r="DC32" s="168">
        <f t="shared" si="18"/>
        <v>367.00099999999998</v>
      </c>
      <c r="DD32" s="242">
        <v>352.00099999999998</v>
      </c>
      <c r="DE32" s="224"/>
      <c r="DF32" s="224"/>
      <c r="DG32" s="224"/>
      <c r="DH32" s="224"/>
      <c r="DI32" s="168">
        <f t="shared" si="34"/>
        <v>352.00099999999998</v>
      </c>
      <c r="DJ32" s="242"/>
      <c r="DK32" s="224"/>
      <c r="DL32" s="224"/>
      <c r="DM32" s="224"/>
      <c r="DN32" s="243">
        <v>25</v>
      </c>
      <c r="DO32" s="168">
        <f t="shared" si="35"/>
        <v>25</v>
      </c>
      <c r="DP32" s="242"/>
      <c r="DQ32" s="224"/>
      <c r="DR32" s="224"/>
      <c r="DS32" s="224"/>
      <c r="DT32" s="243"/>
      <c r="DU32" s="168">
        <f t="shared" si="36"/>
        <v>0</v>
      </c>
      <c r="DV32" s="242"/>
      <c r="DW32" s="224"/>
      <c r="DX32" s="224"/>
      <c r="DY32" s="224"/>
      <c r="DZ32" s="243"/>
      <c r="EA32" s="168">
        <f t="shared" si="19"/>
        <v>0</v>
      </c>
      <c r="EB32" s="168">
        <f t="shared" si="37"/>
        <v>377.00099999999998</v>
      </c>
      <c r="EC32" s="242">
        <v>372.00099999999998</v>
      </c>
      <c r="ED32" s="224"/>
      <c r="EE32" s="224"/>
      <c r="EF32" s="224"/>
      <c r="EG32" s="243"/>
      <c r="EH32" s="168">
        <f t="shared" si="38"/>
        <v>372.00099999999998</v>
      </c>
      <c r="EI32" s="242"/>
      <c r="EJ32" s="224"/>
      <c r="EK32" s="224"/>
      <c r="EL32" s="224"/>
      <c r="EM32" s="243"/>
      <c r="EN32" s="168">
        <f t="shared" si="39"/>
        <v>0</v>
      </c>
      <c r="EO32" s="242"/>
      <c r="EP32" s="224"/>
      <c r="EQ32" s="224"/>
      <c r="ER32" s="224"/>
      <c r="ES32" s="243"/>
      <c r="ET32" s="168">
        <f t="shared" si="40"/>
        <v>0</v>
      </c>
      <c r="EU32" s="242"/>
      <c r="EV32" s="224"/>
      <c r="EW32" s="224"/>
      <c r="EX32" s="224"/>
      <c r="EY32" s="224"/>
      <c r="EZ32" s="224"/>
      <c r="FA32" s="243"/>
      <c r="FB32" s="168">
        <f t="shared" si="41"/>
        <v>0</v>
      </c>
      <c r="FC32" s="168">
        <f t="shared" si="42"/>
        <v>372.00099999999998</v>
      </c>
      <c r="FD32" s="242">
        <v>372.00099999999998</v>
      </c>
      <c r="FE32" s="224"/>
      <c r="FF32" s="243"/>
      <c r="FG32" s="168">
        <f t="shared" si="43"/>
        <v>372.00099999999998</v>
      </c>
      <c r="FH32" s="242"/>
      <c r="FI32" s="224"/>
      <c r="FJ32" s="224"/>
      <c r="FK32" s="224"/>
      <c r="FL32" s="243"/>
      <c r="FM32" s="168">
        <f t="shared" si="44"/>
        <v>0</v>
      </c>
      <c r="FN32" s="242"/>
      <c r="FO32" s="224"/>
      <c r="FP32" s="224"/>
      <c r="FQ32" s="224"/>
      <c r="FR32" s="168">
        <f t="shared" si="45"/>
        <v>0</v>
      </c>
      <c r="FS32" s="242"/>
      <c r="FT32" s="224"/>
      <c r="FU32" s="224"/>
      <c r="FV32" s="224"/>
      <c r="FW32" s="243"/>
      <c r="FX32" s="168">
        <f t="shared" si="46"/>
        <v>0</v>
      </c>
      <c r="FY32" s="242"/>
      <c r="FZ32" s="224"/>
      <c r="GA32" s="224"/>
      <c r="GB32" s="224"/>
      <c r="GC32" s="243"/>
      <c r="GD32" s="168">
        <f t="shared" si="47"/>
        <v>0</v>
      </c>
      <c r="GE32" s="168">
        <f t="shared" si="20"/>
        <v>372.00099999999998</v>
      </c>
      <c r="GF32" s="242"/>
      <c r="GG32" s="224">
        <v>412.09800000000001</v>
      </c>
      <c r="GH32" s="224"/>
      <c r="GI32" s="224"/>
      <c r="GJ32" s="224"/>
      <c r="GK32" s="168">
        <f t="shared" si="48"/>
        <v>412.09800000000001</v>
      </c>
      <c r="GL32" s="242"/>
      <c r="GM32" s="224"/>
      <c r="GN32" s="224"/>
      <c r="GO32" s="243">
        <v>25</v>
      </c>
      <c r="GP32" s="168">
        <f t="shared" si="49"/>
        <v>25</v>
      </c>
      <c r="GQ32" s="242"/>
      <c r="GR32" s="224"/>
      <c r="GS32" s="224"/>
      <c r="GT32" s="224"/>
      <c r="GU32" s="243"/>
      <c r="GV32" s="168">
        <f t="shared" si="50"/>
        <v>0</v>
      </c>
      <c r="GW32" s="242"/>
      <c r="GX32" s="224"/>
      <c r="GY32" s="224"/>
      <c r="GZ32" s="224"/>
      <c r="HA32" s="224"/>
      <c r="HB32" s="243"/>
      <c r="HC32" s="168">
        <f t="shared" si="51"/>
        <v>0</v>
      </c>
      <c r="HD32" s="168">
        <f t="shared" si="21"/>
        <v>437.09800000000001</v>
      </c>
      <c r="HE32" s="242">
        <v>372.09800000000001</v>
      </c>
      <c r="HF32" s="224"/>
      <c r="HG32" s="224"/>
      <c r="HH32" s="224"/>
      <c r="HI32" s="168">
        <f t="shared" si="52"/>
        <v>372.09800000000001</v>
      </c>
      <c r="HJ32" s="242"/>
      <c r="HK32" s="224"/>
      <c r="HL32" s="224"/>
      <c r="HM32" s="224"/>
      <c r="HN32" s="243"/>
      <c r="HO32" s="168">
        <f t="shared" si="53"/>
        <v>0</v>
      </c>
      <c r="HP32" s="242"/>
      <c r="HQ32" s="224"/>
      <c r="HR32" s="224"/>
      <c r="HS32" s="224"/>
      <c r="HT32" s="243"/>
      <c r="HU32" s="168">
        <f t="shared" si="54"/>
        <v>0</v>
      </c>
      <c r="HV32" s="242"/>
      <c r="HW32" s="224"/>
      <c r="HX32" s="224"/>
      <c r="HY32" s="168">
        <f t="shared" si="22"/>
        <v>0</v>
      </c>
      <c r="HZ32" s="242"/>
      <c r="IA32" s="224"/>
      <c r="IB32" s="243"/>
      <c r="IC32" s="168">
        <f t="shared" si="55"/>
        <v>0</v>
      </c>
      <c r="ID32" s="168">
        <f t="shared" si="23"/>
        <v>372.09800000000001</v>
      </c>
      <c r="IE32" s="242">
        <f>372.098</f>
        <v>372.09800000000001</v>
      </c>
      <c r="IF32" s="243"/>
      <c r="IG32" s="168">
        <f t="shared" si="56"/>
        <v>372.09800000000001</v>
      </c>
      <c r="IH32" s="242"/>
      <c r="II32" s="224"/>
      <c r="IJ32" s="224"/>
      <c r="IK32" s="224"/>
      <c r="IL32" s="243"/>
      <c r="IM32" s="168">
        <f t="shared" si="57"/>
        <v>0</v>
      </c>
      <c r="IN32" s="242"/>
      <c r="IO32" s="224"/>
      <c r="IP32" s="243"/>
      <c r="IQ32" s="168">
        <f t="shared" si="58"/>
        <v>0</v>
      </c>
      <c r="IR32" s="242"/>
      <c r="IS32" s="224"/>
      <c r="IT32" s="224"/>
      <c r="IU32" s="224"/>
      <c r="IV32" s="243"/>
      <c r="IW32" s="168">
        <f t="shared" si="59"/>
        <v>0</v>
      </c>
      <c r="IX32" s="242"/>
      <c r="IY32" s="224"/>
      <c r="IZ32" s="224"/>
      <c r="JA32" s="224"/>
      <c r="JB32" s="243"/>
      <c r="JC32" s="168">
        <f t="shared" si="60"/>
        <v>0</v>
      </c>
      <c r="JD32" s="168">
        <f t="shared" si="24"/>
        <v>372.09800000000001</v>
      </c>
      <c r="JE32" s="242"/>
      <c r="JF32" s="224">
        <f>372.098+25</f>
        <v>397.09800000000001</v>
      </c>
      <c r="JG32" s="224"/>
      <c r="JH32" s="224"/>
      <c r="JI32" s="243"/>
      <c r="JJ32" s="168">
        <f t="shared" si="61"/>
        <v>397.09800000000001</v>
      </c>
      <c r="JK32" s="242"/>
      <c r="JL32" s="224"/>
      <c r="JM32" s="224"/>
      <c r="JN32" s="224"/>
      <c r="JO32" s="243"/>
      <c r="JP32" s="168">
        <f t="shared" si="62"/>
        <v>0</v>
      </c>
      <c r="JQ32" s="242"/>
      <c r="JR32" s="224"/>
      <c r="JS32" s="224"/>
      <c r="JT32" s="224"/>
      <c r="JU32" s="243"/>
      <c r="JV32" s="168">
        <f t="shared" si="63"/>
        <v>0</v>
      </c>
      <c r="JW32" s="242"/>
      <c r="JX32" s="224"/>
      <c r="JY32" s="224"/>
      <c r="JZ32" s="224"/>
      <c r="KA32" s="224"/>
      <c r="KB32" s="243"/>
      <c r="KC32" s="168">
        <f t="shared" si="64"/>
        <v>0</v>
      </c>
      <c r="KD32" s="168">
        <f t="shared" si="65"/>
        <v>397.09800000000001</v>
      </c>
      <c r="KE32" s="242"/>
      <c r="KF32" s="224"/>
      <c r="KG32" s="224"/>
      <c r="KH32" s="224"/>
      <c r="KI32" s="243"/>
      <c r="KJ32" s="168"/>
      <c r="KK32" s="242"/>
      <c r="KL32" s="224"/>
      <c r="KM32" s="224"/>
      <c r="KN32" s="224"/>
      <c r="KO32" s="243"/>
      <c r="KP32" s="168"/>
      <c r="KQ32" s="242"/>
      <c r="KR32" s="224"/>
      <c r="KS32" s="224"/>
      <c r="KT32" s="224"/>
      <c r="KU32" s="243"/>
      <c r="KV32" s="168"/>
      <c r="KW32" s="242"/>
      <c r="KX32" s="224"/>
      <c r="KY32" s="224"/>
      <c r="KZ32" s="224"/>
      <c r="LA32" s="243"/>
      <c r="LB32" s="168"/>
      <c r="LC32" s="242"/>
      <c r="LD32" s="224"/>
      <c r="LE32" s="243"/>
      <c r="LF32" s="168"/>
      <c r="LG32" s="168">
        <f t="shared" si="71"/>
        <v>0</v>
      </c>
    </row>
    <row r="33" spans="2:322">
      <c r="B33" s="93" t="s">
        <v>378</v>
      </c>
      <c r="C33" s="167">
        <v>150</v>
      </c>
      <c r="D33" s="181">
        <f t="shared" si="72"/>
        <v>150</v>
      </c>
      <c r="E33" s="167"/>
      <c r="F33" s="177"/>
      <c r="G33" s="177"/>
      <c r="H33" s="177"/>
      <c r="I33" s="178"/>
      <c r="J33" s="181">
        <f t="shared" si="74"/>
        <v>0</v>
      </c>
      <c r="K33" s="167"/>
      <c r="L33" s="177"/>
      <c r="M33" s="177"/>
      <c r="N33" s="178"/>
      <c r="O33" s="181">
        <f t="shared" si="73"/>
        <v>0</v>
      </c>
      <c r="P33" s="167"/>
      <c r="Q33" s="177"/>
      <c r="R33" s="177">
        <v>25</v>
      </c>
      <c r="S33" s="177"/>
      <c r="T33" s="178"/>
      <c r="U33" s="168">
        <f t="shared" si="25"/>
        <v>25</v>
      </c>
      <c r="V33" s="167"/>
      <c r="W33" s="177"/>
      <c r="X33" s="177"/>
      <c r="Y33" s="177"/>
      <c r="Z33" s="177"/>
      <c r="AA33" s="168">
        <f t="shared" si="26"/>
        <v>0</v>
      </c>
      <c r="AB33" s="168">
        <f t="shared" si="8"/>
        <v>175</v>
      </c>
      <c r="AC33" s="242">
        <v>160</v>
      </c>
      <c r="AD33" s="224"/>
      <c r="AE33" s="224"/>
      <c r="AF33" s="224"/>
      <c r="AG33" s="243"/>
      <c r="AH33" s="168">
        <f t="shared" si="27"/>
        <v>160</v>
      </c>
      <c r="AI33" s="242"/>
      <c r="AJ33" s="224"/>
      <c r="AK33" s="224"/>
      <c r="AL33" s="224"/>
      <c r="AM33" s="243"/>
      <c r="AN33" s="168">
        <f t="shared" si="9"/>
        <v>0</v>
      </c>
      <c r="AO33" s="242"/>
      <c r="AP33" s="224"/>
      <c r="AQ33" s="224"/>
      <c r="AR33" s="224"/>
      <c r="AS33" s="243"/>
      <c r="AT33" s="168">
        <f t="shared" si="28"/>
        <v>0</v>
      </c>
      <c r="AU33" s="242"/>
      <c r="AV33" s="224"/>
      <c r="AW33" s="224"/>
      <c r="AX33" s="224"/>
      <c r="AY33" s="243"/>
      <c r="AZ33" s="168">
        <f t="shared" si="29"/>
        <v>0</v>
      </c>
      <c r="BA33" s="168">
        <f t="shared" si="30"/>
        <v>160</v>
      </c>
      <c r="BB33" s="242">
        <v>190</v>
      </c>
      <c r="BC33" s="224"/>
      <c r="BD33" s="224"/>
      <c r="BE33" s="224"/>
      <c r="BF33" s="243"/>
      <c r="BG33" s="168">
        <f t="shared" si="31"/>
        <v>190</v>
      </c>
      <c r="BH33" s="242"/>
      <c r="BI33" s="224"/>
      <c r="BJ33" s="224"/>
      <c r="BK33" s="224"/>
      <c r="BL33" s="243"/>
      <c r="BM33" s="168">
        <f t="shared" si="10"/>
        <v>0</v>
      </c>
      <c r="BN33" s="242"/>
      <c r="BO33" s="224"/>
      <c r="BP33" s="224"/>
      <c r="BQ33" s="243"/>
      <c r="BR33" s="168">
        <f t="shared" si="11"/>
        <v>0</v>
      </c>
      <c r="BS33" s="242"/>
      <c r="BT33" s="224"/>
      <c r="BU33" s="224"/>
      <c r="BV33" s="224"/>
      <c r="BW33" s="243"/>
      <c r="BX33" s="239">
        <f t="shared" si="12"/>
        <v>0</v>
      </c>
      <c r="BY33" s="242"/>
      <c r="BZ33" s="224"/>
      <c r="CA33" s="168">
        <f t="shared" si="13"/>
        <v>0</v>
      </c>
      <c r="CB33" s="168">
        <f t="shared" si="14"/>
        <v>190</v>
      </c>
      <c r="CC33" s="242"/>
      <c r="CD33" s="224">
        <v>190</v>
      </c>
      <c r="CE33" s="224"/>
      <c r="CF33" s="168">
        <f t="shared" si="15"/>
        <v>190</v>
      </c>
      <c r="CG33" s="242"/>
      <c r="CH33" s="224"/>
      <c r="CI33" s="224"/>
      <c r="CJ33" s="243"/>
      <c r="CK33" s="168">
        <f t="shared" si="32"/>
        <v>0</v>
      </c>
      <c r="CL33" s="167"/>
      <c r="CM33" s="224"/>
      <c r="CN33" s="224"/>
      <c r="CO33" s="224"/>
      <c r="CP33" s="243"/>
      <c r="CQ33" s="168">
        <f t="shared" si="33"/>
        <v>0</v>
      </c>
      <c r="CR33" s="242"/>
      <c r="CS33" s="224"/>
      <c r="CT33" s="224"/>
      <c r="CU33" s="224"/>
      <c r="CV33" s="243"/>
      <c r="CW33" s="168">
        <f t="shared" si="16"/>
        <v>0</v>
      </c>
      <c r="CX33" s="242"/>
      <c r="CY33" s="224"/>
      <c r="CZ33" s="224"/>
      <c r="DA33" s="243"/>
      <c r="DB33" s="168">
        <f t="shared" si="17"/>
        <v>0</v>
      </c>
      <c r="DC33" s="168">
        <f t="shared" si="18"/>
        <v>190</v>
      </c>
      <c r="DD33" s="242">
        <v>190</v>
      </c>
      <c r="DE33" s="224"/>
      <c r="DF33" s="224"/>
      <c r="DG33" s="224"/>
      <c r="DH33" s="224">
        <v>25</v>
      </c>
      <c r="DI33" s="168">
        <f t="shared" si="34"/>
        <v>215</v>
      </c>
      <c r="DJ33" s="242"/>
      <c r="DK33" s="224"/>
      <c r="DL33" s="224"/>
      <c r="DM33" s="224"/>
      <c r="DN33" s="243"/>
      <c r="DO33" s="168">
        <f t="shared" si="35"/>
        <v>0</v>
      </c>
      <c r="DP33" s="242"/>
      <c r="DQ33" s="224"/>
      <c r="DR33" s="224"/>
      <c r="DS33" s="224"/>
      <c r="DT33" s="243"/>
      <c r="DU33" s="168">
        <f t="shared" si="36"/>
        <v>0</v>
      </c>
      <c r="DV33" s="242"/>
      <c r="DW33" s="224"/>
      <c r="DX33" s="224"/>
      <c r="DY33" s="224"/>
      <c r="DZ33" s="243"/>
      <c r="EA33" s="168">
        <f t="shared" si="19"/>
        <v>0</v>
      </c>
      <c r="EB33" s="168">
        <f t="shared" si="37"/>
        <v>215</v>
      </c>
      <c r="EC33" s="242">
        <v>190</v>
      </c>
      <c r="ED33" s="224"/>
      <c r="EE33" s="224"/>
      <c r="EF33" s="224"/>
      <c r="EG33" s="243"/>
      <c r="EH33" s="168">
        <f t="shared" si="38"/>
        <v>190</v>
      </c>
      <c r="EI33" s="242"/>
      <c r="EJ33" s="224"/>
      <c r="EK33" s="224"/>
      <c r="EL33" s="224"/>
      <c r="EM33" s="243"/>
      <c r="EN33" s="168">
        <f t="shared" si="39"/>
        <v>0</v>
      </c>
      <c r="EO33" s="242"/>
      <c r="EP33" s="224"/>
      <c r="EQ33" s="224"/>
      <c r="ER33" s="224"/>
      <c r="ES33" s="243"/>
      <c r="ET33" s="168">
        <f t="shared" si="40"/>
        <v>0</v>
      </c>
      <c r="EU33" s="242"/>
      <c r="EV33" s="224"/>
      <c r="EW33" s="224"/>
      <c r="EX33" s="224"/>
      <c r="EY33" s="224"/>
      <c r="EZ33" s="224"/>
      <c r="FA33" s="243"/>
      <c r="FB33" s="168">
        <f t="shared" si="41"/>
        <v>0</v>
      </c>
      <c r="FC33" s="168">
        <f t="shared" si="42"/>
        <v>190</v>
      </c>
      <c r="FD33" s="242">
        <v>150</v>
      </c>
      <c r="FE33" s="224"/>
      <c r="FF33" s="243"/>
      <c r="FG33" s="168">
        <f t="shared" si="43"/>
        <v>150</v>
      </c>
      <c r="FH33" s="242"/>
      <c r="FI33" s="224"/>
      <c r="FJ33" s="224"/>
      <c r="FK33" s="224">
        <v>25</v>
      </c>
      <c r="FL33" s="243"/>
      <c r="FM33" s="168">
        <f t="shared" si="44"/>
        <v>25</v>
      </c>
      <c r="FN33" s="242"/>
      <c r="FO33" s="224"/>
      <c r="FP33" s="224"/>
      <c r="FQ33" s="224"/>
      <c r="FR33" s="168">
        <f t="shared" si="45"/>
        <v>0</v>
      </c>
      <c r="FS33" s="242"/>
      <c r="FT33" s="224"/>
      <c r="FU33" s="224"/>
      <c r="FV33" s="224"/>
      <c r="FW33" s="243"/>
      <c r="FX33" s="168">
        <f t="shared" si="46"/>
        <v>0</v>
      </c>
      <c r="FY33" s="242">
        <v>50</v>
      </c>
      <c r="FZ33" s="224"/>
      <c r="GA33" s="224"/>
      <c r="GB33" s="224"/>
      <c r="GC33" s="243"/>
      <c r="GD33" s="168">
        <f t="shared" si="47"/>
        <v>50</v>
      </c>
      <c r="GE33" s="168">
        <f t="shared" si="20"/>
        <v>225</v>
      </c>
      <c r="GF33" s="242"/>
      <c r="GG33" s="224">
        <v>130</v>
      </c>
      <c r="GH33" s="224"/>
      <c r="GI33" s="224"/>
      <c r="GJ33" s="224"/>
      <c r="GK33" s="168">
        <f t="shared" si="48"/>
        <v>130</v>
      </c>
      <c r="GL33" s="242"/>
      <c r="GM33" s="224"/>
      <c r="GN33" s="224"/>
      <c r="GO33" s="243"/>
      <c r="GP33" s="168">
        <f t="shared" si="49"/>
        <v>0</v>
      </c>
      <c r="GQ33" s="242"/>
      <c r="GR33" s="224"/>
      <c r="GS33" s="224"/>
      <c r="GT33" s="224"/>
      <c r="GU33" s="243"/>
      <c r="GV33" s="168">
        <f t="shared" si="50"/>
        <v>0</v>
      </c>
      <c r="GW33" s="242"/>
      <c r="GX33" s="224"/>
      <c r="GY33" s="224"/>
      <c r="GZ33" s="224"/>
      <c r="HA33" s="224"/>
      <c r="HB33" s="243"/>
      <c r="HC33" s="168">
        <f t="shared" si="51"/>
        <v>0</v>
      </c>
      <c r="HD33" s="168">
        <f t="shared" si="21"/>
        <v>130</v>
      </c>
      <c r="HE33" s="242">
        <v>120</v>
      </c>
      <c r="HF33" s="224"/>
      <c r="HG33" s="224"/>
      <c r="HH33" s="224"/>
      <c r="HI33" s="168">
        <f t="shared" si="52"/>
        <v>120</v>
      </c>
      <c r="HJ33" s="242"/>
      <c r="HK33" s="224"/>
      <c r="HL33" s="224"/>
      <c r="HM33" s="224"/>
      <c r="HN33" s="243"/>
      <c r="HO33" s="168">
        <f t="shared" si="53"/>
        <v>0</v>
      </c>
      <c r="HP33" s="242"/>
      <c r="HQ33" s="224"/>
      <c r="HR33" s="224"/>
      <c r="HS33" s="224"/>
      <c r="HT33" s="243"/>
      <c r="HU33" s="168">
        <f t="shared" si="54"/>
        <v>0</v>
      </c>
      <c r="HV33" s="242"/>
      <c r="HW33" s="224"/>
      <c r="HX33" s="224"/>
      <c r="HY33" s="168">
        <f t="shared" si="22"/>
        <v>0</v>
      </c>
      <c r="HZ33" s="242"/>
      <c r="IA33" s="224"/>
      <c r="IB33" s="243"/>
      <c r="IC33" s="168">
        <f t="shared" si="55"/>
        <v>0</v>
      </c>
      <c r="ID33" s="168">
        <f t="shared" si="23"/>
        <v>120</v>
      </c>
      <c r="IE33" s="242">
        <v>110</v>
      </c>
      <c r="IF33" s="243"/>
      <c r="IG33" s="168">
        <f t="shared" si="56"/>
        <v>110</v>
      </c>
      <c r="IH33" s="242"/>
      <c r="II33" s="224"/>
      <c r="IJ33" s="224"/>
      <c r="IK33" s="224"/>
      <c r="IL33" s="243"/>
      <c r="IM33" s="168">
        <f t="shared" si="57"/>
        <v>0</v>
      </c>
      <c r="IN33" s="242"/>
      <c r="IO33" s="224"/>
      <c r="IP33" s="243"/>
      <c r="IQ33" s="168">
        <f t="shared" si="58"/>
        <v>0</v>
      </c>
      <c r="IR33" s="242"/>
      <c r="IS33" s="224"/>
      <c r="IT33" s="224"/>
      <c r="IU33" s="224"/>
      <c r="IV33" s="243"/>
      <c r="IW33" s="168">
        <f t="shared" si="59"/>
        <v>0</v>
      </c>
      <c r="IX33" s="242"/>
      <c r="IY33" s="224"/>
      <c r="IZ33" s="224"/>
      <c r="JA33" s="224"/>
      <c r="JB33" s="243"/>
      <c r="JC33" s="168">
        <f t="shared" si="60"/>
        <v>0</v>
      </c>
      <c r="JD33" s="168">
        <f t="shared" si="24"/>
        <v>110</v>
      </c>
      <c r="JE33" s="242"/>
      <c r="JF33" s="224">
        <f>80+25</f>
        <v>105</v>
      </c>
      <c r="JG33" s="224"/>
      <c r="JH33" s="224"/>
      <c r="JI33" s="243"/>
      <c r="JJ33" s="168">
        <f t="shared" si="61"/>
        <v>105</v>
      </c>
      <c r="JK33" s="242"/>
      <c r="JL33" s="224"/>
      <c r="JM33" s="224"/>
      <c r="JN33" s="224"/>
      <c r="JO33" s="243"/>
      <c r="JP33" s="168">
        <f t="shared" si="62"/>
        <v>0</v>
      </c>
      <c r="JQ33" s="242"/>
      <c r="JR33" s="224"/>
      <c r="JS33" s="224"/>
      <c r="JT33" s="224"/>
      <c r="JU33" s="243"/>
      <c r="JV33" s="168">
        <f t="shared" si="63"/>
        <v>0</v>
      </c>
      <c r="JW33" s="242"/>
      <c r="JX33" s="224"/>
      <c r="JY33" s="224"/>
      <c r="JZ33" s="224"/>
      <c r="KA33" s="224"/>
      <c r="KB33" s="243"/>
      <c r="KC33" s="168">
        <f t="shared" si="64"/>
        <v>0</v>
      </c>
      <c r="KD33" s="168">
        <f t="shared" si="65"/>
        <v>105</v>
      </c>
      <c r="KE33" s="242"/>
      <c r="KF33" s="224"/>
      <c r="KG33" s="224"/>
      <c r="KH33" s="224"/>
      <c r="KI33" s="243"/>
      <c r="KJ33" s="168"/>
      <c r="KK33" s="242"/>
      <c r="KL33" s="224"/>
      <c r="KM33" s="224"/>
      <c r="KN33" s="224"/>
      <c r="KO33" s="243"/>
      <c r="KP33" s="168"/>
      <c r="KQ33" s="242"/>
      <c r="KR33" s="224"/>
      <c r="KS33" s="224"/>
      <c r="KT33" s="224"/>
      <c r="KU33" s="243"/>
      <c r="KV33" s="168"/>
      <c r="KW33" s="242"/>
      <c r="KX33" s="224"/>
      <c r="KY33" s="224"/>
      <c r="KZ33" s="224"/>
      <c r="LA33" s="243"/>
      <c r="LB33" s="168"/>
      <c r="LC33" s="242"/>
      <c r="LD33" s="224"/>
      <c r="LE33" s="243"/>
      <c r="LF33" s="168"/>
      <c r="LG33" s="168">
        <f t="shared" si="71"/>
        <v>0</v>
      </c>
    </row>
    <row r="34" spans="2:322">
      <c r="B34" s="93" t="s">
        <v>379</v>
      </c>
      <c r="C34" s="167">
        <v>14.16</v>
      </c>
      <c r="D34" s="181">
        <f t="shared" si="72"/>
        <v>14.16</v>
      </c>
      <c r="E34" s="167">
        <v>14.16</v>
      </c>
      <c r="F34" s="177"/>
      <c r="G34" s="177">
        <v>3.54</v>
      </c>
      <c r="H34" s="177"/>
      <c r="I34" s="178"/>
      <c r="J34" s="181">
        <f t="shared" si="74"/>
        <v>17.7</v>
      </c>
      <c r="K34" s="167"/>
      <c r="L34" s="177"/>
      <c r="M34" s="177"/>
      <c r="N34" s="178">
        <v>3.54</v>
      </c>
      <c r="O34" s="181">
        <f t="shared" si="73"/>
        <v>3.54</v>
      </c>
      <c r="P34" s="167"/>
      <c r="Q34" s="177">
        <v>14.16</v>
      </c>
      <c r="R34" s="177"/>
      <c r="S34" s="177">
        <v>3.54</v>
      </c>
      <c r="T34" s="178"/>
      <c r="U34" s="168">
        <f t="shared" si="25"/>
        <v>17.7</v>
      </c>
      <c r="V34" s="167"/>
      <c r="W34" s="177">
        <v>3.54</v>
      </c>
      <c r="X34" s="177">
        <v>3.54</v>
      </c>
      <c r="Y34" s="177">
        <v>3.54</v>
      </c>
      <c r="Z34" s="177">
        <v>3.54</v>
      </c>
      <c r="AA34" s="168">
        <f t="shared" si="26"/>
        <v>14.16</v>
      </c>
      <c r="AB34" s="168">
        <f t="shared" si="8"/>
        <v>67.259999999999991</v>
      </c>
      <c r="AC34" s="242"/>
      <c r="AD34" s="224">
        <v>14.16</v>
      </c>
      <c r="AE34" s="224">
        <v>7.08</v>
      </c>
      <c r="AF34" s="224"/>
      <c r="AG34" s="243"/>
      <c r="AH34" s="168">
        <f t="shared" si="27"/>
        <v>21.240000000000002</v>
      </c>
      <c r="AI34" s="242"/>
      <c r="AJ34" s="224"/>
      <c r="AK34" s="224">
        <v>3.54</v>
      </c>
      <c r="AL34" s="224">
        <v>7.08</v>
      </c>
      <c r="AM34" s="243"/>
      <c r="AN34" s="168">
        <f t="shared" si="9"/>
        <v>10.620000000000001</v>
      </c>
      <c r="AO34" s="242"/>
      <c r="AP34" s="224"/>
      <c r="AQ34" s="224">
        <v>10.62</v>
      </c>
      <c r="AR34" s="224"/>
      <c r="AS34" s="243"/>
      <c r="AT34" s="168">
        <f t="shared" si="28"/>
        <v>10.62</v>
      </c>
      <c r="AU34" s="242"/>
      <c r="AV34" s="224">
        <v>7.08</v>
      </c>
      <c r="AW34" s="224"/>
      <c r="AX34" s="224">
        <v>3.54</v>
      </c>
      <c r="AY34" s="243"/>
      <c r="AZ34" s="168">
        <f t="shared" si="29"/>
        <v>10.620000000000001</v>
      </c>
      <c r="BA34" s="168">
        <f t="shared" si="30"/>
        <v>53.100000000000009</v>
      </c>
      <c r="BB34" s="242"/>
      <c r="BC34" s="224"/>
      <c r="BD34" s="224">
        <v>28.32</v>
      </c>
      <c r="BE34" s="224"/>
      <c r="BF34" s="243"/>
      <c r="BG34" s="168">
        <f t="shared" si="31"/>
        <v>28.32</v>
      </c>
      <c r="BH34" s="242">
        <v>10.62</v>
      </c>
      <c r="BI34" s="224"/>
      <c r="BJ34" s="224"/>
      <c r="BK34" s="224"/>
      <c r="BL34" s="243"/>
      <c r="BM34" s="168">
        <f t="shared" si="10"/>
        <v>10.62</v>
      </c>
      <c r="BN34" s="242"/>
      <c r="BO34" s="224"/>
      <c r="BP34" s="224">
        <v>3.54</v>
      </c>
      <c r="BQ34" s="243">
        <v>3.54</v>
      </c>
      <c r="BR34" s="168">
        <f t="shared" si="11"/>
        <v>7.08</v>
      </c>
      <c r="BS34" s="242"/>
      <c r="BT34" s="224"/>
      <c r="BU34" s="224">
        <v>10.62</v>
      </c>
      <c r="BV34" s="224"/>
      <c r="BW34" s="243">
        <v>3.54</v>
      </c>
      <c r="BX34" s="239">
        <f t="shared" si="12"/>
        <v>14.16</v>
      </c>
      <c r="BY34" s="242"/>
      <c r="BZ34" s="224">
        <v>3.54</v>
      </c>
      <c r="CA34" s="168">
        <f t="shared" si="13"/>
        <v>3.54</v>
      </c>
      <c r="CB34" s="168">
        <f t="shared" si="14"/>
        <v>63.72</v>
      </c>
      <c r="CC34" s="242">
        <v>17.7</v>
      </c>
      <c r="CD34" s="224">
        <v>28.32</v>
      </c>
      <c r="CE34" s="224"/>
      <c r="CF34" s="168">
        <f t="shared" si="15"/>
        <v>46.019999999999996</v>
      </c>
      <c r="CG34" s="242"/>
      <c r="CH34" s="224"/>
      <c r="CI34" s="224">
        <v>3.54</v>
      </c>
      <c r="CJ34" s="243"/>
      <c r="CK34" s="168">
        <f t="shared" si="32"/>
        <v>3.54</v>
      </c>
      <c r="CL34" s="167"/>
      <c r="CM34" s="224"/>
      <c r="CN34" s="224">
        <v>7.08</v>
      </c>
      <c r="CO34" s="224"/>
      <c r="CP34" s="243">
        <v>10.62</v>
      </c>
      <c r="CQ34" s="168">
        <f t="shared" si="33"/>
        <v>17.7</v>
      </c>
      <c r="CR34" s="242"/>
      <c r="CS34" s="224"/>
      <c r="CT34" s="224"/>
      <c r="CU34" s="224">
        <v>10.62</v>
      </c>
      <c r="CV34" s="243"/>
      <c r="CW34" s="168">
        <f t="shared" si="16"/>
        <v>10.62</v>
      </c>
      <c r="CX34" s="242"/>
      <c r="CY34" s="224"/>
      <c r="CZ34" s="224">
        <v>3.54</v>
      </c>
      <c r="DA34" s="243"/>
      <c r="DB34" s="168">
        <f t="shared" si="17"/>
        <v>3.54</v>
      </c>
      <c r="DC34" s="168">
        <f t="shared" si="18"/>
        <v>81.419999999999987</v>
      </c>
      <c r="DD34" s="242"/>
      <c r="DE34" s="224">
        <v>42.48</v>
      </c>
      <c r="DF34" s="224"/>
      <c r="DG34" s="224">
        <v>10.62</v>
      </c>
      <c r="DH34" s="224"/>
      <c r="DI34" s="168">
        <f t="shared" si="34"/>
        <v>53.099999999999994</v>
      </c>
      <c r="DJ34" s="242">
        <v>3.54</v>
      </c>
      <c r="DK34" s="224"/>
      <c r="DL34" s="224"/>
      <c r="DM34" s="224">
        <v>3.54</v>
      </c>
      <c r="DN34" s="243">
        <v>3.54</v>
      </c>
      <c r="DO34" s="168">
        <f t="shared" si="35"/>
        <v>10.620000000000001</v>
      </c>
      <c r="DP34" s="242">
        <v>3.54</v>
      </c>
      <c r="DQ34" s="224"/>
      <c r="DR34" s="224"/>
      <c r="DS34" s="224">
        <v>3.54</v>
      </c>
      <c r="DT34" s="243"/>
      <c r="DU34" s="168">
        <f t="shared" si="36"/>
        <v>7.08</v>
      </c>
      <c r="DV34" s="242">
        <v>14.16</v>
      </c>
      <c r="DW34" s="224"/>
      <c r="DX34" s="224">
        <v>3.54</v>
      </c>
      <c r="DY34" s="224">
        <v>3.54</v>
      </c>
      <c r="DZ34" s="243"/>
      <c r="EA34" s="168">
        <f t="shared" si="19"/>
        <v>21.24</v>
      </c>
      <c r="EB34" s="168">
        <f t="shared" si="37"/>
        <v>92.039999999999992</v>
      </c>
      <c r="EC34" s="242"/>
      <c r="ED34" s="224"/>
      <c r="EE34" s="224">
        <v>42.48</v>
      </c>
      <c r="EF34" s="224"/>
      <c r="EG34" s="243"/>
      <c r="EH34" s="168">
        <f t="shared" si="38"/>
        <v>42.48</v>
      </c>
      <c r="EI34" s="242"/>
      <c r="EJ34" s="224">
        <v>7.08</v>
      </c>
      <c r="EK34" s="224">
        <v>7.08</v>
      </c>
      <c r="EL34" s="224"/>
      <c r="EM34" s="243">
        <v>3.54</v>
      </c>
      <c r="EN34" s="168">
        <f t="shared" si="39"/>
        <v>17.7</v>
      </c>
      <c r="EO34" s="242"/>
      <c r="EP34" s="224">
        <v>3.54</v>
      </c>
      <c r="EQ34" s="224">
        <v>3.54</v>
      </c>
      <c r="ER34" s="224"/>
      <c r="ES34" s="243"/>
      <c r="ET34" s="168">
        <f t="shared" si="40"/>
        <v>7.08</v>
      </c>
      <c r="EU34" s="242"/>
      <c r="EV34" s="224"/>
      <c r="EW34" s="224"/>
      <c r="EX34" s="224">
        <v>7.08</v>
      </c>
      <c r="EY34" s="224"/>
      <c r="EZ34" s="224"/>
      <c r="FA34" s="243"/>
      <c r="FB34" s="168">
        <f t="shared" si="41"/>
        <v>7.08</v>
      </c>
      <c r="FC34" s="168">
        <f t="shared" si="42"/>
        <v>74.339999999999989</v>
      </c>
      <c r="FD34" s="242"/>
      <c r="FE34" s="224">
        <v>31.86</v>
      </c>
      <c r="FF34" s="243"/>
      <c r="FG34" s="168">
        <f t="shared" si="43"/>
        <v>31.86</v>
      </c>
      <c r="FH34" s="242"/>
      <c r="FI34" s="224"/>
      <c r="FJ34" s="224"/>
      <c r="FK34" s="224">
        <v>3.54</v>
      </c>
      <c r="FL34" s="243"/>
      <c r="FM34" s="168">
        <f t="shared" si="44"/>
        <v>3.54</v>
      </c>
      <c r="FN34" s="242"/>
      <c r="FO34" s="224"/>
      <c r="FP34" s="224"/>
      <c r="FQ34" s="224"/>
      <c r="FR34" s="168">
        <f>SUM(FN34:FQ34)</f>
        <v>0</v>
      </c>
      <c r="FS34" s="242">
        <v>3.54</v>
      </c>
      <c r="FT34" s="224"/>
      <c r="FU34" s="224">
        <v>7.08</v>
      </c>
      <c r="FV34" s="224"/>
      <c r="FW34" s="243"/>
      <c r="FX34" s="168">
        <f t="shared" si="46"/>
        <v>10.620000000000001</v>
      </c>
      <c r="FY34" s="242"/>
      <c r="FZ34" s="224">
        <v>3.54</v>
      </c>
      <c r="GA34" s="224">
        <v>3.54</v>
      </c>
      <c r="GB34" s="224">
        <v>3.54</v>
      </c>
      <c r="GC34" s="243">
        <v>3.54</v>
      </c>
      <c r="GD34" s="168">
        <f t="shared" si="47"/>
        <v>14.16</v>
      </c>
      <c r="GE34" s="168">
        <f t="shared" si="20"/>
        <v>60.179999999999993</v>
      </c>
      <c r="GF34" s="242"/>
      <c r="GG34" s="224">
        <v>10.62</v>
      </c>
      <c r="GH34" s="224"/>
      <c r="GI34" s="224"/>
      <c r="GJ34" s="224">
        <v>3.54</v>
      </c>
      <c r="GK34" s="168">
        <f t="shared" si="48"/>
        <v>14.16</v>
      </c>
      <c r="GL34" s="242"/>
      <c r="GM34" s="224"/>
      <c r="GN34" s="224"/>
      <c r="GO34" s="243"/>
      <c r="GP34" s="168">
        <f t="shared" si="49"/>
        <v>0</v>
      </c>
      <c r="GQ34" s="242"/>
      <c r="GR34" s="224"/>
      <c r="GS34" s="224">
        <v>17.7</v>
      </c>
      <c r="GT34" s="224">
        <v>3.54</v>
      </c>
      <c r="GU34" s="243"/>
      <c r="GV34" s="168">
        <f t="shared" si="50"/>
        <v>21.24</v>
      </c>
      <c r="GW34" s="242"/>
      <c r="GX34" s="224"/>
      <c r="GY34" s="224"/>
      <c r="GZ34" s="224">
        <v>3.54</v>
      </c>
      <c r="HA34" s="224"/>
      <c r="HB34" s="243"/>
      <c r="HC34" s="168">
        <f t="shared" si="51"/>
        <v>3.54</v>
      </c>
      <c r="HD34" s="168">
        <f t="shared" si="21"/>
        <v>38.94</v>
      </c>
      <c r="HE34" s="242"/>
      <c r="HF34" s="224">
        <v>42.48</v>
      </c>
      <c r="HG34" s="224"/>
      <c r="HH34" s="224">
        <v>3.54</v>
      </c>
      <c r="HI34" s="168">
        <f t="shared" si="52"/>
        <v>46.019999999999996</v>
      </c>
      <c r="HJ34" s="242"/>
      <c r="HK34" s="224"/>
      <c r="HL34" s="224">
        <v>7.08</v>
      </c>
      <c r="HM34" s="224"/>
      <c r="HN34" s="243"/>
      <c r="HO34" s="168">
        <f t="shared" si="53"/>
        <v>7.08</v>
      </c>
      <c r="HP34" s="242">
        <v>3.54</v>
      </c>
      <c r="HQ34" s="224"/>
      <c r="HR34" s="224"/>
      <c r="HS34" s="224">
        <v>10.62</v>
      </c>
      <c r="HT34" s="243"/>
      <c r="HU34" s="168">
        <f t="shared" si="54"/>
        <v>14.16</v>
      </c>
      <c r="HV34" s="242"/>
      <c r="HW34" s="224"/>
      <c r="HX34" s="224">
        <v>3.54</v>
      </c>
      <c r="HY34" s="168">
        <f t="shared" si="22"/>
        <v>3.54</v>
      </c>
      <c r="HZ34" s="242"/>
      <c r="IA34" s="224"/>
      <c r="IB34" s="243">
        <v>7.08</v>
      </c>
      <c r="IC34" s="168">
        <f t="shared" si="55"/>
        <v>7.08</v>
      </c>
      <c r="ID34" s="168">
        <f t="shared" si="23"/>
        <v>77.88</v>
      </c>
      <c r="IE34" s="242">
        <v>3.54</v>
      </c>
      <c r="IF34" s="243">
        <v>46.02</v>
      </c>
      <c r="IG34" s="168">
        <f t="shared" si="56"/>
        <v>49.56</v>
      </c>
      <c r="IH34" s="242"/>
      <c r="II34" s="224"/>
      <c r="IJ34" s="224">
        <v>7.08</v>
      </c>
      <c r="IK34" s="224"/>
      <c r="IL34" s="243">
        <v>3.54</v>
      </c>
      <c r="IM34" s="168">
        <f t="shared" si="57"/>
        <v>10.620000000000001</v>
      </c>
      <c r="IN34" s="242"/>
      <c r="IO34" s="224"/>
      <c r="IP34" s="243"/>
      <c r="IQ34" s="168">
        <f t="shared" si="58"/>
        <v>0</v>
      </c>
      <c r="IR34" s="242">
        <v>3.54</v>
      </c>
      <c r="IS34" s="224"/>
      <c r="IT34" s="224"/>
      <c r="IU34" s="224"/>
      <c r="IV34" s="243"/>
      <c r="IW34" s="168">
        <f t="shared" si="59"/>
        <v>3.54</v>
      </c>
      <c r="IX34" s="242"/>
      <c r="IY34" s="224">
        <v>3.54</v>
      </c>
      <c r="IZ34" s="224"/>
      <c r="JA34" s="224">
        <v>3.54</v>
      </c>
      <c r="JB34" s="243">
        <v>3.54</v>
      </c>
      <c r="JC34" s="168">
        <f t="shared" si="60"/>
        <v>10.620000000000001</v>
      </c>
      <c r="JD34" s="168">
        <f t="shared" si="24"/>
        <v>74.34</v>
      </c>
      <c r="JE34" s="242"/>
      <c r="JF34" s="224">
        <v>21.24</v>
      </c>
      <c r="JG34" s="224">
        <v>10.62</v>
      </c>
      <c r="JH34" s="224"/>
      <c r="JI34" s="243"/>
      <c r="JJ34" s="168">
        <f t="shared" si="61"/>
        <v>31.86</v>
      </c>
      <c r="JK34" s="242"/>
      <c r="JL34" s="224"/>
      <c r="JM34" s="224"/>
      <c r="JN34" s="224"/>
      <c r="JO34" s="243"/>
      <c r="JP34" s="168">
        <f t="shared" si="62"/>
        <v>0</v>
      </c>
      <c r="JQ34" s="242"/>
      <c r="JR34" s="224"/>
      <c r="JS34" s="224"/>
      <c r="JT34" s="224"/>
      <c r="JU34" s="243"/>
      <c r="JV34" s="168">
        <f t="shared" si="63"/>
        <v>0</v>
      </c>
      <c r="JW34" s="242"/>
      <c r="JX34" s="224"/>
      <c r="JY34" s="224"/>
      <c r="JZ34" s="224"/>
      <c r="KA34" s="224"/>
      <c r="KB34" s="243"/>
      <c r="KC34" s="168">
        <f t="shared" si="64"/>
        <v>0</v>
      </c>
      <c r="KD34" s="168">
        <f t="shared" si="65"/>
        <v>31.86</v>
      </c>
      <c r="KE34" s="242"/>
      <c r="KF34" s="224"/>
      <c r="KG34" s="224"/>
      <c r="KH34" s="224"/>
      <c r="KI34" s="243"/>
      <c r="KJ34" s="168"/>
      <c r="KK34" s="242"/>
      <c r="KL34" s="224"/>
      <c r="KM34" s="224"/>
      <c r="KN34" s="224"/>
      <c r="KO34" s="243"/>
      <c r="KP34" s="168"/>
      <c r="KQ34" s="242"/>
      <c r="KR34" s="224"/>
      <c r="KS34" s="224"/>
      <c r="KT34" s="224"/>
      <c r="KU34" s="243"/>
      <c r="KV34" s="168"/>
      <c r="KW34" s="242"/>
      <c r="KX34" s="224"/>
      <c r="KY34" s="224"/>
      <c r="KZ34" s="224"/>
      <c r="LA34" s="243"/>
      <c r="LB34" s="168"/>
      <c r="LC34" s="242"/>
      <c r="LD34" s="224"/>
      <c r="LE34" s="243"/>
      <c r="LF34" s="168"/>
      <c r="LG34" s="168">
        <f t="shared" si="71"/>
        <v>0</v>
      </c>
    </row>
    <row r="35" spans="2:322">
      <c r="B35" s="93" t="s">
        <v>380</v>
      </c>
      <c r="C35" s="167"/>
      <c r="D35" s="181">
        <f t="shared" si="72"/>
        <v>0</v>
      </c>
      <c r="E35" s="167">
        <v>10</v>
      </c>
      <c r="F35" s="177"/>
      <c r="G35" s="177"/>
      <c r="H35" s="177"/>
      <c r="I35" s="178"/>
      <c r="J35" s="181">
        <f t="shared" si="74"/>
        <v>10</v>
      </c>
      <c r="K35" s="167"/>
      <c r="L35" s="177"/>
      <c r="M35" s="177"/>
      <c r="N35" s="178"/>
      <c r="O35" s="181">
        <f t="shared" si="73"/>
        <v>0</v>
      </c>
      <c r="P35" s="167"/>
      <c r="Q35" s="177"/>
      <c r="R35" s="177"/>
      <c r="S35" s="177"/>
      <c r="T35" s="178"/>
      <c r="U35" s="168">
        <f t="shared" si="25"/>
        <v>0</v>
      </c>
      <c r="V35" s="167"/>
      <c r="W35" s="177"/>
      <c r="X35" s="177"/>
      <c r="Y35" s="177"/>
      <c r="Z35" s="177"/>
      <c r="AA35" s="168">
        <f t="shared" si="26"/>
        <v>0</v>
      </c>
      <c r="AB35" s="168">
        <f t="shared" si="8"/>
        <v>10</v>
      </c>
      <c r="AC35" s="242"/>
      <c r="AD35" s="224"/>
      <c r="AE35" s="224"/>
      <c r="AF35" s="224"/>
      <c r="AG35" s="243"/>
      <c r="AH35" s="168">
        <f t="shared" si="27"/>
        <v>0</v>
      </c>
      <c r="AI35" s="242"/>
      <c r="AJ35" s="224"/>
      <c r="AK35" s="224"/>
      <c r="AL35" s="224"/>
      <c r="AM35" s="243"/>
      <c r="AN35" s="168">
        <f t="shared" si="9"/>
        <v>0</v>
      </c>
      <c r="AO35" s="242"/>
      <c r="AP35" s="224"/>
      <c r="AQ35" s="224"/>
      <c r="AR35" s="224"/>
      <c r="AS35" s="243"/>
      <c r="AT35" s="168">
        <f t="shared" si="28"/>
        <v>0</v>
      </c>
      <c r="AU35" s="242"/>
      <c r="AV35" s="224"/>
      <c r="AW35" s="224"/>
      <c r="AX35" s="224"/>
      <c r="AY35" s="243"/>
      <c r="AZ35" s="168">
        <f t="shared" si="29"/>
        <v>0</v>
      </c>
      <c r="BA35" s="168">
        <f t="shared" si="30"/>
        <v>0</v>
      </c>
      <c r="BB35" s="242"/>
      <c r="BC35" s="224"/>
      <c r="BD35" s="224"/>
      <c r="BE35" s="224"/>
      <c r="BF35" s="243"/>
      <c r="BG35" s="168">
        <f t="shared" si="31"/>
        <v>0</v>
      </c>
      <c r="BH35" s="242"/>
      <c r="BI35" s="224"/>
      <c r="BJ35" s="224"/>
      <c r="BK35" s="224"/>
      <c r="BL35" s="243"/>
      <c r="BM35" s="168">
        <f t="shared" si="10"/>
        <v>0</v>
      </c>
      <c r="BN35" s="242"/>
      <c r="BO35" s="224"/>
      <c r="BP35" s="224"/>
      <c r="BQ35" s="243"/>
      <c r="BR35" s="168">
        <f t="shared" si="11"/>
        <v>0</v>
      </c>
      <c r="BS35" s="242"/>
      <c r="BT35" s="224"/>
      <c r="BU35" s="224"/>
      <c r="BV35" s="224"/>
      <c r="BW35" s="243"/>
      <c r="BX35" s="239">
        <f t="shared" si="12"/>
        <v>0</v>
      </c>
      <c r="BY35" s="242"/>
      <c r="BZ35" s="224"/>
      <c r="CA35" s="168">
        <f t="shared" si="13"/>
        <v>0</v>
      </c>
      <c r="CB35" s="168">
        <f t="shared" si="14"/>
        <v>0</v>
      </c>
      <c r="CC35" s="242"/>
      <c r="CD35" s="224"/>
      <c r="CE35" s="224"/>
      <c r="CF35" s="168">
        <f t="shared" si="15"/>
        <v>0</v>
      </c>
      <c r="CG35" s="242"/>
      <c r="CH35" s="224"/>
      <c r="CI35" s="224"/>
      <c r="CJ35" s="243"/>
      <c r="CK35" s="168">
        <f t="shared" si="32"/>
        <v>0</v>
      </c>
      <c r="CL35" s="167"/>
      <c r="CM35" s="224"/>
      <c r="CN35" s="224"/>
      <c r="CO35" s="224"/>
      <c r="CP35" s="243"/>
      <c r="CQ35" s="168">
        <f t="shared" si="33"/>
        <v>0</v>
      </c>
      <c r="CR35" s="242"/>
      <c r="CS35" s="224"/>
      <c r="CT35" s="224"/>
      <c r="CU35" s="224"/>
      <c r="CV35" s="243"/>
      <c r="CW35" s="168">
        <f t="shared" si="16"/>
        <v>0</v>
      </c>
      <c r="CX35" s="242"/>
      <c r="CY35" s="224"/>
      <c r="CZ35" s="224"/>
      <c r="DA35" s="243"/>
      <c r="DB35" s="168">
        <f t="shared" si="17"/>
        <v>0</v>
      </c>
      <c r="DC35" s="168">
        <f t="shared" si="18"/>
        <v>0</v>
      </c>
      <c r="DD35" s="242"/>
      <c r="DE35" s="224"/>
      <c r="DF35" s="224"/>
      <c r="DG35" s="224"/>
      <c r="DH35" s="224"/>
      <c r="DI35" s="168">
        <f t="shared" si="34"/>
        <v>0</v>
      </c>
      <c r="DJ35" s="242"/>
      <c r="DK35" s="224"/>
      <c r="DL35" s="224"/>
      <c r="DM35" s="224"/>
      <c r="DN35" s="243"/>
      <c r="DO35" s="168">
        <f t="shared" si="35"/>
        <v>0</v>
      </c>
      <c r="DP35" s="242"/>
      <c r="DQ35" s="224"/>
      <c r="DR35" s="224"/>
      <c r="DS35" s="224"/>
      <c r="DT35" s="243"/>
      <c r="DU35" s="168">
        <f t="shared" si="36"/>
        <v>0</v>
      </c>
      <c r="DV35" s="242"/>
      <c r="DW35" s="224"/>
      <c r="DX35" s="224"/>
      <c r="DY35" s="224"/>
      <c r="DZ35" s="243"/>
      <c r="EA35" s="168">
        <f t="shared" si="19"/>
        <v>0</v>
      </c>
      <c r="EB35" s="168">
        <f t="shared" si="37"/>
        <v>0</v>
      </c>
      <c r="EC35" s="242"/>
      <c r="ED35" s="224"/>
      <c r="EE35" s="224"/>
      <c r="EF35" s="224"/>
      <c r="EG35" s="243"/>
      <c r="EH35" s="168">
        <f t="shared" si="38"/>
        <v>0</v>
      </c>
      <c r="EI35" s="242"/>
      <c r="EJ35" s="224"/>
      <c r="EK35" s="224"/>
      <c r="EL35" s="224"/>
      <c r="EM35" s="243"/>
      <c r="EN35" s="168">
        <f t="shared" si="39"/>
        <v>0</v>
      </c>
      <c r="EO35" s="242"/>
      <c r="EP35" s="224"/>
      <c r="EQ35" s="224"/>
      <c r="ER35" s="224"/>
      <c r="ES35" s="243"/>
      <c r="ET35" s="168">
        <f t="shared" si="40"/>
        <v>0</v>
      </c>
      <c r="EU35" s="242"/>
      <c r="EV35" s="224"/>
      <c r="EW35" s="224"/>
      <c r="EX35" s="224"/>
      <c r="EY35" s="224"/>
      <c r="EZ35" s="224"/>
      <c r="FA35" s="243"/>
      <c r="FB35" s="168">
        <f t="shared" si="41"/>
        <v>0</v>
      </c>
      <c r="FC35" s="168">
        <f t="shared" si="42"/>
        <v>0</v>
      </c>
      <c r="FD35" s="242"/>
      <c r="FE35" s="224"/>
      <c r="FF35" s="243"/>
      <c r="FG35" s="168">
        <f t="shared" si="43"/>
        <v>0</v>
      </c>
      <c r="FH35" s="242"/>
      <c r="FI35" s="224"/>
      <c r="FJ35" s="224"/>
      <c r="FK35" s="224"/>
      <c r="FL35" s="243"/>
      <c r="FM35" s="168">
        <f t="shared" si="44"/>
        <v>0</v>
      </c>
      <c r="FN35" s="242"/>
      <c r="FO35" s="224"/>
      <c r="FP35" s="224"/>
      <c r="FQ35" s="224"/>
      <c r="FR35" s="168">
        <f>SUM(FN35:FQ35)</f>
        <v>0</v>
      </c>
      <c r="FS35" s="242"/>
      <c r="FT35" s="224"/>
      <c r="FU35" s="224"/>
      <c r="FV35" s="224"/>
      <c r="FW35" s="243"/>
      <c r="FX35" s="168">
        <f t="shared" si="46"/>
        <v>0</v>
      </c>
      <c r="FY35" s="242"/>
      <c r="FZ35" s="224"/>
      <c r="GA35" s="224"/>
      <c r="GB35" s="224"/>
      <c r="GC35" s="243"/>
      <c r="GD35" s="168">
        <f t="shared" si="47"/>
        <v>0</v>
      </c>
      <c r="GE35" s="168">
        <f t="shared" si="20"/>
        <v>0</v>
      </c>
      <c r="GF35" s="242"/>
      <c r="GG35" s="224"/>
      <c r="GH35" s="224"/>
      <c r="GI35" s="224"/>
      <c r="GJ35" s="224"/>
      <c r="GK35" s="168">
        <f t="shared" si="48"/>
        <v>0</v>
      </c>
      <c r="GL35" s="242"/>
      <c r="GM35" s="224"/>
      <c r="GN35" s="224"/>
      <c r="GO35" s="243"/>
      <c r="GP35" s="168">
        <f t="shared" si="49"/>
        <v>0</v>
      </c>
      <c r="GQ35" s="242"/>
      <c r="GR35" s="224"/>
      <c r="GS35" s="224"/>
      <c r="GT35" s="224"/>
      <c r="GU35" s="243"/>
      <c r="GV35" s="168">
        <f t="shared" si="50"/>
        <v>0</v>
      </c>
      <c r="GW35" s="242"/>
      <c r="GX35" s="224"/>
      <c r="GY35" s="224"/>
      <c r="GZ35" s="224"/>
      <c r="HA35" s="224"/>
      <c r="HB35" s="243"/>
      <c r="HC35" s="168">
        <f t="shared" si="51"/>
        <v>0</v>
      </c>
      <c r="HD35" s="168">
        <f t="shared" si="21"/>
        <v>0</v>
      </c>
      <c r="HE35" s="242"/>
      <c r="HF35" s="224"/>
      <c r="HG35" s="224"/>
      <c r="HH35" s="224"/>
      <c r="HI35" s="168">
        <f t="shared" si="52"/>
        <v>0</v>
      </c>
      <c r="HJ35" s="242"/>
      <c r="HK35" s="224"/>
      <c r="HL35" s="224"/>
      <c r="HM35" s="224"/>
      <c r="HN35" s="243"/>
      <c r="HO35" s="168">
        <f t="shared" si="53"/>
        <v>0</v>
      </c>
      <c r="HP35" s="242"/>
      <c r="HQ35" s="224"/>
      <c r="HR35" s="224"/>
      <c r="HS35" s="224"/>
      <c r="HT35" s="243"/>
      <c r="HU35" s="168">
        <f t="shared" si="54"/>
        <v>0</v>
      </c>
      <c r="HV35" s="242"/>
      <c r="HW35" s="224"/>
      <c r="HX35" s="224"/>
      <c r="HY35" s="168">
        <f t="shared" si="22"/>
        <v>0</v>
      </c>
      <c r="HZ35" s="242"/>
      <c r="IA35" s="224"/>
      <c r="IB35" s="243"/>
      <c r="IC35" s="168">
        <f t="shared" si="55"/>
        <v>0</v>
      </c>
      <c r="ID35" s="168">
        <f t="shared" si="23"/>
        <v>0</v>
      </c>
      <c r="IE35" s="242"/>
      <c r="IF35" s="243"/>
      <c r="IG35" s="168">
        <f t="shared" si="56"/>
        <v>0</v>
      </c>
      <c r="IH35" s="242"/>
      <c r="II35" s="224"/>
      <c r="IJ35" s="224"/>
      <c r="IK35" s="224"/>
      <c r="IL35" s="243"/>
      <c r="IM35" s="168">
        <f t="shared" si="57"/>
        <v>0</v>
      </c>
      <c r="IN35" s="242"/>
      <c r="IO35" s="224"/>
      <c r="IP35" s="243"/>
      <c r="IQ35" s="168">
        <f t="shared" si="58"/>
        <v>0</v>
      </c>
      <c r="IR35" s="242"/>
      <c r="IS35" s="224"/>
      <c r="IT35" s="224"/>
      <c r="IU35" s="224"/>
      <c r="IV35" s="243"/>
      <c r="IW35" s="168">
        <f t="shared" si="59"/>
        <v>0</v>
      </c>
      <c r="IX35" s="242"/>
      <c r="IY35" s="224"/>
      <c r="IZ35" s="224"/>
      <c r="JA35" s="224"/>
      <c r="JB35" s="243"/>
      <c r="JC35" s="168">
        <f t="shared" si="60"/>
        <v>0</v>
      </c>
      <c r="JD35" s="168">
        <f t="shared" si="24"/>
        <v>0</v>
      </c>
      <c r="JE35" s="242"/>
      <c r="JF35" s="224"/>
      <c r="JG35" s="224"/>
      <c r="JH35" s="224"/>
      <c r="JI35" s="243"/>
      <c r="JJ35" s="168">
        <f t="shared" si="61"/>
        <v>0</v>
      </c>
      <c r="JK35" s="242"/>
      <c r="JL35" s="224"/>
      <c r="JM35" s="224"/>
      <c r="JN35" s="224"/>
      <c r="JO35" s="243"/>
      <c r="JP35" s="168">
        <f t="shared" si="62"/>
        <v>0</v>
      </c>
      <c r="JQ35" s="242"/>
      <c r="JR35" s="224"/>
      <c r="JS35" s="224"/>
      <c r="JT35" s="224"/>
      <c r="JU35" s="243"/>
      <c r="JV35" s="168">
        <f t="shared" si="63"/>
        <v>0</v>
      </c>
      <c r="JW35" s="242"/>
      <c r="JX35" s="224"/>
      <c r="JY35" s="224"/>
      <c r="JZ35" s="224"/>
      <c r="KA35" s="224"/>
      <c r="KB35" s="243"/>
      <c r="KC35" s="168">
        <f t="shared" si="64"/>
        <v>0</v>
      </c>
      <c r="KD35" s="168">
        <f t="shared" si="65"/>
        <v>0</v>
      </c>
      <c r="KE35" s="242"/>
      <c r="KF35" s="224"/>
      <c r="KG35" s="224"/>
      <c r="KH35" s="224"/>
      <c r="KI35" s="243"/>
      <c r="KJ35" s="168"/>
      <c r="KK35" s="242"/>
      <c r="KL35" s="224"/>
      <c r="KM35" s="224"/>
      <c r="KN35" s="224"/>
      <c r="KO35" s="243"/>
      <c r="KP35" s="168"/>
      <c r="KQ35" s="242"/>
      <c r="KR35" s="224"/>
      <c r="KS35" s="224"/>
      <c r="KT35" s="224"/>
      <c r="KU35" s="243"/>
      <c r="KV35" s="168"/>
      <c r="KW35" s="242"/>
      <c r="KX35" s="224"/>
      <c r="KY35" s="224"/>
      <c r="KZ35" s="224"/>
      <c r="LA35" s="243"/>
      <c r="LB35" s="168"/>
      <c r="LC35" s="242"/>
      <c r="LD35" s="224"/>
      <c r="LE35" s="243"/>
      <c r="LF35" s="168"/>
      <c r="LG35" s="168">
        <f t="shared" si="71"/>
        <v>0</v>
      </c>
    </row>
    <row r="36" spans="2:322">
      <c r="B36" s="93" t="s">
        <v>398</v>
      </c>
      <c r="C36" s="167"/>
      <c r="D36" s="181">
        <f t="shared" si="72"/>
        <v>0</v>
      </c>
      <c r="E36" s="167"/>
      <c r="F36" s="177"/>
      <c r="G36" s="177"/>
      <c r="H36" s="177"/>
      <c r="I36" s="178">
        <v>0.94399999999999995</v>
      </c>
      <c r="J36" s="181">
        <f t="shared" si="74"/>
        <v>0.94399999999999995</v>
      </c>
      <c r="K36" s="167"/>
      <c r="L36" s="177"/>
      <c r="M36" s="177"/>
      <c r="N36" s="178"/>
      <c r="O36" s="181">
        <f t="shared" si="73"/>
        <v>0</v>
      </c>
      <c r="P36" s="167"/>
      <c r="Q36" s="177"/>
      <c r="R36" s="177"/>
      <c r="S36" s="177"/>
      <c r="T36" s="178"/>
      <c r="U36" s="168">
        <f t="shared" si="25"/>
        <v>0</v>
      </c>
      <c r="V36" s="167"/>
      <c r="W36" s="177"/>
      <c r="X36" s="177"/>
      <c r="Y36" s="177"/>
      <c r="Z36" s="177">
        <v>0.94399999999999995</v>
      </c>
      <c r="AA36" s="168">
        <f t="shared" si="26"/>
        <v>0.94399999999999995</v>
      </c>
      <c r="AB36" s="168">
        <f t="shared" si="8"/>
        <v>1.8879999999999999</v>
      </c>
      <c r="AC36" s="242"/>
      <c r="AD36" s="224"/>
      <c r="AE36" s="224"/>
      <c r="AF36" s="224"/>
      <c r="AG36" s="243"/>
      <c r="AH36" s="168">
        <f t="shared" si="27"/>
        <v>0</v>
      </c>
      <c r="AI36" s="242"/>
      <c r="AJ36" s="224"/>
      <c r="AK36" s="224"/>
      <c r="AL36" s="224"/>
      <c r="AM36" s="243"/>
      <c r="AN36" s="168">
        <f t="shared" si="9"/>
        <v>0</v>
      </c>
      <c r="AO36" s="242"/>
      <c r="AP36" s="224"/>
      <c r="AQ36" s="224"/>
      <c r="AR36" s="224"/>
      <c r="AS36" s="243"/>
      <c r="AT36" s="168">
        <f t="shared" si="28"/>
        <v>0</v>
      </c>
      <c r="AU36" s="242"/>
      <c r="AV36" s="224"/>
      <c r="AW36" s="224"/>
      <c r="AX36" s="224"/>
      <c r="AY36" s="243"/>
      <c r="AZ36" s="168">
        <f t="shared" si="29"/>
        <v>0</v>
      </c>
      <c r="BA36" s="168">
        <f t="shared" si="30"/>
        <v>0</v>
      </c>
      <c r="BB36" s="242">
        <v>0.94399999999999995</v>
      </c>
      <c r="BC36" s="224"/>
      <c r="BD36" s="224"/>
      <c r="BE36" s="224"/>
      <c r="BF36" s="243"/>
      <c r="BG36" s="168">
        <f t="shared" si="31"/>
        <v>0.94399999999999995</v>
      </c>
      <c r="BH36" s="242"/>
      <c r="BI36" s="224"/>
      <c r="BJ36" s="224"/>
      <c r="BK36" s="224"/>
      <c r="BL36" s="243"/>
      <c r="BM36" s="168">
        <f t="shared" si="10"/>
        <v>0</v>
      </c>
      <c r="BN36" s="242"/>
      <c r="BO36" s="224"/>
      <c r="BP36" s="224"/>
      <c r="BQ36" s="243"/>
      <c r="BR36" s="168">
        <f t="shared" si="11"/>
        <v>0</v>
      </c>
      <c r="BS36" s="242"/>
      <c r="BT36" s="224"/>
      <c r="BU36" s="224"/>
      <c r="BV36" s="224"/>
      <c r="BW36" s="243"/>
      <c r="BX36" s="239">
        <f t="shared" si="12"/>
        <v>0</v>
      </c>
      <c r="BY36" s="242"/>
      <c r="BZ36" s="224">
        <v>0.94399999999999995</v>
      </c>
      <c r="CA36" s="168">
        <f t="shared" si="13"/>
        <v>0.94399999999999995</v>
      </c>
      <c r="CB36" s="168">
        <f t="shared" si="14"/>
        <v>1.8879999999999999</v>
      </c>
      <c r="CC36" s="242"/>
      <c r="CD36" s="224"/>
      <c r="CE36" s="224"/>
      <c r="CF36" s="168">
        <f t="shared" si="15"/>
        <v>0</v>
      </c>
      <c r="CG36" s="242"/>
      <c r="CH36" s="224"/>
      <c r="CI36" s="224"/>
      <c r="CJ36" s="243"/>
      <c r="CK36" s="168">
        <f t="shared" si="32"/>
        <v>0</v>
      </c>
      <c r="CL36" s="167"/>
      <c r="CM36" s="224"/>
      <c r="CN36" s="224"/>
      <c r="CO36" s="224"/>
      <c r="CP36" s="243"/>
      <c r="CQ36" s="168">
        <f t="shared" si="33"/>
        <v>0</v>
      </c>
      <c r="CR36" s="242"/>
      <c r="CS36" s="224"/>
      <c r="CT36" s="224"/>
      <c r="CU36" s="224"/>
      <c r="CV36" s="243"/>
      <c r="CW36" s="168">
        <f t="shared" si="16"/>
        <v>0</v>
      </c>
      <c r="CX36" s="242"/>
      <c r="CY36" s="224"/>
      <c r="CZ36" s="224"/>
      <c r="DA36" s="243">
        <v>0.94399999999999995</v>
      </c>
      <c r="DB36" s="168">
        <f t="shared" si="17"/>
        <v>0.94399999999999995</v>
      </c>
      <c r="DC36" s="168">
        <f t="shared" si="18"/>
        <v>0.94399999999999995</v>
      </c>
      <c r="DD36" s="242"/>
      <c r="DE36" s="224"/>
      <c r="DF36" s="224"/>
      <c r="DG36" s="224"/>
      <c r="DH36" s="224"/>
      <c r="DI36" s="168">
        <f t="shared" si="34"/>
        <v>0</v>
      </c>
      <c r="DJ36" s="242"/>
      <c r="DK36" s="224"/>
      <c r="DL36" s="224"/>
      <c r="DM36" s="224"/>
      <c r="DN36" s="243"/>
      <c r="DO36" s="168">
        <f t="shared" si="35"/>
        <v>0</v>
      </c>
      <c r="DP36" s="242"/>
      <c r="DQ36" s="224"/>
      <c r="DR36" s="224"/>
      <c r="DS36" s="224"/>
      <c r="DT36" s="243"/>
      <c r="DU36" s="168">
        <f t="shared" si="36"/>
        <v>0</v>
      </c>
      <c r="DV36" s="242"/>
      <c r="DW36" s="224"/>
      <c r="DX36" s="224"/>
      <c r="DY36" s="224"/>
      <c r="DZ36" s="243"/>
      <c r="EA36" s="168">
        <f t="shared" si="19"/>
        <v>0</v>
      </c>
      <c r="EB36" s="168">
        <f t="shared" si="37"/>
        <v>0</v>
      </c>
      <c r="EC36" s="242">
        <v>0.94399999999999995</v>
      </c>
      <c r="ED36" s="224"/>
      <c r="EE36" s="224"/>
      <c r="EF36" s="224"/>
      <c r="EG36" s="243"/>
      <c r="EH36" s="168">
        <f t="shared" si="38"/>
        <v>0.94399999999999995</v>
      </c>
      <c r="EI36" s="242"/>
      <c r="EJ36" s="224"/>
      <c r="EK36" s="224"/>
      <c r="EL36" s="224"/>
      <c r="EM36" s="243"/>
      <c r="EN36" s="168">
        <f t="shared" si="39"/>
        <v>0</v>
      </c>
      <c r="EO36" s="242"/>
      <c r="EP36" s="224"/>
      <c r="EQ36" s="224"/>
      <c r="ER36" s="224"/>
      <c r="ES36" s="243"/>
      <c r="ET36" s="168">
        <f t="shared" si="40"/>
        <v>0</v>
      </c>
      <c r="EU36" s="242"/>
      <c r="EV36" s="224"/>
      <c r="EW36" s="224"/>
      <c r="EX36" s="224"/>
      <c r="EY36" s="224"/>
      <c r="EZ36" s="224"/>
      <c r="FA36" s="243"/>
      <c r="FB36" s="168">
        <f t="shared" si="41"/>
        <v>0</v>
      </c>
      <c r="FC36" s="168">
        <f t="shared" si="42"/>
        <v>0.94399999999999995</v>
      </c>
      <c r="FD36" s="242">
        <v>0.94399999999999995</v>
      </c>
      <c r="FE36" s="224"/>
      <c r="FF36" s="243"/>
      <c r="FG36" s="168">
        <f t="shared" si="43"/>
        <v>0.94399999999999995</v>
      </c>
      <c r="FH36" s="242"/>
      <c r="FI36" s="224"/>
      <c r="FJ36" s="224"/>
      <c r="FK36" s="224"/>
      <c r="FL36" s="243"/>
      <c r="FM36" s="168">
        <f t="shared" si="44"/>
        <v>0</v>
      </c>
      <c r="FN36" s="242"/>
      <c r="FO36" s="224"/>
      <c r="FP36" s="224"/>
      <c r="FQ36" s="224"/>
      <c r="FR36" s="168">
        <f>SUM(FN36:FQ36)</f>
        <v>0</v>
      </c>
      <c r="FS36" s="242"/>
      <c r="FT36" s="224"/>
      <c r="FU36" s="224"/>
      <c r="FV36" s="224"/>
      <c r="FW36" s="243"/>
      <c r="FX36" s="168">
        <f t="shared" si="46"/>
        <v>0</v>
      </c>
      <c r="FY36" s="242"/>
      <c r="FZ36" s="224"/>
      <c r="GA36" s="224"/>
      <c r="GB36" s="224"/>
      <c r="GC36" s="243">
        <v>0.94399999999999995</v>
      </c>
      <c r="GD36" s="168">
        <f t="shared" si="47"/>
        <v>0.94399999999999995</v>
      </c>
      <c r="GE36" s="168">
        <f t="shared" si="20"/>
        <v>1.8879999999999999</v>
      </c>
      <c r="GF36" s="242"/>
      <c r="GG36" s="224"/>
      <c r="GH36" s="224"/>
      <c r="GI36" s="224"/>
      <c r="GJ36" s="224"/>
      <c r="GK36" s="168">
        <f t="shared" si="48"/>
        <v>0</v>
      </c>
      <c r="GL36" s="242"/>
      <c r="GM36" s="224"/>
      <c r="GN36" s="224"/>
      <c r="GO36" s="243"/>
      <c r="GP36" s="168">
        <f t="shared" si="49"/>
        <v>0</v>
      </c>
      <c r="GQ36" s="242"/>
      <c r="GR36" s="224"/>
      <c r="GS36" s="224"/>
      <c r="GT36" s="224"/>
      <c r="GU36" s="243"/>
      <c r="GV36" s="168">
        <f t="shared" si="50"/>
        <v>0</v>
      </c>
      <c r="GW36" s="242"/>
      <c r="GX36" s="224"/>
      <c r="GY36" s="224"/>
      <c r="GZ36" s="224"/>
      <c r="HA36" s="224"/>
      <c r="HB36" s="243">
        <v>0.94399999999999995</v>
      </c>
      <c r="HC36" s="168">
        <f t="shared" si="51"/>
        <v>0.94399999999999995</v>
      </c>
      <c r="HD36" s="168">
        <f t="shared" si="21"/>
        <v>0.94399999999999995</v>
      </c>
      <c r="HE36" s="242"/>
      <c r="HF36" s="224"/>
      <c r="HG36" s="224"/>
      <c r="HH36" s="224"/>
      <c r="HI36" s="168">
        <f t="shared" si="52"/>
        <v>0</v>
      </c>
      <c r="HJ36" s="242"/>
      <c r="HK36" s="224"/>
      <c r="HL36" s="224"/>
      <c r="HM36" s="224"/>
      <c r="HN36" s="243"/>
      <c r="HO36" s="168">
        <f t="shared" si="53"/>
        <v>0</v>
      </c>
      <c r="HP36" s="242"/>
      <c r="HQ36" s="224"/>
      <c r="HR36" s="224"/>
      <c r="HS36" s="224"/>
      <c r="HT36" s="243"/>
      <c r="HU36" s="168">
        <f t="shared" si="54"/>
        <v>0</v>
      </c>
      <c r="HV36" s="242"/>
      <c r="HW36" s="224"/>
      <c r="HX36" s="224"/>
      <c r="HY36" s="168">
        <f t="shared" si="22"/>
        <v>0</v>
      </c>
      <c r="HZ36" s="242"/>
      <c r="IA36" s="224"/>
      <c r="IB36" s="243">
        <v>0.94399999999999995</v>
      </c>
      <c r="IC36" s="168">
        <f t="shared" si="55"/>
        <v>0.94399999999999995</v>
      </c>
      <c r="ID36" s="168">
        <f t="shared" si="23"/>
        <v>0.94399999999999995</v>
      </c>
      <c r="IE36" s="242"/>
      <c r="IF36" s="243"/>
      <c r="IG36" s="168">
        <f t="shared" si="56"/>
        <v>0</v>
      </c>
      <c r="IH36" s="242"/>
      <c r="II36" s="224"/>
      <c r="IJ36" s="224"/>
      <c r="IK36" s="224"/>
      <c r="IL36" s="243"/>
      <c r="IM36" s="168">
        <f t="shared" si="57"/>
        <v>0</v>
      </c>
      <c r="IN36" s="242"/>
      <c r="IO36" s="224"/>
      <c r="IP36" s="243"/>
      <c r="IQ36" s="168">
        <f t="shared" si="58"/>
        <v>0</v>
      </c>
      <c r="IR36" s="242"/>
      <c r="IS36" s="224"/>
      <c r="IT36" s="224"/>
      <c r="IU36" s="224"/>
      <c r="IV36" s="243"/>
      <c r="IW36" s="168">
        <f t="shared" si="59"/>
        <v>0</v>
      </c>
      <c r="IX36" s="242"/>
      <c r="IY36" s="224"/>
      <c r="IZ36" s="224"/>
      <c r="JA36" s="224"/>
      <c r="JB36" s="243">
        <v>0.94399999999999995</v>
      </c>
      <c r="JC36" s="168">
        <f t="shared" si="60"/>
        <v>0.94399999999999995</v>
      </c>
      <c r="JD36" s="168">
        <f t="shared" si="24"/>
        <v>0.94399999999999995</v>
      </c>
      <c r="JE36" s="242"/>
      <c r="JF36" s="224"/>
      <c r="JG36" s="224"/>
      <c r="JH36" s="224"/>
      <c r="JI36" s="243"/>
      <c r="JJ36" s="168">
        <f t="shared" si="61"/>
        <v>0</v>
      </c>
      <c r="JK36" s="242"/>
      <c r="JL36" s="224"/>
      <c r="JM36" s="224"/>
      <c r="JN36" s="224"/>
      <c r="JO36" s="243"/>
      <c r="JP36" s="168">
        <f t="shared" si="62"/>
        <v>0</v>
      </c>
      <c r="JQ36" s="242"/>
      <c r="JR36" s="224"/>
      <c r="JS36" s="224"/>
      <c r="JT36" s="224"/>
      <c r="JU36" s="243"/>
      <c r="JV36" s="168">
        <f t="shared" si="63"/>
        <v>0</v>
      </c>
      <c r="JW36" s="242"/>
      <c r="JX36" s="224"/>
      <c r="JY36" s="224"/>
      <c r="JZ36" s="224"/>
      <c r="KA36" s="224"/>
      <c r="KB36" s="243"/>
      <c r="KC36" s="168">
        <f t="shared" si="64"/>
        <v>0</v>
      </c>
      <c r="KD36" s="168">
        <f t="shared" si="65"/>
        <v>0</v>
      </c>
      <c r="KE36" s="242"/>
      <c r="KF36" s="224"/>
      <c r="KG36" s="224"/>
      <c r="KH36" s="224"/>
      <c r="KI36" s="243"/>
      <c r="KJ36" s="168"/>
      <c r="KK36" s="242"/>
      <c r="KL36" s="224"/>
      <c r="KM36" s="224"/>
      <c r="KN36" s="224"/>
      <c r="KO36" s="243"/>
      <c r="KP36" s="168"/>
      <c r="KQ36" s="242"/>
      <c r="KR36" s="224"/>
      <c r="KS36" s="224"/>
      <c r="KT36" s="224"/>
      <c r="KU36" s="243"/>
      <c r="KV36" s="168"/>
      <c r="KW36" s="242"/>
      <c r="KX36" s="224"/>
      <c r="KY36" s="224"/>
      <c r="KZ36" s="224"/>
      <c r="LA36" s="243"/>
      <c r="LB36" s="168"/>
      <c r="LC36" s="242"/>
      <c r="LD36" s="224"/>
      <c r="LE36" s="243"/>
      <c r="LF36" s="168"/>
      <c r="LG36" s="168">
        <f t="shared" si="71"/>
        <v>0</v>
      </c>
    </row>
    <row r="37" spans="2:322">
      <c r="B37" s="93" t="s">
        <v>381</v>
      </c>
      <c r="C37" s="167">
        <f>105.426+2.068</f>
        <v>107.494</v>
      </c>
      <c r="D37" s="181">
        <f t="shared" si="72"/>
        <v>107.494</v>
      </c>
      <c r="E37" s="167">
        <f>1.8+8.55</f>
        <v>10.350000000000001</v>
      </c>
      <c r="F37" s="177">
        <v>0.378</v>
      </c>
      <c r="G37" s="177">
        <f>0.658+0.151</f>
        <v>0.80900000000000005</v>
      </c>
      <c r="H37" s="177">
        <v>1.206</v>
      </c>
      <c r="I37" s="178">
        <f>1.034+0.705+0.9</f>
        <v>2.6389999999999998</v>
      </c>
      <c r="J37" s="181">
        <f t="shared" si="74"/>
        <v>15.382</v>
      </c>
      <c r="K37" s="167">
        <f>4.266+0.047</f>
        <v>4.3129999999999997</v>
      </c>
      <c r="L37" s="177">
        <f>1.692+1.269</f>
        <v>2.9609999999999999</v>
      </c>
      <c r="M37" s="177">
        <f>0.705+3.348</f>
        <v>4.0529999999999999</v>
      </c>
      <c r="N37" s="178">
        <f>0.9+3.123</f>
        <v>4.0230000000000006</v>
      </c>
      <c r="O37" s="181">
        <f t="shared" si="73"/>
        <v>15.349999999999998</v>
      </c>
      <c r="P37" s="167">
        <f>0.893+0.828</f>
        <v>1.7210000000000001</v>
      </c>
      <c r="Q37" s="177">
        <v>6.1379999999999999</v>
      </c>
      <c r="R37" s="177">
        <f>1.362+6.523</f>
        <v>7.8849999999999998</v>
      </c>
      <c r="S37" s="177">
        <f>0.235+2.736</f>
        <v>2.9710000000000001</v>
      </c>
      <c r="T37" s="178">
        <v>0.36</v>
      </c>
      <c r="U37" s="168">
        <f t="shared" si="25"/>
        <v>19.074999999999999</v>
      </c>
      <c r="V37" s="167">
        <f>1.08+1.872</f>
        <v>2.952</v>
      </c>
      <c r="W37" s="177">
        <f>1.551+0.504</f>
        <v>2.0549999999999997</v>
      </c>
      <c r="X37" s="177">
        <f>0.188+3.492</f>
        <v>3.68</v>
      </c>
      <c r="Y37" s="177">
        <f>0.09+0.846</f>
        <v>0.93599999999999994</v>
      </c>
      <c r="Z37" s="177">
        <f>0.09+0.517</f>
        <v>0.60699999999999998</v>
      </c>
      <c r="AA37" s="168">
        <f t="shared" si="26"/>
        <v>10.229999999999999</v>
      </c>
      <c r="AB37" s="168">
        <f t="shared" si="8"/>
        <v>167.53100000000001</v>
      </c>
      <c r="AC37" s="242">
        <v>103.675</v>
      </c>
      <c r="AD37" s="224">
        <f>6.606+1.621</f>
        <v>8.2270000000000003</v>
      </c>
      <c r="AE37" s="224">
        <f>8.73+0.282</f>
        <v>9.0120000000000005</v>
      </c>
      <c r="AF37" s="224">
        <f>0.774+0.916</f>
        <v>1.69</v>
      </c>
      <c r="AG37" s="243">
        <v>0.32400000000000001</v>
      </c>
      <c r="AH37" s="168">
        <f t="shared" si="27"/>
        <v>122.928</v>
      </c>
      <c r="AI37" s="242">
        <f>3.762+0.235</f>
        <v>3.9969999999999999</v>
      </c>
      <c r="AJ37" s="224">
        <f>1.26+4.838</f>
        <v>6.0979999999999999</v>
      </c>
      <c r="AK37" s="224">
        <f>2.43+0.611</f>
        <v>3.0410000000000004</v>
      </c>
      <c r="AL37" s="224">
        <f>3.33+0.047</f>
        <v>3.3770000000000002</v>
      </c>
      <c r="AM37" s="243">
        <f>0.504+0.658</f>
        <v>1.1619999999999999</v>
      </c>
      <c r="AN37" s="168">
        <f>SUM(AI37:AM37)</f>
        <v>17.674999999999997</v>
      </c>
      <c r="AO37" s="242">
        <f>0.45+1.08</f>
        <v>1.53</v>
      </c>
      <c r="AP37" s="224">
        <f>0.468+1.034</f>
        <v>1.502</v>
      </c>
      <c r="AQ37" s="224">
        <f>5.454+1.48</f>
        <v>6.9339999999999993</v>
      </c>
      <c r="AR37" s="224">
        <f>0.864+1.855</f>
        <v>2.7189999999999999</v>
      </c>
      <c r="AS37" s="243"/>
      <c r="AT37" s="168">
        <f t="shared" si="28"/>
        <v>12.684999999999999</v>
      </c>
      <c r="AU37" s="242">
        <f>0.27+1.08</f>
        <v>1.35</v>
      </c>
      <c r="AV37" s="224">
        <f>1.386+1.363</f>
        <v>2.7489999999999997</v>
      </c>
      <c r="AW37" s="224">
        <f>4.194+0.705</f>
        <v>4.899</v>
      </c>
      <c r="AX37" s="224">
        <v>0.09</v>
      </c>
      <c r="AY37" s="243">
        <f>0.376+3.42</f>
        <v>3.7959999999999998</v>
      </c>
      <c r="AZ37" s="168">
        <f t="shared" si="29"/>
        <v>12.884</v>
      </c>
      <c r="BA37" s="168">
        <f t="shared" si="30"/>
        <v>166.172</v>
      </c>
      <c r="BB37" s="242">
        <f>96.75+0.329</f>
        <v>97.078999999999994</v>
      </c>
      <c r="BC37" s="224">
        <f>1.433+4.356</f>
        <v>5.7889999999999997</v>
      </c>
      <c r="BD37" s="224">
        <v>11.412000000000001</v>
      </c>
      <c r="BE37" s="224">
        <f>2.466+1.41</f>
        <v>3.8760000000000003</v>
      </c>
      <c r="BF37" s="243"/>
      <c r="BG37" s="168">
        <f t="shared" si="31"/>
        <v>118.15600000000001</v>
      </c>
      <c r="BH37" s="242">
        <v>2.8260000000000001</v>
      </c>
      <c r="BI37" s="224">
        <f>1.292+1.278</f>
        <v>2.5700000000000003</v>
      </c>
      <c r="BJ37" s="224">
        <f>0.423+1.854</f>
        <v>2.2770000000000001</v>
      </c>
      <c r="BK37" s="224">
        <f>3.222+0.282</f>
        <v>3.504</v>
      </c>
      <c r="BL37" s="243">
        <f>3.475+0.468</f>
        <v>3.9430000000000001</v>
      </c>
      <c r="BM37" s="168">
        <f t="shared" si="10"/>
        <v>15.120000000000001</v>
      </c>
      <c r="BN37" s="242">
        <v>0.23400000000000001</v>
      </c>
      <c r="BO37" s="224">
        <f>0.846+1.728</f>
        <v>2.5739999999999998</v>
      </c>
      <c r="BP37" s="224">
        <v>5.2380000000000004</v>
      </c>
      <c r="BQ37" s="243">
        <f>1.644+0.72</f>
        <v>2.3639999999999999</v>
      </c>
      <c r="BR37" s="168">
        <f t="shared" si="11"/>
        <v>10.41</v>
      </c>
      <c r="BS37" s="242">
        <f>0.45+0.282</f>
        <v>0.73199999999999998</v>
      </c>
      <c r="BT37" s="224">
        <f>0.648+1.08</f>
        <v>1.7280000000000002</v>
      </c>
      <c r="BU37" s="224">
        <v>5.67</v>
      </c>
      <c r="BV37" s="224">
        <v>0.27</v>
      </c>
      <c r="BW37" s="243">
        <f>2.178+1.504</f>
        <v>3.6819999999999999</v>
      </c>
      <c r="BX37" s="239">
        <f t="shared" si="12"/>
        <v>12.081999999999999</v>
      </c>
      <c r="BY37" s="242">
        <f>1.339+0.81</f>
        <v>2.149</v>
      </c>
      <c r="BZ37" s="224">
        <v>0.95399999999999996</v>
      </c>
      <c r="CA37" s="168">
        <f t="shared" si="13"/>
        <v>3.1029999999999998</v>
      </c>
      <c r="CB37" s="168">
        <f t="shared" si="14"/>
        <v>158.87100000000001</v>
      </c>
      <c r="CC37" s="242">
        <f>0.752+6.336</f>
        <v>7.0880000000000001</v>
      </c>
      <c r="CD37" s="224">
        <f>1.292+103.914</f>
        <v>105.206</v>
      </c>
      <c r="CE37" s="224">
        <f>0.235+0.414</f>
        <v>0.64900000000000002</v>
      </c>
      <c r="CF37" s="168">
        <f t="shared" si="15"/>
        <v>112.943</v>
      </c>
      <c r="CG37" s="242">
        <f>2.7+0.27</f>
        <v>2.97</v>
      </c>
      <c r="CH37" s="224">
        <f>0.94+1.638</f>
        <v>2.5779999999999998</v>
      </c>
      <c r="CI37" s="224">
        <v>3.8879999999999999</v>
      </c>
      <c r="CJ37" s="243">
        <f>2.231+0.324</f>
        <v>2.5549999999999997</v>
      </c>
      <c r="CK37" s="168">
        <f t="shared" si="32"/>
        <v>11.991</v>
      </c>
      <c r="CL37" s="167">
        <v>0.36</v>
      </c>
      <c r="CM37" s="224">
        <f>0.564+4.176</f>
        <v>4.74</v>
      </c>
      <c r="CN37" s="224">
        <f>2.02+0.234</f>
        <v>2.254</v>
      </c>
      <c r="CO37" s="224">
        <f>0.141+1.602</f>
        <v>1.7430000000000001</v>
      </c>
      <c r="CP37" s="243">
        <f>0.188+11.68</f>
        <v>11.868</v>
      </c>
      <c r="CQ37" s="168">
        <f t="shared" si="33"/>
        <v>20.965000000000003</v>
      </c>
      <c r="CR37" s="242">
        <f>0.587+1.35</f>
        <v>1.9370000000000001</v>
      </c>
      <c r="CS37" s="224">
        <v>1.081</v>
      </c>
      <c r="CT37" s="224">
        <v>4.1580000000000004</v>
      </c>
      <c r="CU37" s="224">
        <f>0.611+1.044</f>
        <v>1.655</v>
      </c>
      <c r="CV37" s="243">
        <f>0.282+4.68</f>
        <v>4.9619999999999997</v>
      </c>
      <c r="CW37" s="168">
        <f t="shared" si="16"/>
        <v>13.792999999999999</v>
      </c>
      <c r="CX37" s="242">
        <f>0.188+1.314</f>
        <v>1.502</v>
      </c>
      <c r="CY37" s="224">
        <f>4.122+0.423</f>
        <v>4.5449999999999999</v>
      </c>
      <c r="CZ37" s="224">
        <f>1.456+0.738</f>
        <v>2.194</v>
      </c>
      <c r="DA37" s="243">
        <f>0.27+0.329</f>
        <v>0.59899999999999998</v>
      </c>
      <c r="DB37" s="168">
        <f t="shared" si="17"/>
        <v>8.84</v>
      </c>
      <c r="DC37" s="168">
        <f t="shared" si="18"/>
        <v>168.53199999999998</v>
      </c>
      <c r="DD37" s="242">
        <v>100.67400000000001</v>
      </c>
      <c r="DE37" s="224">
        <v>11.79</v>
      </c>
      <c r="DF37" s="224">
        <f>2.538+1.494</f>
        <v>4.032</v>
      </c>
      <c r="DG37" s="224">
        <v>5.3999999999999999E-2</v>
      </c>
      <c r="DH37" s="224">
        <f>2.09+7.398</f>
        <v>9.4879999999999995</v>
      </c>
      <c r="DI37" s="168">
        <f t="shared" si="34"/>
        <v>126.038</v>
      </c>
      <c r="DJ37" s="242">
        <v>1.512</v>
      </c>
      <c r="DK37" s="224">
        <f>0.705+0.9</f>
        <v>1.605</v>
      </c>
      <c r="DL37" s="224">
        <v>3.895</v>
      </c>
      <c r="DM37" s="224">
        <v>0.32400000000000001</v>
      </c>
      <c r="DN37" s="243">
        <v>6.7779999999999996</v>
      </c>
      <c r="DO37" s="168">
        <f t="shared" si="35"/>
        <v>14.114000000000001</v>
      </c>
      <c r="DP37" s="242">
        <v>0.376</v>
      </c>
      <c r="DQ37" s="224">
        <v>5.6879999999999997</v>
      </c>
      <c r="DR37" s="224">
        <v>1.671</v>
      </c>
      <c r="DS37" s="224">
        <v>3.2559999999999998</v>
      </c>
      <c r="DT37" s="243">
        <v>2.4409999999999998</v>
      </c>
      <c r="DU37" s="168">
        <f t="shared" si="36"/>
        <v>13.431999999999999</v>
      </c>
      <c r="DV37" s="242">
        <v>3.246</v>
      </c>
      <c r="DW37" s="224">
        <v>2.2370000000000001</v>
      </c>
      <c r="DX37" s="224">
        <v>0.76100000000000001</v>
      </c>
      <c r="DY37" s="224">
        <v>1.026</v>
      </c>
      <c r="DZ37" s="243">
        <v>0.54800000000000004</v>
      </c>
      <c r="EA37" s="168">
        <f t="shared" si="19"/>
        <v>7.8180000000000005</v>
      </c>
      <c r="EB37" s="168">
        <f t="shared" si="37"/>
        <v>161.40199999999999</v>
      </c>
      <c r="EC37" s="242">
        <v>103.551</v>
      </c>
      <c r="ED37" s="224">
        <v>14.138</v>
      </c>
      <c r="EE37" s="224">
        <v>0.54300000000000004</v>
      </c>
      <c r="EF37" s="224">
        <v>1.327</v>
      </c>
      <c r="EG37" s="243">
        <v>0.45</v>
      </c>
      <c r="EH37" s="168">
        <f t="shared" si="38"/>
        <v>120.00900000000001</v>
      </c>
      <c r="EI37" s="242">
        <v>1.53</v>
      </c>
      <c r="EJ37" s="224">
        <f>2.952+1.269</f>
        <v>4.2210000000000001</v>
      </c>
      <c r="EK37" s="224">
        <f>0.18+1.457</f>
        <v>1.637</v>
      </c>
      <c r="EL37" s="224">
        <f>3.42+0.329</f>
        <v>3.7490000000000001</v>
      </c>
      <c r="EM37" s="243">
        <v>2.4420000000000002</v>
      </c>
      <c r="EN37" s="168">
        <f t="shared" si="39"/>
        <v>13.579000000000001</v>
      </c>
      <c r="EO37" s="242">
        <f>1.998+0.564</f>
        <v>2.5619999999999998</v>
      </c>
      <c r="EP37" s="224">
        <f>0.45+0.282</f>
        <v>0.73199999999999998</v>
      </c>
      <c r="EQ37" s="224">
        <f>4.651+2.254</f>
        <v>6.9049999999999994</v>
      </c>
      <c r="ER37" s="224">
        <f>0.504+0.423</f>
        <v>0.92700000000000005</v>
      </c>
      <c r="ES37" s="243">
        <f>0.27+0.235</f>
        <v>0.505</v>
      </c>
      <c r="ET37" s="168">
        <f t="shared" si="40"/>
        <v>11.630999999999998</v>
      </c>
      <c r="EU37" s="242">
        <f>0.216+0.423</f>
        <v>0.63900000000000001</v>
      </c>
      <c r="EV37" s="224">
        <v>1.3140000000000001</v>
      </c>
      <c r="EW37" s="224">
        <f>4.021+0.846</f>
        <v>4.867</v>
      </c>
      <c r="EX37" s="224">
        <f>0.36+0.329</f>
        <v>0.68900000000000006</v>
      </c>
      <c r="EY37" s="224">
        <v>9.4E-2</v>
      </c>
      <c r="EZ37" s="224">
        <v>0.42299999999999999</v>
      </c>
      <c r="FA37" s="243">
        <v>2.4660000000000002</v>
      </c>
      <c r="FB37" s="168">
        <f t="shared" si="41"/>
        <v>10.492000000000001</v>
      </c>
      <c r="FC37" s="168">
        <f t="shared" si="42"/>
        <v>155.71100000000001</v>
      </c>
      <c r="FD37" s="242">
        <v>95.85</v>
      </c>
      <c r="FE37" s="224">
        <f>1.098+0.752</f>
        <v>1.85</v>
      </c>
      <c r="FF37" s="243">
        <f>11.491+1.222</f>
        <v>12.712999999999999</v>
      </c>
      <c r="FG37" s="168">
        <f t="shared" si="43"/>
        <v>110.41299999999998</v>
      </c>
      <c r="FH37" s="242">
        <f>1.224+0.705</f>
        <v>1.9289999999999998</v>
      </c>
      <c r="FI37" s="224">
        <f>0.198+0.611</f>
        <v>0.80899999999999994</v>
      </c>
      <c r="FJ37" s="224">
        <f>3.528+0.799</f>
        <v>4.327</v>
      </c>
      <c r="FK37" s="224">
        <v>5.2380000000000004</v>
      </c>
      <c r="FL37" s="243">
        <v>0.29499999999999998</v>
      </c>
      <c r="FM37" s="168">
        <f t="shared" si="44"/>
        <v>12.598000000000001</v>
      </c>
      <c r="FN37" s="242">
        <v>2.718</v>
      </c>
      <c r="FO37" s="224">
        <v>2.484</v>
      </c>
      <c r="FP37" s="224">
        <v>1.081</v>
      </c>
      <c r="FQ37" s="224">
        <f>0.864+1.62</f>
        <v>2.484</v>
      </c>
      <c r="FR37" s="168">
        <f>SUM(FN37:FQ37)</f>
        <v>8.7669999999999995</v>
      </c>
      <c r="FS37" s="242">
        <v>3.456</v>
      </c>
      <c r="FT37" s="224">
        <v>0.871</v>
      </c>
      <c r="FU37" s="224">
        <v>0.32400000000000001</v>
      </c>
      <c r="FV37" s="224">
        <v>3.1680000000000001</v>
      </c>
      <c r="FW37" s="243">
        <v>0.23400000000000001</v>
      </c>
      <c r="FX37" s="168">
        <f t="shared" si="46"/>
        <v>8.0530000000000008</v>
      </c>
      <c r="FY37" s="242">
        <f>10.638+1.057</f>
        <v>11.695</v>
      </c>
      <c r="FZ37" s="224">
        <f>0.72+2.021</f>
        <v>2.7409999999999997</v>
      </c>
      <c r="GA37" s="224">
        <f>2.736+1.128</f>
        <v>3.8639999999999999</v>
      </c>
      <c r="GB37" s="224">
        <v>0.36</v>
      </c>
      <c r="GC37" s="243">
        <f>0.054+0.282</f>
        <v>0.33599999999999997</v>
      </c>
      <c r="GD37" s="168">
        <f t="shared" si="47"/>
        <v>18.995999999999999</v>
      </c>
      <c r="GE37" s="168">
        <f t="shared" si="20"/>
        <v>158.827</v>
      </c>
      <c r="GF37" s="242">
        <v>6.1020000000000003</v>
      </c>
      <c r="GG37" s="224">
        <v>105.28100000000001</v>
      </c>
      <c r="GH37" s="224"/>
      <c r="GI37" s="224">
        <v>0.36</v>
      </c>
      <c r="GJ37" s="224">
        <f>2.772+0.54</f>
        <v>3.3119999999999998</v>
      </c>
      <c r="GK37" s="168">
        <f t="shared" si="48"/>
        <v>115.05500000000001</v>
      </c>
      <c r="GL37" s="242">
        <v>1.458</v>
      </c>
      <c r="GM37" s="224">
        <f>0.45+5.356</f>
        <v>5.806</v>
      </c>
      <c r="GN37" s="224">
        <v>2.7360000000000002</v>
      </c>
      <c r="GO37" s="243">
        <f>2.537+5.814</f>
        <v>8.3509999999999991</v>
      </c>
      <c r="GP37" s="168">
        <f t="shared" si="49"/>
        <v>18.350999999999999</v>
      </c>
      <c r="GQ37" s="242">
        <f>0.09+2.16</f>
        <v>2.25</v>
      </c>
      <c r="GR37" s="224">
        <f>1.598+1.044</f>
        <v>2.6420000000000003</v>
      </c>
      <c r="GS37" s="224">
        <f>6.462+1.503</f>
        <v>7.9649999999999999</v>
      </c>
      <c r="GT37" s="224">
        <f>0.423+0.662</f>
        <v>1.085</v>
      </c>
      <c r="GU37" s="243"/>
      <c r="GV37" s="168">
        <f t="shared" si="50"/>
        <v>13.942</v>
      </c>
      <c r="GW37" s="242">
        <f>0.564+2.664</f>
        <v>3.2280000000000002</v>
      </c>
      <c r="GX37" s="224">
        <v>1.8540000000000001</v>
      </c>
      <c r="GY37" s="224">
        <f>0.658+0.09</f>
        <v>0.748</v>
      </c>
      <c r="GZ37" s="224">
        <f>2.988+0.47</f>
        <v>3.4580000000000002</v>
      </c>
      <c r="HA37" s="224">
        <f>0.235+0.468</f>
        <v>0.70300000000000007</v>
      </c>
      <c r="HB37" s="243">
        <f>0.144+0.188</f>
        <v>0.33199999999999996</v>
      </c>
      <c r="HC37" s="168">
        <f t="shared" si="51"/>
        <v>10.323</v>
      </c>
      <c r="HD37" s="168">
        <f t="shared" si="21"/>
        <v>157.67100000000002</v>
      </c>
      <c r="HE37" s="242">
        <f>89.567+3.475</f>
        <v>93.041999999999987</v>
      </c>
      <c r="HF37" s="224">
        <f>1.222+13.5</f>
        <v>14.722</v>
      </c>
      <c r="HG37" s="224">
        <v>0.09</v>
      </c>
      <c r="HH37" s="224">
        <f>1.409+0.738</f>
        <v>2.1470000000000002</v>
      </c>
      <c r="HI37" s="168">
        <f t="shared" si="52"/>
        <v>110.00099999999999</v>
      </c>
      <c r="HJ37" s="242">
        <f>0.54+0.235</f>
        <v>0.77500000000000002</v>
      </c>
      <c r="HK37" s="224">
        <f>0.235+1.062</f>
        <v>1.2970000000000002</v>
      </c>
      <c r="HL37" s="224">
        <f>2.538+1.08</f>
        <v>3.6179999999999999</v>
      </c>
      <c r="HM37" s="224">
        <f>0.658+2.16</f>
        <v>2.8180000000000001</v>
      </c>
      <c r="HN37" s="243"/>
      <c r="HO37" s="168">
        <f t="shared" si="53"/>
        <v>8.5079999999999991</v>
      </c>
      <c r="HP37" s="242">
        <v>2.0880000000000001</v>
      </c>
      <c r="HQ37" s="224">
        <f>0.72+2.16</f>
        <v>2.88</v>
      </c>
      <c r="HR37" s="224">
        <f>1.269+0.27</f>
        <v>1.5389999999999999</v>
      </c>
      <c r="HS37" s="224">
        <f>3.654+2.82</f>
        <v>6.4740000000000002</v>
      </c>
      <c r="HT37" s="243">
        <f>0.329+0.468</f>
        <v>0.79700000000000004</v>
      </c>
      <c r="HU37" s="168">
        <f t="shared" si="54"/>
        <v>13.778</v>
      </c>
      <c r="HV37" s="242">
        <f>0.99+0.517</f>
        <v>1.5070000000000001</v>
      </c>
      <c r="HW37" s="224">
        <v>1.746</v>
      </c>
      <c r="HX37" s="224">
        <v>3.3660000000000001</v>
      </c>
      <c r="HY37" s="168">
        <f t="shared" si="22"/>
        <v>6.6189999999999998</v>
      </c>
      <c r="HZ37" s="242">
        <f>0.954+1.41</f>
        <v>2.3639999999999999</v>
      </c>
      <c r="IA37" s="224">
        <v>0.18</v>
      </c>
      <c r="IB37" s="243">
        <f>3.636+1.41</f>
        <v>5.0460000000000003</v>
      </c>
      <c r="IC37" s="168">
        <f t="shared" si="55"/>
        <v>7.59</v>
      </c>
      <c r="ID37" s="168">
        <f t="shared" si="23"/>
        <v>146.49599999999998</v>
      </c>
      <c r="IE37" s="242">
        <f>87.371+3.194</f>
        <v>90.564999999999998</v>
      </c>
      <c r="IF37" s="243">
        <f>0.329+11.466</f>
        <v>11.795</v>
      </c>
      <c r="IG37" s="168">
        <f t="shared" si="56"/>
        <v>102.36</v>
      </c>
      <c r="IH37" s="242">
        <f>1.962+0.799</f>
        <v>2.7610000000000001</v>
      </c>
      <c r="II37" s="224">
        <v>1.1519999999999999</v>
      </c>
      <c r="IJ37" s="224">
        <f>0.558+0.799</f>
        <v>1.3570000000000002</v>
      </c>
      <c r="IK37" s="224">
        <f>0.329+1.62</f>
        <v>1.9490000000000001</v>
      </c>
      <c r="IL37" s="243">
        <f>5.166+0.235</f>
        <v>5.4010000000000007</v>
      </c>
      <c r="IM37" s="168">
        <f t="shared" si="57"/>
        <v>12.620000000000001</v>
      </c>
      <c r="IN37" s="242">
        <v>1.62</v>
      </c>
      <c r="IO37" s="224">
        <f>0.564+1.458</f>
        <v>2.0219999999999998</v>
      </c>
      <c r="IP37" s="243">
        <f>4.05+3.757</f>
        <v>7.8070000000000004</v>
      </c>
      <c r="IQ37" s="168">
        <f t="shared" si="58"/>
        <v>11.449</v>
      </c>
      <c r="IR37" s="242">
        <f>1.363+0.389</f>
        <v>1.752</v>
      </c>
      <c r="IS37" s="224">
        <v>4.7699999999999996</v>
      </c>
      <c r="IT37" s="224">
        <v>0.91600000000000004</v>
      </c>
      <c r="IU37" s="224">
        <f>3.546+1.128</f>
        <v>4.6739999999999995</v>
      </c>
      <c r="IV37" s="243">
        <v>0.09</v>
      </c>
      <c r="IW37" s="168">
        <f t="shared" si="59"/>
        <v>12.201999999999998</v>
      </c>
      <c r="IX37" s="242">
        <f>1.44+0.799</f>
        <v>2.2389999999999999</v>
      </c>
      <c r="IY37" s="224">
        <f>0.376+0.99</f>
        <v>1.3660000000000001</v>
      </c>
      <c r="IZ37" s="224">
        <f>4.464+0.752</f>
        <v>5.2160000000000002</v>
      </c>
      <c r="JA37" s="224">
        <f>0.282+0.313</f>
        <v>0.59499999999999997</v>
      </c>
      <c r="JB37" s="243">
        <v>3.3809999999999998</v>
      </c>
      <c r="JC37" s="168">
        <f t="shared" si="60"/>
        <v>12.797000000000001</v>
      </c>
      <c r="JD37" s="168">
        <f>IG37+IM37+IQ37+IW37+JC37</f>
        <v>151.428</v>
      </c>
      <c r="JE37" s="242">
        <v>1.224</v>
      </c>
      <c r="JF37" s="177">
        <f>103.625+0.799</f>
        <v>104.42400000000001</v>
      </c>
      <c r="JG37" s="224">
        <f>0.235+0.09</f>
        <v>0.32499999999999996</v>
      </c>
      <c r="JH37" s="224">
        <f>1.638+0.658</f>
        <v>2.2959999999999998</v>
      </c>
      <c r="JI37" s="243"/>
      <c r="JJ37" s="168">
        <f t="shared" si="61"/>
        <v>108.26900000000002</v>
      </c>
      <c r="JK37" s="242"/>
      <c r="JL37" s="224"/>
      <c r="JM37" s="224"/>
      <c r="JN37" s="224"/>
      <c r="JO37" s="243"/>
      <c r="JP37" s="168">
        <f t="shared" si="62"/>
        <v>0</v>
      </c>
      <c r="JQ37" s="242"/>
      <c r="JR37" s="224"/>
      <c r="JS37" s="224"/>
      <c r="JT37" s="224"/>
      <c r="JU37" s="243"/>
      <c r="JV37" s="168">
        <f t="shared" si="63"/>
        <v>0</v>
      </c>
      <c r="JW37" s="242"/>
      <c r="JX37" s="224"/>
      <c r="JY37" s="224"/>
      <c r="JZ37" s="224"/>
      <c r="KA37" s="224"/>
      <c r="KB37" s="243"/>
      <c r="KC37" s="168">
        <f t="shared" si="64"/>
        <v>0</v>
      </c>
      <c r="KD37" s="168">
        <f t="shared" si="65"/>
        <v>108.26900000000002</v>
      </c>
      <c r="KE37" s="242"/>
      <c r="KF37" s="224"/>
      <c r="KG37" s="224"/>
      <c r="KH37" s="224"/>
      <c r="KI37" s="243"/>
      <c r="KJ37" s="168"/>
      <c r="KK37" s="242"/>
      <c r="KL37" s="224"/>
      <c r="KM37" s="224"/>
      <c r="KN37" s="224"/>
      <c r="KO37" s="243"/>
      <c r="KP37" s="168"/>
      <c r="KQ37" s="242"/>
      <c r="KR37" s="224"/>
      <c r="KS37" s="224"/>
      <c r="KT37" s="224"/>
      <c r="KU37" s="243"/>
      <c r="KV37" s="168"/>
      <c r="KW37" s="242"/>
      <c r="KX37" s="224"/>
      <c r="KY37" s="224"/>
      <c r="KZ37" s="224"/>
      <c r="LA37" s="243"/>
      <c r="LB37" s="168"/>
      <c r="LC37" s="242"/>
      <c r="LD37" s="224"/>
      <c r="LE37" s="243"/>
      <c r="LF37" s="168"/>
      <c r="LG37" s="168">
        <f t="shared" si="71"/>
        <v>0</v>
      </c>
    </row>
    <row r="38" spans="2:322">
      <c r="B38" s="93"/>
      <c r="C38" s="167"/>
      <c r="D38" s="181"/>
      <c r="E38" s="167"/>
      <c r="F38" s="177"/>
      <c r="G38" s="177"/>
      <c r="H38" s="177"/>
      <c r="I38" s="178"/>
      <c r="J38" s="181"/>
      <c r="K38" s="167"/>
      <c r="L38" s="177"/>
      <c r="M38" s="177"/>
      <c r="N38" s="178"/>
      <c r="O38" s="181"/>
      <c r="P38" s="167"/>
      <c r="Q38" s="177"/>
      <c r="R38" s="177"/>
      <c r="S38" s="177"/>
      <c r="T38" s="178"/>
      <c r="U38" s="168"/>
      <c r="V38" s="167"/>
      <c r="W38" s="177"/>
      <c r="X38" s="177"/>
      <c r="Y38" s="177"/>
      <c r="Z38" s="177"/>
      <c r="AA38" s="168"/>
      <c r="AB38" s="146"/>
      <c r="AC38" s="242"/>
      <c r="AD38" s="224"/>
      <c r="AE38" s="224"/>
      <c r="AF38" s="224"/>
      <c r="AG38" s="243"/>
      <c r="AH38" s="168"/>
      <c r="AI38" s="242"/>
      <c r="AJ38" s="224"/>
      <c r="AK38" s="224"/>
      <c r="AL38" s="224"/>
      <c r="AM38" s="243"/>
      <c r="AN38" s="146"/>
      <c r="AO38" s="242"/>
      <c r="AP38" s="224"/>
      <c r="AQ38" s="224"/>
      <c r="AR38" s="224"/>
      <c r="AS38" s="243"/>
      <c r="AT38" s="168"/>
      <c r="AU38" s="242"/>
      <c r="AV38" s="224"/>
      <c r="AW38" s="224"/>
      <c r="AX38" s="224"/>
      <c r="AY38" s="243"/>
      <c r="AZ38" s="146"/>
      <c r="BA38" s="168"/>
      <c r="BB38" s="242"/>
      <c r="BC38" s="224"/>
      <c r="BD38" s="224"/>
      <c r="BE38" s="224"/>
      <c r="BF38" s="243"/>
      <c r="BG38" s="168"/>
      <c r="BH38" s="181"/>
      <c r="BI38" s="238"/>
      <c r="BJ38" s="238"/>
      <c r="BK38" s="238"/>
      <c r="BL38" s="239"/>
      <c r="BM38" s="168"/>
      <c r="BN38" s="181"/>
      <c r="BO38" s="238"/>
      <c r="BP38" s="238"/>
      <c r="BQ38" s="239"/>
      <c r="BR38" s="168"/>
      <c r="BS38" s="181"/>
      <c r="BT38" s="238"/>
      <c r="BU38" s="238"/>
      <c r="BV38" s="238"/>
      <c r="BW38" s="239"/>
      <c r="BX38" s="239"/>
      <c r="BY38" s="181"/>
      <c r="BZ38" s="238"/>
      <c r="CA38" s="168"/>
      <c r="CB38" s="168"/>
      <c r="CC38" s="181"/>
      <c r="CD38" s="238"/>
      <c r="CE38" s="238"/>
      <c r="CF38" s="168"/>
      <c r="CG38" s="242"/>
      <c r="CH38" s="224"/>
      <c r="CI38" s="224"/>
      <c r="CJ38" s="243"/>
      <c r="CK38" s="168"/>
      <c r="CL38" s="242"/>
      <c r="CM38" s="224"/>
      <c r="CN38" s="224"/>
      <c r="CO38" s="224"/>
      <c r="CP38" s="243"/>
      <c r="CQ38" s="168"/>
      <c r="CR38" s="181"/>
      <c r="CS38" s="238"/>
      <c r="CT38" s="238"/>
      <c r="CU38" s="238"/>
      <c r="CV38" s="239"/>
      <c r="CW38" s="168"/>
      <c r="CX38" s="181"/>
      <c r="CY38" s="238"/>
      <c r="CZ38" s="238"/>
      <c r="DA38" s="239"/>
      <c r="DB38" s="168"/>
      <c r="DC38" s="168"/>
      <c r="DD38" s="242"/>
      <c r="DE38" s="224"/>
      <c r="DF38" s="224"/>
      <c r="DG38" s="224"/>
      <c r="DH38" s="224"/>
      <c r="DI38" s="168"/>
      <c r="DJ38" s="242"/>
      <c r="DK38" s="224"/>
      <c r="DL38" s="224"/>
      <c r="DM38" s="224"/>
      <c r="DN38" s="243"/>
      <c r="DO38" s="168"/>
      <c r="DP38" s="242"/>
      <c r="DQ38" s="224"/>
      <c r="DR38" s="224"/>
      <c r="DS38" s="224"/>
      <c r="DT38" s="243"/>
      <c r="DU38" s="168"/>
      <c r="DV38" s="242"/>
      <c r="DW38" s="224"/>
      <c r="DX38" s="224"/>
      <c r="DY38" s="224"/>
      <c r="DZ38" s="243"/>
      <c r="EA38" s="168"/>
      <c r="EB38" s="168"/>
      <c r="EC38" s="242"/>
      <c r="ED38" s="224"/>
      <c r="EE38" s="224"/>
      <c r="EF38" s="224"/>
      <c r="EG38" s="243"/>
      <c r="EH38" s="168"/>
      <c r="EI38" s="181"/>
      <c r="EJ38" s="238"/>
      <c r="EK38" s="238"/>
      <c r="EL38" s="238"/>
      <c r="EM38" s="239"/>
      <c r="EN38" s="168"/>
      <c r="EO38" s="242"/>
      <c r="EP38" s="224"/>
      <c r="EQ38" s="224"/>
      <c r="ER38" s="224"/>
      <c r="ES38" s="243"/>
      <c r="ET38" s="168"/>
      <c r="EU38" s="242"/>
      <c r="EV38" s="224"/>
      <c r="EW38" s="224"/>
      <c r="EX38" s="224"/>
      <c r="EY38" s="224"/>
      <c r="EZ38" s="224"/>
      <c r="FA38" s="243"/>
      <c r="FB38" s="168"/>
      <c r="FC38" s="168"/>
      <c r="FD38" s="181"/>
      <c r="FE38" s="238"/>
      <c r="FF38" s="239"/>
      <c r="FG38" s="168"/>
      <c r="FH38" s="181"/>
      <c r="FI38" s="238"/>
      <c r="FJ38" s="238"/>
      <c r="FK38" s="238"/>
      <c r="FL38" s="239"/>
      <c r="FM38" s="168"/>
      <c r="FN38" s="181"/>
      <c r="FO38" s="238"/>
      <c r="FP38" s="238"/>
      <c r="FQ38" s="238"/>
      <c r="FR38" s="168"/>
      <c r="FS38" s="181"/>
      <c r="FT38" s="238"/>
      <c r="FU38" s="238"/>
      <c r="FV38" s="238"/>
      <c r="FW38" s="239"/>
      <c r="FX38" s="168"/>
      <c r="FY38" s="181"/>
      <c r="FZ38" s="238"/>
      <c r="GA38" s="238"/>
      <c r="GB38" s="238"/>
      <c r="GC38" s="239"/>
      <c r="GD38" s="168"/>
      <c r="GE38" s="168"/>
      <c r="GF38" s="181"/>
      <c r="GG38" s="238"/>
      <c r="GH38" s="238"/>
      <c r="GI38" s="238"/>
      <c r="GJ38" s="238"/>
      <c r="GK38" s="168"/>
      <c r="GL38" s="181"/>
      <c r="GM38" s="238"/>
      <c r="GN38" s="238"/>
      <c r="GO38" s="239"/>
      <c r="GP38" s="168"/>
      <c r="GQ38" s="181"/>
      <c r="GR38" s="238"/>
      <c r="GS38" s="238"/>
      <c r="GT38" s="238"/>
      <c r="GU38" s="239"/>
      <c r="GV38" s="168"/>
      <c r="GW38" s="181"/>
      <c r="GX38" s="238"/>
      <c r="GY38" s="238"/>
      <c r="GZ38" s="238"/>
      <c r="HA38" s="238"/>
      <c r="HB38" s="239"/>
      <c r="HC38" s="168"/>
      <c r="HD38" s="168"/>
      <c r="HE38" s="181"/>
      <c r="HF38" s="238"/>
      <c r="HG38" s="238"/>
      <c r="HH38" s="238"/>
      <c r="HI38" s="168"/>
      <c r="HJ38" s="181"/>
      <c r="HK38" s="238"/>
      <c r="HL38" s="238"/>
      <c r="HM38" s="238"/>
      <c r="HN38" s="239"/>
      <c r="HO38" s="168"/>
      <c r="HP38" s="181"/>
      <c r="HQ38" s="238"/>
      <c r="HR38" s="238"/>
      <c r="HS38" s="238"/>
      <c r="HT38" s="239"/>
      <c r="HU38" s="168"/>
      <c r="HV38" s="181"/>
      <c r="HW38" s="238"/>
      <c r="HX38" s="238"/>
      <c r="HY38" s="168"/>
      <c r="HZ38" s="181"/>
      <c r="IA38" s="238"/>
      <c r="IB38" s="239"/>
      <c r="IC38" s="168"/>
      <c r="ID38" s="168"/>
      <c r="IE38" s="181"/>
      <c r="IF38" s="239"/>
      <c r="IG38" s="168"/>
      <c r="IH38" s="181"/>
      <c r="II38" s="238"/>
      <c r="IJ38" s="238"/>
      <c r="IK38" s="238"/>
      <c r="IL38" s="239"/>
      <c r="IM38" s="168"/>
      <c r="IN38" s="181"/>
      <c r="IO38" s="238"/>
      <c r="IP38" s="239"/>
      <c r="IQ38" s="168"/>
      <c r="IR38" s="181"/>
      <c r="IS38" s="238"/>
      <c r="IT38" s="238"/>
      <c r="IU38" s="238"/>
      <c r="IV38" s="239"/>
      <c r="IW38" s="168"/>
      <c r="IX38" s="242"/>
      <c r="IY38" s="224"/>
      <c r="IZ38" s="224"/>
      <c r="JA38" s="224"/>
      <c r="JB38" s="243"/>
      <c r="JC38" s="168"/>
      <c r="JD38" s="168"/>
      <c r="JE38" s="242"/>
      <c r="JF38" s="224"/>
      <c r="JG38" s="224"/>
      <c r="JH38" s="224"/>
      <c r="JI38" s="243"/>
      <c r="JJ38" s="168"/>
      <c r="JK38" s="181"/>
      <c r="JL38" s="238"/>
      <c r="JM38" s="238"/>
      <c r="JN38" s="238"/>
      <c r="JO38" s="239"/>
      <c r="JP38" s="168"/>
      <c r="JQ38" s="242"/>
      <c r="JR38" s="224"/>
      <c r="JS38" s="224"/>
      <c r="JT38" s="224"/>
      <c r="JU38" s="243"/>
      <c r="JV38" s="168"/>
      <c r="JW38" s="242"/>
      <c r="JX38" s="224"/>
      <c r="JY38" s="224"/>
      <c r="JZ38" s="224"/>
      <c r="KA38" s="224"/>
      <c r="KB38" s="243"/>
      <c r="KC38" s="168"/>
      <c r="KD38" s="168"/>
      <c r="KE38" s="181"/>
      <c r="KF38" s="238"/>
      <c r="KG38" s="238"/>
      <c r="KH38" s="238"/>
      <c r="KI38" s="239"/>
      <c r="KJ38" s="168"/>
      <c r="KK38" s="181"/>
      <c r="KL38" s="238"/>
      <c r="KM38" s="238"/>
      <c r="KN38" s="238"/>
      <c r="KO38" s="239"/>
      <c r="KP38" s="168"/>
      <c r="KQ38" s="181"/>
      <c r="KR38" s="238"/>
      <c r="KS38" s="238"/>
      <c r="KT38" s="238"/>
      <c r="KU38" s="239"/>
      <c r="KV38" s="168"/>
      <c r="KW38" s="242"/>
      <c r="KX38" s="224"/>
      <c r="KY38" s="224"/>
      <c r="KZ38" s="224"/>
      <c r="LA38" s="243"/>
      <c r="LB38" s="168"/>
      <c r="LC38" s="242"/>
      <c r="LD38" s="224"/>
      <c r="LE38" s="243"/>
      <c r="LF38" s="168"/>
      <c r="LG38" s="168"/>
    </row>
    <row r="39" spans="2:322" s="30" customFormat="1">
      <c r="B39" s="94" t="s">
        <v>90</v>
      </c>
      <c r="C39" s="172">
        <f>SUM(C40:C46)</f>
        <v>135562.247</v>
      </c>
      <c r="D39" s="172">
        <f>SUM(D40:D46)</f>
        <v>135562.247</v>
      </c>
      <c r="E39" s="172">
        <f t="shared" ref="E39:AA39" si="75">SUM(E40:E46)</f>
        <v>166395.783</v>
      </c>
      <c r="F39" s="172">
        <f t="shared" si="75"/>
        <v>26823.994999999999</v>
      </c>
      <c r="G39" s="172">
        <f t="shared" si="75"/>
        <v>36092.222999999998</v>
      </c>
      <c r="H39" s="172">
        <f t="shared" si="75"/>
        <v>46009.981</v>
      </c>
      <c r="I39" s="172">
        <f t="shared" si="75"/>
        <v>175211.83799999999</v>
      </c>
      <c r="J39" s="172">
        <f t="shared" si="75"/>
        <v>450533.82</v>
      </c>
      <c r="K39" s="172">
        <f t="shared" si="75"/>
        <v>95380.251000000004</v>
      </c>
      <c r="L39" s="172">
        <f>SUM(L40:L46)</f>
        <v>23786.081999999999</v>
      </c>
      <c r="M39" s="172">
        <f t="shared" si="75"/>
        <v>76587.150999999998</v>
      </c>
      <c r="N39" s="172">
        <f t="shared" si="75"/>
        <v>10216.502</v>
      </c>
      <c r="O39" s="172">
        <f t="shared" si="75"/>
        <v>205969.986</v>
      </c>
      <c r="P39" s="172">
        <f t="shared" si="75"/>
        <v>51942.816999999995</v>
      </c>
      <c r="Q39" s="172">
        <f t="shared" si="75"/>
        <v>118245.908</v>
      </c>
      <c r="R39" s="172">
        <f t="shared" si="75"/>
        <v>30489.993000000002</v>
      </c>
      <c r="S39" s="172">
        <f t="shared" si="75"/>
        <v>74043.324999999997</v>
      </c>
      <c r="T39" s="172">
        <f t="shared" si="75"/>
        <v>314822.38800000004</v>
      </c>
      <c r="U39" s="172">
        <f t="shared" si="75"/>
        <v>589544.43099999998</v>
      </c>
      <c r="V39" s="172">
        <f t="shared" si="75"/>
        <v>35993.096000000005</v>
      </c>
      <c r="W39" s="172">
        <f t="shared" si="75"/>
        <v>61382.185000000005</v>
      </c>
      <c r="X39" s="172">
        <f t="shared" si="75"/>
        <v>68981.009000000005</v>
      </c>
      <c r="Y39" s="172">
        <f t="shared" si="75"/>
        <v>55038.447</v>
      </c>
      <c r="Z39" s="172">
        <f t="shared" si="75"/>
        <v>47497.838000000003</v>
      </c>
      <c r="AA39" s="172">
        <f t="shared" si="75"/>
        <v>268892.57500000001</v>
      </c>
      <c r="AB39" s="234">
        <f t="shared" ref="AB39:AZ39" si="76">SUM(AB40:AB46)</f>
        <v>1650503.0589999999</v>
      </c>
      <c r="AC39" s="172">
        <f t="shared" si="76"/>
        <v>61054.891000000003</v>
      </c>
      <c r="AD39" s="179">
        <f t="shared" si="76"/>
        <v>121798.68899999998</v>
      </c>
      <c r="AE39" s="179">
        <f t="shared" si="76"/>
        <v>173128.886</v>
      </c>
      <c r="AF39" s="179">
        <f t="shared" si="76"/>
        <v>30972.238999999998</v>
      </c>
      <c r="AG39" s="180">
        <f t="shared" si="76"/>
        <v>25431.593999999997</v>
      </c>
      <c r="AH39" s="198">
        <f t="shared" si="76"/>
        <v>412386.29900000012</v>
      </c>
      <c r="AI39" s="172">
        <f t="shared" si="76"/>
        <v>74378.28</v>
      </c>
      <c r="AJ39" s="179">
        <f t="shared" si="76"/>
        <v>242097.05099999998</v>
      </c>
      <c r="AK39" s="179">
        <f t="shared" si="76"/>
        <v>40654.754000000001</v>
      </c>
      <c r="AL39" s="179">
        <f t="shared" si="76"/>
        <v>84728.401000000013</v>
      </c>
      <c r="AM39" s="179">
        <f t="shared" si="76"/>
        <v>15377.063</v>
      </c>
      <c r="AN39" s="198">
        <f t="shared" si="76"/>
        <v>457235.54900000006</v>
      </c>
      <c r="AO39" s="179">
        <f t="shared" si="76"/>
        <v>11400.39</v>
      </c>
      <c r="AP39" s="179">
        <f t="shared" si="76"/>
        <v>20573.059000000001</v>
      </c>
      <c r="AQ39" s="179">
        <f t="shared" si="76"/>
        <v>133241.01300000001</v>
      </c>
      <c r="AR39" s="179">
        <f t="shared" si="76"/>
        <v>19351.444000000003</v>
      </c>
      <c r="AS39" s="180">
        <f t="shared" si="76"/>
        <v>230038.39499999999</v>
      </c>
      <c r="AT39" s="198">
        <f t="shared" si="76"/>
        <v>414604.30099999992</v>
      </c>
      <c r="AU39" s="172">
        <f t="shared" si="76"/>
        <v>26843.440999999999</v>
      </c>
      <c r="AV39" s="179">
        <f t="shared" si="76"/>
        <v>69002.73599999999</v>
      </c>
      <c r="AW39" s="179">
        <f t="shared" si="76"/>
        <v>82829.593000000008</v>
      </c>
      <c r="AX39" s="179">
        <f t="shared" si="76"/>
        <v>17488.110999999997</v>
      </c>
      <c r="AY39" s="179">
        <f t="shared" si="76"/>
        <v>78704.990000000005</v>
      </c>
      <c r="AZ39" s="198">
        <f t="shared" si="76"/>
        <v>274868.87099999998</v>
      </c>
      <c r="BA39" s="234">
        <f t="shared" ref="BA39:FX39" si="77">SUM(BA40:BA47)</f>
        <v>1559095.0200000003</v>
      </c>
      <c r="BB39" s="172">
        <f t="shared" si="77"/>
        <v>23580.284</v>
      </c>
      <c r="BC39" s="179">
        <f t="shared" si="77"/>
        <v>105436.57699999999</v>
      </c>
      <c r="BD39" s="179">
        <f t="shared" si="77"/>
        <v>189936.83300000004</v>
      </c>
      <c r="BE39" s="179">
        <f t="shared" si="77"/>
        <v>59820.366999999998</v>
      </c>
      <c r="BF39" s="180">
        <f t="shared" si="77"/>
        <v>19951.122000000003</v>
      </c>
      <c r="BG39" s="198">
        <f t="shared" si="77"/>
        <v>398725.18300000002</v>
      </c>
      <c r="BH39" s="172">
        <f t="shared" si="77"/>
        <v>41637.705000000002</v>
      </c>
      <c r="BI39" s="179">
        <f t="shared" si="77"/>
        <v>157814.84099999999</v>
      </c>
      <c r="BJ39" s="179">
        <f t="shared" si="77"/>
        <v>220470.00999999998</v>
      </c>
      <c r="BK39" s="179">
        <f t="shared" si="77"/>
        <v>49998.902000000009</v>
      </c>
      <c r="BL39" s="180">
        <f t="shared" si="77"/>
        <v>23093.856</v>
      </c>
      <c r="BM39" s="198">
        <f t="shared" si="77"/>
        <v>493015.31399999995</v>
      </c>
      <c r="BN39" s="172">
        <f t="shared" si="77"/>
        <v>30971.108</v>
      </c>
      <c r="BO39" s="179">
        <f t="shared" si="77"/>
        <v>47433.439000000006</v>
      </c>
      <c r="BP39" s="179">
        <f t="shared" si="77"/>
        <v>168062.033</v>
      </c>
      <c r="BQ39" s="180">
        <f t="shared" si="77"/>
        <v>16404.782999999999</v>
      </c>
      <c r="BR39" s="198">
        <f t="shared" si="77"/>
        <v>262871.36300000001</v>
      </c>
      <c r="BS39" s="172">
        <f t="shared" si="77"/>
        <v>31216.466999999997</v>
      </c>
      <c r="BT39" s="179">
        <f t="shared" si="77"/>
        <v>19586.623</v>
      </c>
      <c r="BU39" s="179">
        <f t="shared" si="77"/>
        <v>199978.538</v>
      </c>
      <c r="BV39" s="179">
        <f t="shared" si="77"/>
        <v>20411.258999999998</v>
      </c>
      <c r="BW39" s="180">
        <f t="shared" si="77"/>
        <v>39396.845000000001</v>
      </c>
      <c r="BX39" s="180">
        <f t="shared" si="77"/>
        <v>310589.73200000002</v>
      </c>
      <c r="BY39" s="172">
        <f>SUM(BY40:BY47)</f>
        <v>58540.907999999996</v>
      </c>
      <c r="BZ39" s="179">
        <f>SUM(BZ40:BZ47)</f>
        <v>28423.958999999999</v>
      </c>
      <c r="CA39" s="198">
        <f t="shared" si="77"/>
        <v>86964.866999999998</v>
      </c>
      <c r="CB39" s="234">
        <f t="shared" si="77"/>
        <v>1552166.459</v>
      </c>
      <c r="CC39" s="172">
        <f t="shared" si="77"/>
        <v>145021.31599999999</v>
      </c>
      <c r="CD39" s="179">
        <f t="shared" si="77"/>
        <v>158380.397</v>
      </c>
      <c r="CE39" s="179">
        <f t="shared" si="77"/>
        <v>18534.316999999999</v>
      </c>
      <c r="CF39" s="198">
        <f t="shared" si="77"/>
        <v>321936.02999999991</v>
      </c>
      <c r="CG39" s="172">
        <f t="shared" si="77"/>
        <v>360765.88300000003</v>
      </c>
      <c r="CH39" s="179">
        <f t="shared" si="77"/>
        <v>32303.48</v>
      </c>
      <c r="CI39" s="179">
        <f t="shared" si="77"/>
        <v>65408.233</v>
      </c>
      <c r="CJ39" s="180">
        <f t="shared" si="77"/>
        <v>111580.603</v>
      </c>
      <c r="CK39" s="198">
        <f t="shared" si="77"/>
        <v>570058.19900000002</v>
      </c>
      <c r="CL39" s="172">
        <f t="shared" si="77"/>
        <v>41795.574000000001</v>
      </c>
      <c r="CM39" s="179">
        <f t="shared" si="77"/>
        <v>62510.198000000004</v>
      </c>
      <c r="CN39" s="179">
        <f t="shared" si="77"/>
        <v>12600.994999999999</v>
      </c>
      <c r="CO39" s="179">
        <f t="shared" si="77"/>
        <v>40288.192999999999</v>
      </c>
      <c r="CP39" s="180">
        <f t="shared" si="77"/>
        <v>77035.360000000001</v>
      </c>
      <c r="CQ39" s="198">
        <f t="shared" si="77"/>
        <v>234230.32</v>
      </c>
      <c r="CR39" s="172">
        <f t="shared" si="77"/>
        <v>18081.840000000004</v>
      </c>
      <c r="CS39" s="179">
        <f t="shared" si="77"/>
        <v>52853.373999999996</v>
      </c>
      <c r="CT39" s="179">
        <f t="shared" si="77"/>
        <v>138742.79100000003</v>
      </c>
      <c r="CU39" s="179">
        <f t="shared" si="77"/>
        <v>18704.342000000001</v>
      </c>
      <c r="CV39" s="180">
        <f t="shared" si="77"/>
        <v>18584.370999999999</v>
      </c>
      <c r="CW39" s="198">
        <f t="shared" si="77"/>
        <v>246966.71800000005</v>
      </c>
      <c r="CX39" s="172">
        <f t="shared" si="77"/>
        <v>18876.554</v>
      </c>
      <c r="CY39" s="179">
        <f t="shared" si="77"/>
        <v>115698.204</v>
      </c>
      <c r="CZ39" s="179">
        <f t="shared" si="77"/>
        <v>40778.747000000003</v>
      </c>
      <c r="DA39" s="180">
        <f t="shared" si="77"/>
        <v>14516.014999999999</v>
      </c>
      <c r="DB39" s="198">
        <f t="shared" si="77"/>
        <v>189869.52000000002</v>
      </c>
      <c r="DC39" s="234">
        <f t="shared" si="77"/>
        <v>1563060.787</v>
      </c>
      <c r="DD39" s="172">
        <f t="shared" si="77"/>
        <v>209589.67</v>
      </c>
      <c r="DE39" s="179">
        <f t="shared" si="77"/>
        <v>214734.41800000001</v>
      </c>
      <c r="DF39" s="179">
        <f t="shared" si="77"/>
        <v>40616.464</v>
      </c>
      <c r="DG39" s="179">
        <f t="shared" si="77"/>
        <v>13419.987000000001</v>
      </c>
      <c r="DH39" s="179">
        <f t="shared" si="77"/>
        <v>44626.39</v>
      </c>
      <c r="DI39" s="198">
        <f t="shared" si="77"/>
        <v>522986.92899999995</v>
      </c>
      <c r="DJ39" s="172">
        <f t="shared" si="77"/>
        <v>104628.967</v>
      </c>
      <c r="DK39" s="179">
        <f t="shared" si="77"/>
        <v>19158.618000000002</v>
      </c>
      <c r="DL39" s="179">
        <f t="shared" si="77"/>
        <v>62790.485999999997</v>
      </c>
      <c r="DM39" s="179">
        <f t="shared" si="77"/>
        <v>15374.587</v>
      </c>
      <c r="DN39" s="180">
        <f t="shared" si="77"/>
        <v>18828.055</v>
      </c>
      <c r="DO39" s="198">
        <f t="shared" si="77"/>
        <v>220780.71299999999</v>
      </c>
      <c r="DP39" s="172">
        <f t="shared" si="77"/>
        <v>47302.140999999996</v>
      </c>
      <c r="DQ39" s="179">
        <f t="shared" si="77"/>
        <v>183515.71</v>
      </c>
      <c r="DR39" s="179">
        <f t="shared" si="77"/>
        <v>9836.7010000000009</v>
      </c>
      <c r="DS39" s="179">
        <f t="shared" si="77"/>
        <v>25458.671999999999</v>
      </c>
      <c r="DT39" s="180">
        <f t="shared" si="77"/>
        <v>50563.3</v>
      </c>
      <c r="DU39" s="198">
        <f t="shared" si="77"/>
        <v>316676.52399999998</v>
      </c>
      <c r="DV39" s="172">
        <f t="shared" si="77"/>
        <v>64110.145000000004</v>
      </c>
      <c r="DW39" s="179">
        <f t="shared" si="77"/>
        <v>34853.108999999997</v>
      </c>
      <c r="DX39" s="179">
        <f t="shared" si="77"/>
        <v>44326.240000000005</v>
      </c>
      <c r="DY39" s="179">
        <f t="shared" si="77"/>
        <v>23955.219000000001</v>
      </c>
      <c r="DZ39" s="180">
        <f t="shared" si="77"/>
        <v>31983.297000000002</v>
      </c>
      <c r="EA39" s="198">
        <f t="shared" si="77"/>
        <v>199228.01</v>
      </c>
      <c r="EB39" s="234">
        <f t="shared" si="77"/>
        <v>1259672.176</v>
      </c>
      <c r="EC39" s="172">
        <f t="shared" si="77"/>
        <v>70519.938999999998</v>
      </c>
      <c r="ED39" s="179">
        <f t="shared" si="77"/>
        <v>216096.16400000002</v>
      </c>
      <c r="EE39" s="179">
        <f t="shared" si="77"/>
        <v>14754.448000000002</v>
      </c>
      <c r="EF39" s="179">
        <f t="shared" si="77"/>
        <v>13350.173999999999</v>
      </c>
      <c r="EG39" s="180">
        <f t="shared" si="77"/>
        <v>25209.767</v>
      </c>
      <c r="EH39" s="198">
        <f t="shared" si="77"/>
        <v>339930.49200000009</v>
      </c>
      <c r="EI39" s="172">
        <f t="shared" si="77"/>
        <v>118026.556</v>
      </c>
      <c r="EJ39" s="179">
        <f t="shared" si="77"/>
        <v>47653.379000000001</v>
      </c>
      <c r="EK39" s="179">
        <f t="shared" si="77"/>
        <v>7378.360999999999</v>
      </c>
      <c r="EL39" s="179">
        <f t="shared" si="77"/>
        <v>86155.571999999986</v>
      </c>
      <c r="EM39" s="180">
        <f t="shared" si="77"/>
        <v>57307.716</v>
      </c>
      <c r="EN39" s="198">
        <f>SUM(EN40:EN47)</f>
        <v>316521.58400000003</v>
      </c>
      <c r="EO39" s="172">
        <f t="shared" si="77"/>
        <v>40213.896000000001</v>
      </c>
      <c r="EP39" s="179">
        <f t="shared" si="77"/>
        <v>10915.427</v>
      </c>
      <c r="EQ39" s="179">
        <f t="shared" si="77"/>
        <v>115968.68</v>
      </c>
      <c r="ER39" s="179">
        <f t="shared" si="77"/>
        <v>29895.15</v>
      </c>
      <c r="ES39" s="180">
        <f t="shared" si="77"/>
        <v>14201.417000000001</v>
      </c>
      <c r="ET39" s="198">
        <f t="shared" si="77"/>
        <v>211194.57</v>
      </c>
      <c r="EU39" s="172">
        <f t="shared" si="77"/>
        <v>40513.707999999999</v>
      </c>
      <c r="EV39" s="179">
        <f t="shared" si="77"/>
        <v>89348.483000000007</v>
      </c>
      <c r="EW39" s="179">
        <f t="shared" si="77"/>
        <v>69684.310999999987</v>
      </c>
      <c r="EX39" s="179">
        <f t="shared" si="77"/>
        <v>8986.405999999999</v>
      </c>
      <c r="EY39" s="179">
        <f t="shared" si="77"/>
        <v>18791.862999999998</v>
      </c>
      <c r="EZ39" s="179">
        <f>SUM(EZ40:EZ47)</f>
        <v>6940.692</v>
      </c>
      <c r="FA39" s="180">
        <f t="shared" si="77"/>
        <v>63355.682000000001</v>
      </c>
      <c r="FB39" s="198">
        <f t="shared" si="77"/>
        <v>297621.14499999996</v>
      </c>
      <c r="FC39" s="234">
        <f t="shared" si="77"/>
        <v>1165267.7910000002</v>
      </c>
      <c r="FD39" s="172">
        <f t="shared" si="77"/>
        <v>67965.697000000015</v>
      </c>
      <c r="FE39" s="179">
        <f t="shared" si="77"/>
        <v>38997.126000000004</v>
      </c>
      <c r="FF39" s="180">
        <f t="shared" si="77"/>
        <v>183567.34100000001</v>
      </c>
      <c r="FG39" s="198">
        <f t="shared" si="77"/>
        <v>290530.16399999999</v>
      </c>
      <c r="FH39" s="172">
        <f t="shared" si="77"/>
        <v>27864.858</v>
      </c>
      <c r="FI39" s="179">
        <f t="shared" si="77"/>
        <v>114600.11399999999</v>
      </c>
      <c r="FJ39" s="179">
        <f t="shared" si="77"/>
        <v>34725.702000000005</v>
      </c>
      <c r="FK39" s="179">
        <f t="shared" si="77"/>
        <v>118712.409</v>
      </c>
      <c r="FL39" s="180">
        <f t="shared" si="77"/>
        <v>15487.726999999999</v>
      </c>
      <c r="FM39" s="198">
        <f>SUM(FM40:FM47)</f>
        <v>311390.81000000006</v>
      </c>
      <c r="FN39" s="172">
        <f t="shared" si="77"/>
        <v>30876.936000000002</v>
      </c>
      <c r="FO39" s="179">
        <f t="shared" si="77"/>
        <v>47943.148000000001</v>
      </c>
      <c r="FP39" s="179">
        <f t="shared" si="77"/>
        <v>56285.971000000005</v>
      </c>
      <c r="FQ39" s="179">
        <f t="shared" si="77"/>
        <v>14561.147000000001</v>
      </c>
      <c r="FR39" s="198">
        <f t="shared" si="77"/>
        <v>149667.20199999999</v>
      </c>
      <c r="FS39" s="172">
        <f t="shared" si="77"/>
        <v>101644.66099999999</v>
      </c>
      <c r="FT39" s="179">
        <f t="shared" si="77"/>
        <v>10626.564</v>
      </c>
      <c r="FU39" s="179">
        <f t="shared" si="77"/>
        <v>8121.2070000000003</v>
      </c>
      <c r="FV39" s="179">
        <f t="shared" si="77"/>
        <v>51566.917999999991</v>
      </c>
      <c r="FW39" s="180">
        <f t="shared" si="77"/>
        <v>12578.260999999999</v>
      </c>
      <c r="FX39" s="198">
        <f t="shared" si="77"/>
        <v>184537.61099999998</v>
      </c>
      <c r="FY39" s="172">
        <f t="shared" ref="FY39:GD39" si="78">SUM(FY40:FY47)</f>
        <v>34908.407999999996</v>
      </c>
      <c r="FZ39" s="179">
        <f t="shared" si="78"/>
        <v>31813.25</v>
      </c>
      <c r="GA39" s="179">
        <f t="shared" si="78"/>
        <v>68049.962999999989</v>
      </c>
      <c r="GB39" s="179">
        <f t="shared" si="78"/>
        <v>10923.896000000001</v>
      </c>
      <c r="GC39" s="180">
        <f t="shared" si="78"/>
        <v>31456.372000000003</v>
      </c>
      <c r="GD39" s="198">
        <f t="shared" si="78"/>
        <v>177151.889</v>
      </c>
      <c r="GE39" s="234">
        <f t="shared" ref="GE39:LG39" si="79">SUM(GE40:GE47)</f>
        <v>1113277.676</v>
      </c>
      <c r="GF39" s="172">
        <f t="shared" si="79"/>
        <v>77930.571000000011</v>
      </c>
      <c r="GG39" s="179">
        <f t="shared" si="79"/>
        <v>85750.457000000009</v>
      </c>
      <c r="GH39" s="179">
        <f t="shared" si="79"/>
        <v>155309.16999999998</v>
      </c>
      <c r="GI39" s="179">
        <f t="shared" si="79"/>
        <v>17415.308000000001</v>
      </c>
      <c r="GJ39" s="179">
        <f t="shared" si="79"/>
        <v>68346.083000000013</v>
      </c>
      <c r="GK39" s="198">
        <f t="shared" si="79"/>
        <v>404751.58900000004</v>
      </c>
      <c r="GL39" s="172">
        <f t="shared" si="79"/>
        <v>93156.966</v>
      </c>
      <c r="GM39" s="179">
        <f t="shared" si="79"/>
        <v>9597.5689999999995</v>
      </c>
      <c r="GN39" s="179">
        <f t="shared" si="79"/>
        <v>69750.760999999999</v>
      </c>
      <c r="GO39" s="180">
        <f t="shared" si="79"/>
        <v>93442.492999999988</v>
      </c>
      <c r="GP39" s="198">
        <f t="shared" si="79"/>
        <v>265947.78899999999</v>
      </c>
      <c r="GQ39" s="172">
        <f t="shared" si="79"/>
        <v>21198.675999999999</v>
      </c>
      <c r="GR39" s="179">
        <f t="shared" si="79"/>
        <v>29613.989999999998</v>
      </c>
      <c r="GS39" s="179">
        <f t="shared" si="79"/>
        <v>137837.87700000001</v>
      </c>
      <c r="GT39" s="179">
        <f t="shared" si="79"/>
        <v>35576.653000000006</v>
      </c>
      <c r="GU39" s="180">
        <f t="shared" si="79"/>
        <v>90061.767000000007</v>
      </c>
      <c r="GV39" s="198">
        <f t="shared" si="79"/>
        <v>314288.96299999999</v>
      </c>
      <c r="GW39" s="172">
        <f t="shared" si="79"/>
        <v>52732.320999999996</v>
      </c>
      <c r="GX39" s="179">
        <f t="shared" si="79"/>
        <v>18619.642</v>
      </c>
      <c r="GY39" s="179">
        <f t="shared" si="79"/>
        <v>33530.135999999999</v>
      </c>
      <c r="GZ39" s="179">
        <f t="shared" si="79"/>
        <v>70822.976999999999</v>
      </c>
      <c r="HA39" s="179">
        <f t="shared" si="79"/>
        <v>43763.288</v>
      </c>
      <c r="HB39" s="179">
        <f t="shared" si="79"/>
        <v>21900.021000000001</v>
      </c>
      <c r="HC39" s="198">
        <f>SUM(HC40:HC47)</f>
        <v>241368.38500000001</v>
      </c>
      <c r="HD39" s="234">
        <f t="shared" si="79"/>
        <v>1226356.7259999998</v>
      </c>
      <c r="HE39" s="172">
        <f t="shared" si="79"/>
        <v>39990.429000000004</v>
      </c>
      <c r="HF39" s="179">
        <f t="shared" si="79"/>
        <v>168671.14199999999</v>
      </c>
      <c r="HG39" s="179">
        <f t="shared" si="79"/>
        <v>38184.849000000002</v>
      </c>
      <c r="HH39" s="179">
        <f t="shared" si="79"/>
        <v>22069.667000000001</v>
      </c>
      <c r="HI39" s="198">
        <f t="shared" si="79"/>
        <v>268916.087</v>
      </c>
      <c r="HJ39" s="172">
        <f t="shared" si="79"/>
        <v>105372.625</v>
      </c>
      <c r="HK39" s="179">
        <f t="shared" si="79"/>
        <v>23926.867999999999</v>
      </c>
      <c r="HL39" s="179">
        <f t="shared" si="79"/>
        <v>63962.753000000004</v>
      </c>
      <c r="HM39" s="179">
        <f t="shared" si="79"/>
        <v>130896.444</v>
      </c>
      <c r="HN39" s="180">
        <f t="shared" si="79"/>
        <v>51844.593999999997</v>
      </c>
      <c r="HO39" s="198">
        <f t="shared" si="79"/>
        <v>376003.28399999999</v>
      </c>
      <c r="HP39" s="172">
        <f t="shared" si="79"/>
        <v>49229.780000000006</v>
      </c>
      <c r="HQ39" s="179">
        <f t="shared" si="79"/>
        <v>90282.112999999998</v>
      </c>
      <c r="HR39" s="179">
        <f t="shared" si="79"/>
        <v>3223.5510000000004</v>
      </c>
      <c r="HS39" s="179">
        <f t="shared" si="79"/>
        <v>105145.47799999999</v>
      </c>
      <c r="HT39" s="180">
        <f t="shared" si="79"/>
        <v>24955.603999999999</v>
      </c>
      <c r="HU39" s="198">
        <f t="shared" si="79"/>
        <v>272836.52600000001</v>
      </c>
      <c r="HV39" s="172">
        <f t="shared" si="79"/>
        <v>113663.14899999998</v>
      </c>
      <c r="HW39" s="179">
        <f t="shared" si="79"/>
        <v>28607.883000000002</v>
      </c>
      <c r="HX39" s="179">
        <f t="shared" si="79"/>
        <v>57440.56</v>
      </c>
      <c r="HY39" s="198">
        <f t="shared" si="79"/>
        <v>199711.592</v>
      </c>
      <c r="HZ39" s="172">
        <f t="shared" si="79"/>
        <v>40235.365000000005</v>
      </c>
      <c r="IA39" s="179">
        <f>SUM(IA40:IA47)</f>
        <v>4976.0630000000001</v>
      </c>
      <c r="IB39" s="180">
        <f>SUM(IB40:IB47)</f>
        <v>123569.57</v>
      </c>
      <c r="IC39" s="198">
        <f t="shared" si="79"/>
        <v>168780.99800000002</v>
      </c>
      <c r="ID39" s="234">
        <f t="shared" si="79"/>
        <v>1286248.4869999997</v>
      </c>
      <c r="IE39" s="172">
        <f t="shared" si="79"/>
        <v>42459.025999999998</v>
      </c>
      <c r="IF39" s="180">
        <f t="shared" si="79"/>
        <v>180101.856</v>
      </c>
      <c r="IG39" s="198">
        <f t="shared" si="79"/>
        <v>222560.88200000001</v>
      </c>
      <c r="IH39" s="172">
        <f t="shared" si="79"/>
        <v>40101.868000000002</v>
      </c>
      <c r="II39" s="179">
        <f t="shared" si="79"/>
        <v>14666.121999999999</v>
      </c>
      <c r="IJ39" s="179">
        <f t="shared" si="79"/>
        <v>124042.37300000001</v>
      </c>
      <c r="IK39" s="179">
        <f t="shared" si="79"/>
        <v>49909.355999999992</v>
      </c>
      <c r="IL39" s="180">
        <f t="shared" si="79"/>
        <v>110766.93399999999</v>
      </c>
      <c r="IM39" s="198">
        <f t="shared" si="79"/>
        <v>339486.65300000005</v>
      </c>
      <c r="IN39" s="172">
        <f t="shared" si="79"/>
        <v>26522.526000000002</v>
      </c>
      <c r="IO39" s="179">
        <f t="shared" si="79"/>
        <v>116645.929</v>
      </c>
      <c r="IP39" s="180">
        <f t="shared" si="79"/>
        <v>95777.894</v>
      </c>
      <c r="IQ39" s="198">
        <f t="shared" si="79"/>
        <v>238946.34899999999</v>
      </c>
      <c r="IR39" s="172">
        <f t="shared" si="79"/>
        <v>140634.47500000001</v>
      </c>
      <c r="IS39" s="179">
        <f t="shared" si="79"/>
        <v>86511.744999999995</v>
      </c>
      <c r="IT39" s="179">
        <f t="shared" si="79"/>
        <v>16803.928</v>
      </c>
      <c r="IU39" s="179">
        <f t="shared" si="79"/>
        <v>62564.258000000002</v>
      </c>
      <c r="IV39" s="180">
        <f t="shared" si="79"/>
        <v>37662.284999999996</v>
      </c>
      <c r="IW39" s="198">
        <f t="shared" si="79"/>
        <v>344176.69099999999</v>
      </c>
      <c r="IX39" s="172">
        <f t="shared" si="79"/>
        <v>28005.345999999998</v>
      </c>
      <c r="IY39" s="179">
        <f t="shared" si="79"/>
        <v>143504.67199999999</v>
      </c>
      <c r="IZ39" s="179">
        <f t="shared" si="79"/>
        <v>82393.989000000001</v>
      </c>
      <c r="JA39" s="179">
        <f t="shared" si="79"/>
        <v>30552.205999999998</v>
      </c>
      <c r="JB39" s="180">
        <f t="shared" si="79"/>
        <v>20391.102999999999</v>
      </c>
      <c r="JC39" s="198">
        <f t="shared" si="79"/>
        <v>304847.31599999999</v>
      </c>
      <c r="JD39" s="234">
        <f t="shared" si="79"/>
        <v>1450017.8910000001</v>
      </c>
      <c r="JE39" s="172">
        <f t="shared" si="79"/>
        <v>37230.112000000001</v>
      </c>
      <c r="JF39" s="179">
        <f t="shared" si="79"/>
        <v>212425.864</v>
      </c>
      <c r="JG39" s="179">
        <f t="shared" si="79"/>
        <v>5539.9429999999993</v>
      </c>
      <c r="JH39" s="179">
        <f t="shared" si="79"/>
        <v>55320.588999999993</v>
      </c>
      <c r="JI39" s="180">
        <f t="shared" si="79"/>
        <v>29140.074999999997</v>
      </c>
      <c r="JJ39" s="198">
        <f t="shared" si="79"/>
        <v>339656.58299999998</v>
      </c>
      <c r="JK39" s="431">
        <f t="shared" si="79"/>
        <v>0</v>
      </c>
      <c r="JL39" s="432">
        <f t="shared" si="79"/>
        <v>0</v>
      </c>
      <c r="JM39" s="432">
        <f t="shared" si="79"/>
        <v>0</v>
      </c>
      <c r="JN39" s="432">
        <f t="shared" si="79"/>
        <v>0</v>
      </c>
      <c r="JO39" s="433">
        <f t="shared" si="79"/>
        <v>0</v>
      </c>
      <c r="JP39" s="148">
        <f t="shared" si="79"/>
        <v>0</v>
      </c>
      <c r="JQ39" s="431">
        <f t="shared" si="79"/>
        <v>0</v>
      </c>
      <c r="JR39" s="432">
        <f t="shared" si="79"/>
        <v>0</v>
      </c>
      <c r="JS39" s="432">
        <f t="shared" si="79"/>
        <v>0</v>
      </c>
      <c r="JT39" s="432">
        <f t="shared" si="79"/>
        <v>0</v>
      </c>
      <c r="JU39" s="433">
        <f t="shared" si="79"/>
        <v>0</v>
      </c>
      <c r="JV39" s="148">
        <f t="shared" si="79"/>
        <v>0</v>
      </c>
      <c r="JW39" s="431">
        <f t="shared" si="79"/>
        <v>0</v>
      </c>
      <c r="JX39" s="432">
        <f t="shared" si="79"/>
        <v>0</v>
      </c>
      <c r="JY39" s="432">
        <f t="shared" si="79"/>
        <v>0</v>
      </c>
      <c r="JZ39" s="432">
        <f t="shared" si="79"/>
        <v>0</v>
      </c>
      <c r="KA39" s="432">
        <f t="shared" si="79"/>
        <v>0</v>
      </c>
      <c r="KB39" s="433">
        <f t="shared" si="79"/>
        <v>0</v>
      </c>
      <c r="KC39" s="148">
        <f t="shared" si="79"/>
        <v>0</v>
      </c>
      <c r="KD39" s="148">
        <f t="shared" si="79"/>
        <v>339656.58299999998</v>
      </c>
      <c r="KE39" s="431">
        <f t="shared" si="79"/>
        <v>0</v>
      </c>
      <c r="KF39" s="432">
        <f t="shared" si="79"/>
        <v>0</v>
      </c>
      <c r="KG39" s="432">
        <f t="shared" si="79"/>
        <v>0</v>
      </c>
      <c r="KH39" s="432">
        <f t="shared" si="79"/>
        <v>0</v>
      </c>
      <c r="KI39" s="433">
        <f t="shared" si="79"/>
        <v>0</v>
      </c>
      <c r="KJ39" s="148">
        <f t="shared" si="79"/>
        <v>0</v>
      </c>
      <c r="KK39" s="431">
        <f t="shared" si="79"/>
        <v>0</v>
      </c>
      <c r="KL39" s="432">
        <f t="shared" si="79"/>
        <v>0</v>
      </c>
      <c r="KM39" s="432">
        <f t="shared" si="79"/>
        <v>0</v>
      </c>
      <c r="KN39" s="432">
        <f t="shared" si="79"/>
        <v>0</v>
      </c>
      <c r="KO39" s="433">
        <f t="shared" si="79"/>
        <v>0</v>
      </c>
      <c r="KP39" s="148">
        <f t="shared" si="79"/>
        <v>0</v>
      </c>
      <c r="KQ39" s="431">
        <f t="shared" si="79"/>
        <v>0</v>
      </c>
      <c r="KR39" s="432">
        <f t="shared" si="79"/>
        <v>0</v>
      </c>
      <c r="KS39" s="432">
        <f t="shared" si="79"/>
        <v>0</v>
      </c>
      <c r="KT39" s="432">
        <f t="shared" si="79"/>
        <v>0</v>
      </c>
      <c r="KU39" s="433">
        <f t="shared" si="79"/>
        <v>0</v>
      </c>
      <c r="KV39" s="148">
        <f t="shared" si="79"/>
        <v>0</v>
      </c>
      <c r="KW39" s="431">
        <f t="shared" si="79"/>
        <v>0</v>
      </c>
      <c r="KX39" s="432">
        <f t="shared" si="79"/>
        <v>0</v>
      </c>
      <c r="KY39" s="432">
        <f t="shared" si="79"/>
        <v>0</v>
      </c>
      <c r="KZ39" s="432">
        <f t="shared" si="79"/>
        <v>0</v>
      </c>
      <c r="LA39" s="433">
        <f t="shared" si="79"/>
        <v>0</v>
      </c>
      <c r="LB39" s="148">
        <f t="shared" si="79"/>
        <v>0</v>
      </c>
      <c r="LC39" s="431">
        <f t="shared" si="79"/>
        <v>0</v>
      </c>
      <c r="LD39" s="432">
        <f t="shared" si="79"/>
        <v>0</v>
      </c>
      <c r="LE39" s="433">
        <f t="shared" si="79"/>
        <v>0</v>
      </c>
      <c r="LF39" s="148">
        <f t="shared" si="79"/>
        <v>0</v>
      </c>
      <c r="LG39" s="148">
        <f t="shared" si="79"/>
        <v>1240000</v>
      </c>
      <c r="LJ39" s="201"/>
    </row>
    <row r="40" spans="2:322">
      <c r="B40" s="93" t="s">
        <v>382</v>
      </c>
      <c r="C40" s="167">
        <v>92570.058000000005</v>
      </c>
      <c r="D40" s="181">
        <f>SUM(C40:C40)</f>
        <v>92570.058000000005</v>
      </c>
      <c r="E40" s="167">
        <v>160574.622</v>
      </c>
      <c r="F40" s="177">
        <v>2118.8000000000002</v>
      </c>
      <c r="G40" s="177">
        <v>2493.6750000000002</v>
      </c>
      <c r="H40" s="177">
        <v>7709.4390000000003</v>
      </c>
      <c r="I40" s="178">
        <v>7975.8850000000002</v>
      </c>
      <c r="J40" s="181">
        <f>SUM(E40:I40)</f>
        <v>180872.421</v>
      </c>
      <c r="K40" s="167">
        <v>69080.837</v>
      </c>
      <c r="L40" s="177"/>
      <c r="M40" s="177">
        <v>43650.652999999998</v>
      </c>
      <c r="N40" s="178"/>
      <c r="O40" s="181">
        <f>SUM(K40:N40)</f>
        <v>112731.48999999999</v>
      </c>
      <c r="P40" s="167">
        <v>9096.0229999999992</v>
      </c>
      <c r="Q40" s="177">
        <v>81956.573999999993</v>
      </c>
      <c r="R40" s="177">
        <v>23477.03</v>
      </c>
      <c r="S40" s="177">
        <v>55376.207999999999</v>
      </c>
      <c r="T40" s="178">
        <v>2069.7860000000001</v>
      </c>
      <c r="U40" s="168">
        <f>SUM(P40:T40)</f>
        <v>171975.62099999998</v>
      </c>
      <c r="V40" s="167">
        <v>10600</v>
      </c>
      <c r="W40" s="177">
        <v>2500</v>
      </c>
      <c r="X40" s="177">
        <v>45373.819000000003</v>
      </c>
      <c r="Y40" s="177"/>
      <c r="Z40" s="205">
        <v>1721.452</v>
      </c>
      <c r="AA40" s="168">
        <f t="shared" ref="AA40:AA46" si="80">SUM(V40:Z40)</f>
        <v>60195.271000000001</v>
      </c>
      <c r="AB40" s="168">
        <f>AA40+U40+O40+J40+D40</f>
        <v>618344.86099999992</v>
      </c>
      <c r="AC40" s="242">
        <v>36705.644</v>
      </c>
      <c r="AD40" s="224">
        <v>94691.290999999997</v>
      </c>
      <c r="AE40" s="224">
        <v>160971.55600000001</v>
      </c>
      <c r="AF40" s="224"/>
      <c r="AG40" s="243">
        <v>1500</v>
      </c>
      <c r="AH40" s="168">
        <f>SUM(AC40:AG40)</f>
        <v>293868.49100000004</v>
      </c>
      <c r="AI40" s="242">
        <v>53690.696000000004</v>
      </c>
      <c r="AJ40" s="224">
        <v>4040.424</v>
      </c>
      <c r="AK40" s="224">
        <v>20678.743999999999</v>
      </c>
      <c r="AL40" s="224">
        <v>54610.51</v>
      </c>
      <c r="AM40" s="243">
        <v>6977.5259999999998</v>
      </c>
      <c r="AN40" s="168">
        <f>SUM(AI40:AM40)</f>
        <v>139997.90000000002</v>
      </c>
      <c r="AO40" s="242"/>
      <c r="AP40" s="224">
        <v>3798.6289999999999</v>
      </c>
      <c r="AQ40" s="224">
        <v>82863.884000000005</v>
      </c>
      <c r="AR40" s="224"/>
      <c r="AS40" s="243"/>
      <c r="AT40" s="168">
        <f>SUM(AO40:AS40)</f>
        <v>86662.513000000006</v>
      </c>
      <c r="AU40" s="242"/>
      <c r="AV40" s="224">
        <v>7649.3</v>
      </c>
      <c r="AW40" s="224">
        <v>60211.192999999999</v>
      </c>
      <c r="AX40" s="224"/>
      <c r="AY40" s="243">
        <v>47763.682999999997</v>
      </c>
      <c r="AZ40" s="168">
        <f>SUM(AU40:AY40)</f>
        <v>115624.17600000001</v>
      </c>
      <c r="BA40" s="168">
        <f t="shared" ref="BA40:BA46" si="81">AZ40+AT40+AN40+AH40</f>
        <v>636153.08000000007</v>
      </c>
      <c r="BB40" s="242"/>
      <c r="BC40" s="224">
        <v>25010.34</v>
      </c>
      <c r="BD40" s="224">
        <v>199254.50200000001</v>
      </c>
      <c r="BE40" s="224">
        <v>24763.728999999999</v>
      </c>
      <c r="BF40" s="243"/>
      <c r="BG40" s="168">
        <f>SUM(BB40:BF40)</f>
        <v>249028.571</v>
      </c>
      <c r="BH40" s="242">
        <v>25836.936000000002</v>
      </c>
      <c r="BI40" s="224">
        <v>16600.042000000001</v>
      </c>
      <c r="BJ40" s="224">
        <v>32745.067999999999</v>
      </c>
      <c r="BK40" s="224">
        <v>38052.785000000003</v>
      </c>
      <c r="BL40" s="243">
        <v>5387.3209999999999</v>
      </c>
      <c r="BM40" s="168">
        <f t="shared" ref="BM40:BM46" si="82">SUM(BH40:BL40)</f>
        <v>118622.152</v>
      </c>
      <c r="BN40" s="242"/>
      <c r="BO40" s="224">
        <v>17813.187000000002</v>
      </c>
      <c r="BP40" s="224">
        <v>90773.19</v>
      </c>
      <c r="BQ40" s="243">
        <v>457.80399999999997</v>
      </c>
      <c r="BR40" s="168">
        <f t="shared" ref="BR40:BR46" si="83">SUM(BN40:BQ40)</f>
        <v>109044.18100000001</v>
      </c>
      <c r="BS40" s="242">
        <v>985.10400000000004</v>
      </c>
      <c r="BT40" s="224">
        <v>6263.9840000000004</v>
      </c>
      <c r="BU40" s="224">
        <v>86704.804000000004</v>
      </c>
      <c r="BV40" s="224">
        <v>5600</v>
      </c>
      <c r="BW40" s="243">
        <v>30086.5</v>
      </c>
      <c r="BX40" s="239">
        <f>SUM(BS40:BW40)</f>
        <v>129640.39200000001</v>
      </c>
      <c r="BY40" s="242"/>
      <c r="BZ40" s="224">
        <v>11152.63</v>
      </c>
      <c r="CA40" s="168">
        <f t="shared" ref="CA40:CA45" si="84">SUM(BY40:BZ40)</f>
        <v>11152.63</v>
      </c>
      <c r="CB40" s="168">
        <f t="shared" ref="CB40:CB46" si="85">CA40+BX40+BR40+BM40+BG40</f>
        <v>617487.92599999998</v>
      </c>
      <c r="CC40" s="242">
        <v>118640.65</v>
      </c>
      <c r="CD40" s="224">
        <v>155932.27499999999</v>
      </c>
      <c r="CE40" s="224">
        <v>1500</v>
      </c>
      <c r="CF40" s="168">
        <f t="shared" ref="CF40:CF46" si="86">SUM(CC40:CE40)</f>
        <v>276072.92499999999</v>
      </c>
      <c r="CG40" s="242"/>
      <c r="CH40" s="224">
        <v>14959.088</v>
      </c>
      <c r="CI40" s="177">
        <v>53102.436000000002</v>
      </c>
      <c r="CJ40" s="243">
        <v>9860.0130000000008</v>
      </c>
      <c r="CK40" s="168">
        <f t="shared" ref="CK40:CK46" si="87">SUM(CG40:CJ40)</f>
        <v>77921.537000000011</v>
      </c>
      <c r="CL40" s="242"/>
      <c r="CM40" s="224">
        <v>48247.993000000002</v>
      </c>
      <c r="CN40" s="224">
        <v>4578.7049999999999</v>
      </c>
      <c r="CO40" s="224">
        <v>28333.312999999998</v>
      </c>
      <c r="CP40" s="243">
        <v>69875.917000000001</v>
      </c>
      <c r="CQ40" s="168">
        <f t="shared" ref="CQ40:CQ46" si="88">SUM(CL40:CP40)</f>
        <v>151035.92800000001</v>
      </c>
      <c r="CR40" s="242">
        <v>3558.3270000000002</v>
      </c>
      <c r="CS40" s="224"/>
      <c r="CT40" s="224">
        <v>75389.63</v>
      </c>
      <c r="CU40" s="224">
        <v>9703.2579999999998</v>
      </c>
      <c r="CV40" s="243">
        <v>1560</v>
      </c>
      <c r="CW40" s="168">
        <f t="shared" ref="CW40:CW46" si="89">SUM(CR40:CV40)</f>
        <v>90211.215000000011</v>
      </c>
      <c r="CX40" s="242"/>
      <c r="CY40" s="224">
        <v>78844.649000000005</v>
      </c>
      <c r="CZ40" s="224"/>
      <c r="DA40" s="243">
        <v>1122.9280000000001</v>
      </c>
      <c r="DB40" s="168">
        <f t="shared" ref="DB40:DB46" si="90">SUM(CX40:DA40)</f>
        <v>79967.577000000005</v>
      </c>
      <c r="DC40" s="168">
        <f t="shared" ref="DC40:DC46" si="91">DB40+CW40+CQ40+CK40+CF40</f>
        <v>675209.18200000003</v>
      </c>
      <c r="DD40" s="242">
        <v>26979.302</v>
      </c>
      <c r="DE40" s="224">
        <v>209629.83300000001</v>
      </c>
      <c r="DF40" s="224">
        <v>19450.531999999999</v>
      </c>
      <c r="DG40" s="224"/>
      <c r="DH40" s="224">
        <v>32597.322</v>
      </c>
      <c r="DI40" s="168">
        <f>SUM(DD40:DH40)</f>
        <v>288656.989</v>
      </c>
      <c r="DJ40" s="242">
        <v>20406.593000000001</v>
      </c>
      <c r="DK40" s="177">
        <v>1500</v>
      </c>
      <c r="DL40" s="224">
        <v>52163.296999999999</v>
      </c>
      <c r="DM40" s="224">
        <v>2825.2469999999998</v>
      </c>
      <c r="DN40" s="243"/>
      <c r="DO40" s="168">
        <f>SUM(DJ40:DN40)</f>
        <v>76895.137000000002</v>
      </c>
      <c r="DP40" s="242"/>
      <c r="DQ40" s="224">
        <v>75169.073999999993</v>
      </c>
      <c r="DR40" s="224"/>
      <c r="DS40" s="224">
        <v>15527.178</v>
      </c>
      <c r="DT40" s="243">
        <v>30872.462</v>
      </c>
      <c r="DU40" s="168">
        <f t="shared" ref="DU40:DU46" si="92">SUM(DP40:DT40)</f>
        <v>121568.71399999999</v>
      </c>
      <c r="DV40" s="242">
        <v>12415.998</v>
      </c>
      <c r="DW40" s="224">
        <v>23537.16</v>
      </c>
      <c r="DX40" s="224">
        <v>7972.5959999999995</v>
      </c>
      <c r="DY40" s="224">
        <v>7725.9390000000003</v>
      </c>
      <c r="DZ40" s="243">
        <v>5991.6220000000003</v>
      </c>
      <c r="EA40" s="168">
        <f t="shared" ref="EA40:EA46" si="93">SUM(DV40:DZ40)</f>
        <v>57643.314999999995</v>
      </c>
      <c r="EB40" s="168">
        <f t="shared" ref="EB40:EB46" si="94">DI40+DO40+DU40+EA40</f>
        <v>544764.15499999991</v>
      </c>
      <c r="EC40" s="242">
        <v>8189.39</v>
      </c>
      <c r="ED40" s="224">
        <v>187680.43700000001</v>
      </c>
      <c r="EE40" s="224">
        <v>2500</v>
      </c>
      <c r="EF40" s="224"/>
      <c r="EG40" s="243">
        <v>265.04500000000002</v>
      </c>
      <c r="EH40" s="168">
        <f>SUM(EC40:EG40)</f>
        <v>198634.87200000003</v>
      </c>
      <c r="EI40" s="242">
        <v>18707.989000000001</v>
      </c>
      <c r="EJ40" s="224">
        <v>33625.654000000002</v>
      </c>
      <c r="EK40" s="224"/>
      <c r="EL40" s="224">
        <v>60189.548999999999</v>
      </c>
      <c r="EM40" s="243"/>
      <c r="EN40" s="168">
        <f>SUM(EI40:EM40)</f>
        <v>112523.19200000001</v>
      </c>
      <c r="EO40" s="242">
        <v>19037.996999999999</v>
      </c>
      <c r="EP40" s="224"/>
      <c r="EQ40" s="224">
        <v>59987.572999999997</v>
      </c>
      <c r="ER40" s="224"/>
      <c r="ES40" s="243"/>
      <c r="ET40" s="168">
        <f>SUM(EO40:ES40)</f>
        <v>79025.569999999992</v>
      </c>
      <c r="EU40" s="242"/>
      <c r="EV40" s="224">
        <v>5500</v>
      </c>
      <c r="EW40" s="224">
        <v>41305.447999999997</v>
      </c>
      <c r="EX40" s="224"/>
      <c r="EY40" s="224"/>
      <c r="EZ40" s="224"/>
      <c r="FA40" s="243">
        <v>25774.936000000002</v>
      </c>
      <c r="FB40" s="168">
        <f>SUM(EU40:FA40)</f>
        <v>72580.383999999991</v>
      </c>
      <c r="FC40" s="168">
        <f t="shared" ref="FC40:FC46" si="95">EH40+EN40+ET40+FB40</f>
        <v>462764.01800000004</v>
      </c>
      <c r="FD40" s="242">
        <v>15650.834000000001</v>
      </c>
      <c r="FE40" s="224"/>
      <c r="FF40" s="243">
        <v>170228.05100000001</v>
      </c>
      <c r="FG40" s="168">
        <f>SUM(FD40:FF40)</f>
        <v>185878.88500000001</v>
      </c>
      <c r="FH40" s="242">
        <v>3800</v>
      </c>
      <c r="FI40" s="224">
        <v>1944.3209999999999</v>
      </c>
      <c r="FJ40" s="224">
        <v>25004.504000000001</v>
      </c>
      <c r="FK40" s="224">
        <v>7624.71</v>
      </c>
      <c r="FL40" s="243">
        <v>4023.5120000000002</v>
      </c>
      <c r="FM40" s="168">
        <f>SUM(FH40:FL40)</f>
        <v>42397.047000000006</v>
      </c>
      <c r="FN40" s="242">
        <v>17439.342000000001</v>
      </c>
      <c r="FO40" s="224">
        <v>28535.306</v>
      </c>
      <c r="FP40" s="224"/>
      <c r="FQ40" s="224"/>
      <c r="FR40" s="168">
        <f t="shared" ref="FR40:FR45" si="96">SUM(FN40:FQ40)</f>
        <v>45974.648000000001</v>
      </c>
      <c r="FS40" s="242">
        <v>48922.463000000003</v>
      </c>
      <c r="FT40" s="224">
        <v>7759.1239999999998</v>
      </c>
      <c r="FU40" s="224"/>
      <c r="FV40" s="224">
        <v>34796.163999999997</v>
      </c>
      <c r="FW40" s="243">
        <v>3620</v>
      </c>
      <c r="FX40" s="168">
        <f>SUM(FS40:FW40)</f>
        <v>95097.750999999989</v>
      </c>
      <c r="FY40" s="242">
        <v>21195.998</v>
      </c>
      <c r="FZ40" s="224"/>
      <c r="GA40" s="224">
        <v>47054.095999999998</v>
      </c>
      <c r="GB40" s="224"/>
      <c r="GC40" s="243">
        <v>620</v>
      </c>
      <c r="GD40" s="168">
        <f t="shared" ref="GD40:GD46" si="97">SUM(FY40:GC40)</f>
        <v>68870.093999999997</v>
      </c>
      <c r="GE40" s="168">
        <f t="shared" ref="GE40:GE46" si="98">FG40+FM40+FR40+FX40+GD40</f>
        <v>438218.42499999999</v>
      </c>
      <c r="GF40" s="242">
        <v>76660.716</v>
      </c>
      <c r="GG40" s="224">
        <v>72505.467000000004</v>
      </c>
      <c r="GH40" s="224"/>
      <c r="GI40" s="224"/>
      <c r="GJ40" s="224">
        <v>51173.296000000002</v>
      </c>
      <c r="GK40" s="168">
        <f>SUM(GF40:GJ40)</f>
        <v>200339.47900000002</v>
      </c>
      <c r="GL40" s="242">
        <v>3612.19</v>
      </c>
      <c r="GM40" s="224"/>
      <c r="GN40" s="224">
        <v>60016.877999999997</v>
      </c>
      <c r="GO40" s="243">
        <v>5075.8770000000004</v>
      </c>
      <c r="GP40" s="168">
        <f t="shared" ref="GP40:GP46" si="99">SUM(GL40:GO40)</f>
        <v>68704.945000000007</v>
      </c>
      <c r="GQ40" s="242"/>
      <c r="GR40" s="224"/>
      <c r="GS40" s="224">
        <v>50469.544000000002</v>
      </c>
      <c r="GT40" s="224">
        <v>5735.7879999999996</v>
      </c>
      <c r="GU40" s="243"/>
      <c r="GV40" s="168">
        <f t="shared" ref="GV40:GV46" si="100">SUM(GQ40:GU40)</f>
        <v>56205.332000000002</v>
      </c>
      <c r="GW40" s="242">
        <v>36114.866000000002</v>
      </c>
      <c r="GX40" s="224">
        <v>3225.6190000000001</v>
      </c>
      <c r="GY40" s="224"/>
      <c r="GZ40" s="224">
        <v>57965.175000000003</v>
      </c>
      <c r="HA40" s="224">
        <v>8341.2070000000003</v>
      </c>
      <c r="HB40" s="243">
        <v>2000</v>
      </c>
      <c r="HC40" s="168">
        <f t="shared" ref="HC40:HC46" si="101">SUM(GW40:HB40)</f>
        <v>107646.867</v>
      </c>
      <c r="HD40" s="168">
        <f>GK40+GP40+GV40+HC40</f>
        <v>432896.62300000002</v>
      </c>
      <c r="HE40" s="242"/>
      <c r="HF40" s="224">
        <v>168170.71100000001</v>
      </c>
      <c r="HG40" s="224"/>
      <c r="HH40" s="224">
        <v>3366.0450000000001</v>
      </c>
      <c r="HI40" s="168">
        <f>SUM(HE40:HH40)</f>
        <v>171536.75600000002</v>
      </c>
      <c r="HJ40" s="242"/>
      <c r="HK40" s="224">
        <v>21370.550999999999</v>
      </c>
      <c r="HL40" s="224">
        <v>38176.913</v>
      </c>
      <c r="HM40" s="224"/>
      <c r="HN40" s="243"/>
      <c r="HO40" s="168">
        <f>SUM(HJ40:HN40)</f>
        <v>59547.464</v>
      </c>
      <c r="HP40" s="242">
        <v>32625.929</v>
      </c>
      <c r="HQ40" s="224">
        <v>1461.2149999999999</v>
      </c>
      <c r="HR40" s="224"/>
      <c r="HS40" s="224">
        <v>61756.33</v>
      </c>
      <c r="HT40" s="243"/>
      <c r="HU40" s="168">
        <f>SUM(HP40:HT40)</f>
        <v>95843.474000000002</v>
      </c>
      <c r="HV40" s="242"/>
      <c r="HW40" s="224"/>
      <c r="HX40" s="224">
        <v>36228.523000000001</v>
      </c>
      <c r="HY40" s="168">
        <f t="shared" ref="HY40:HY46" si="102">SUM(HV40:HX40)</f>
        <v>36228.523000000001</v>
      </c>
      <c r="HZ40" s="242">
        <v>3550</v>
      </c>
      <c r="IA40" s="224"/>
      <c r="IB40" s="243">
        <v>70171.372000000003</v>
      </c>
      <c r="IC40" s="168">
        <f>SUM(HZ40:IB40)</f>
        <v>73721.372000000003</v>
      </c>
      <c r="ID40" s="168">
        <f t="shared" ref="ID40:ID46" si="103">HI40+HO40+HU40+HY40+IC40</f>
        <v>436877.58900000004</v>
      </c>
      <c r="IE40" s="242">
        <v>9693.3019999999997</v>
      </c>
      <c r="IF40" s="243">
        <v>176850.568</v>
      </c>
      <c r="IG40" s="168">
        <f>SUM(IE40:IF40)</f>
        <v>186543.87</v>
      </c>
      <c r="IH40" s="242"/>
      <c r="II40" s="224">
        <v>10298.34</v>
      </c>
      <c r="IJ40" s="224">
        <v>2674.6190000000001</v>
      </c>
      <c r="IK40" s="224">
        <v>11902.004999999999</v>
      </c>
      <c r="IL40" s="243">
        <v>82835.123999999996</v>
      </c>
      <c r="IM40" s="168">
        <f>SUM(IH40:IL40)</f>
        <v>107710.08799999999</v>
      </c>
      <c r="IN40" s="242"/>
      <c r="IO40" s="224"/>
      <c r="IP40" s="243">
        <v>50454.913</v>
      </c>
      <c r="IQ40" s="168">
        <f>SUM(IN40:IP40)</f>
        <v>50454.913</v>
      </c>
      <c r="IR40" s="242">
        <v>1117.9639999999999</v>
      </c>
      <c r="IS40" s="224">
        <v>45038.607000000004</v>
      </c>
      <c r="IT40" s="224"/>
      <c r="IU40" s="224">
        <v>36348.269999999997</v>
      </c>
      <c r="IV40" s="243"/>
      <c r="IW40" s="168">
        <f>SUM(IR40:IV40)</f>
        <v>82504.841</v>
      </c>
      <c r="IX40" s="242">
        <v>4143.2030000000004</v>
      </c>
      <c r="IY40" s="224"/>
      <c r="IZ40" s="224">
        <v>63640.569000000003</v>
      </c>
      <c r="JA40" s="224">
        <v>4975.067</v>
      </c>
      <c r="JB40" s="243"/>
      <c r="JC40" s="168">
        <f>SUM(IX40:JB40)</f>
        <v>72758.838999999993</v>
      </c>
      <c r="JD40" s="168">
        <f t="shared" ref="JD40:JD45" si="104">IG40+IM40+IQ40+IW40+JC40</f>
        <v>499972.55099999998</v>
      </c>
      <c r="JE40" s="242"/>
      <c r="JF40" s="224">
        <v>196595.864</v>
      </c>
      <c r="JG40" s="224"/>
      <c r="JH40" s="224">
        <v>7530.3519999999999</v>
      </c>
      <c r="JI40" s="243"/>
      <c r="JJ40" s="168">
        <f>SUM(JE40:JI40)</f>
        <v>204126.21600000001</v>
      </c>
      <c r="JK40" s="242"/>
      <c r="JL40" s="224"/>
      <c r="JM40" s="224"/>
      <c r="JN40" s="224"/>
      <c r="JO40" s="243"/>
      <c r="JP40" s="168">
        <f>SUM(JK40:JO40)</f>
        <v>0</v>
      </c>
      <c r="JQ40" s="242"/>
      <c r="JR40" s="224"/>
      <c r="JS40" s="224"/>
      <c r="JT40" s="224"/>
      <c r="JU40" s="243"/>
      <c r="JV40" s="168">
        <f>SUM(JQ40:JU40)</f>
        <v>0</v>
      </c>
      <c r="JW40" s="242"/>
      <c r="JX40" s="224"/>
      <c r="JY40" s="224"/>
      <c r="JZ40" s="224"/>
      <c r="KA40" s="224"/>
      <c r="KB40" s="243"/>
      <c r="KC40" s="168">
        <f>SUM(JW40:KB40)</f>
        <v>0</v>
      </c>
      <c r="KD40" s="168">
        <f t="shared" ref="KD40:KD46" si="105">JJ40+JP40+JV40+KC40</f>
        <v>204126.21600000001</v>
      </c>
      <c r="KE40" s="242"/>
      <c r="KF40" s="224"/>
      <c r="KG40" s="224"/>
      <c r="KH40" s="224"/>
      <c r="KI40" s="243"/>
      <c r="KJ40" s="168">
        <f>SUM(KE40:KI40)</f>
        <v>0</v>
      </c>
      <c r="KK40" s="242"/>
      <c r="KL40" s="224"/>
      <c r="KM40" s="224"/>
      <c r="KN40" s="224"/>
      <c r="KO40" s="243"/>
      <c r="KP40" s="168">
        <f>SUM(KK40:KO40)</f>
        <v>0</v>
      </c>
      <c r="KQ40" s="242"/>
      <c r="KR40" s="224"/>
      <c r="KS40" s="224"/>
      <c r="KT40" s="224"/>
      <c r="KU40" s="243"/>
      <c r="KV40" s="168">
        <f>SUM(KQ40:KU40)</f>
        <v>0</v>
      </c>
      <c r="KW40" s="242"/>
      <c r="KX40" s="224"/>
      <c r="KY40" s="224"/>
      <c r="KZ40" s="224"/>
      <c r="LA40" s="243"/>
      <c r="LB40" s="168">
        <f>SUM(KW40:LA40)</f>
        <v>0</v>
      </c>
      <c r="LC40" s="242"/>
      <c r="LD40" s="224"/>
      <c r="LE40" s="243"/>
      <c r="LF40" s="168">
        <f>SUM(LC40:LE40)</f>
        <v>0</v>
      </c>
      <c r="LG40" s="168">
        <v>440000</v>
      </c>
    </row>
    <row r="41" spans="2:322">
      <c r="B41" s="93" t="s">
        <v>383</v>
      </c>
      <c r="C41" s="167"/>
      <c r="D41" s="181">
        <f t="shared" ref="D41:D46" si="106">SUM(C41:C41)</f>
        <v>0</v>
      </c>
      <c r="E41" s="167"/>
      <c r="F41" s="177"/>
      <c r="G41" s="177"/>
      <c r="H41" s="177"/>
      <c r="I41" s="178"/>
      <c r="J41" s="181">
        <f t="shared" ref="J41:J46" si="107">SUM(E41:I41)</f>
        <v>0</v>
      </c>
      <c r="K41" s="167"/>
      <c r="L41" s="177"/>
      <c r="M41" s="177"/>
      <c r="N41" s="178"/>
      <c r="O41" s="181">
        <f t="shared" ref="O41:O46" si="108">SUM(K41:N41)</f>
        <v>0</v>
      </c>
      <c r="P41" s="167"/>
      <c r="Q41" s="177"/>
      <c r="R41" s="177"/>
      <c r="S41" s="177"/>
      <c r="T41" s="178">
        <v>285993.78499999997</v>
      </c>
      <c r="U41" s="168">
        <f t="shared" ref="U41:U46" si="109">SUM(P41:T41)</f>
        <v>285993.78499999997</v>
      </c>
      <c r="V41" s="167"/>
      <c r="W41" s="177"/>
      <c r="X41" s="177"/>
      <c r="Y41" s="177"/>
      <c r="Z41" s="205"/>
      <c r="AA41" s="168">
        <f t="shared" si="80"/>
        <v>0</v>
      </c>
      <c r="AB41" s="168">
        <f t="shared" ref="AB41:AB46" si="110">AA41+U41+O41+J41+D41</f>
        <v>285993.78499999997</v>
      </c>
      <c r="AC41" s="242"/>
      <c r="AD41" s="224"/>
      <c r="AE41" s="224"/>
      <c r="AF41" s="224"/>
      <c r="AG41" s="243"/>
      <c r="AH41" s="168">
        <f t="shared" ref="AH41:AH46" si="111">SUM(AC41:AG41)</f>
        <v>0</v>
      </c>
      <c r="AI41" s="242"/>
      <c r="AJ41" s="224">
        <v>210619.459</v>
      </c>
      <c r="AK41" s="224"/>
      <c r="AL41" s="224"/>
      <c r="AM41" s="243"/>
      <c r="AN41" s="168">
        <f t="shared" ref="AN41:AN46" si="112">SUM(AI41:AM41)</f>
        <v>210619.459</v>
      </c>
      <c r="AO41" s="242"/>
      <c r="AP41" s="224"/>
      <c r="AQ41" s="224"/>
      <c r="AR41" s="224"/>
      <c r="AS41" s="243">
        <v>209675.8</v>
      </c>
      <c r="AT41" s="168">
        <f t="shared" ref="AT41:AT46" si="113">SUM(AO41:AS41)</f>
        <v>209675.8</v>
      </c>
      <c r="AU41" s="242"/>
      <c r="AV41" s="224"/>
      <c r="AW41" s="224"/>
      <c r="AX41" s="224"/>
      <c r="AY41" s="243"/>
      <c r="AZ41" s="168">
        <f t="shared" ref="AZ41:AZ46" si="114">SUM(AU41:AY41)</f>
        <v>0</v>
      </c>
      <c r="BA41" s="168">
        <f t="shared" si="81"/>
        <v>420295.25899999996</v>
      </c>
      <c r="BB41" s="242"/>
      <c r="BC41" s="224"/>
      <c r="BD41" s="224"/>
      <c r="BE41" s="224"/>
      <c r="BF41" s="243"/>
      <c r="BG41" s="168"/>
      <c r="BH41" s="242">
        <v>5685.8370000000004</v>
      </c>
      <c r="BI41" s="224">
        <v>113741.086</v>
      </c>
      <c r="BJ41" s="224">
        <v>154593.935</v>
      </c>
      <c r="BK41" s="224"/>
      <c r="BL41" s="243"/>
      <c r="BM41" s="168">
        <f t="shared" si="82"/>
        <v>274020.85800000001</v>
      </c>
      <c r="BN41" s="242"/>
      <c r="BO41" s="224"/>
      <c r="BP41" s="224">
        <v>41312.654999999999</v>
      </c>
      <c r="BQ41" s="243"/>
      <c r="BR41" s="168">
        <f t="shared" si="83"/>
        <v>41312.654999999999</v>
      </c>
      <c r="BS41" s="242"/>
      <c r="BT41" s="224"/>
      <c r="BU41" s="224">
        <v>81782.129000000001</v>
      </c>
      <c r="BV41" s="224"/>
      <c r="BW41" s="243"/>
      <c r="BX41" s="239">
        <f t="shared" ref="BX41:BX46" si="115">SUM(BS41:BW41)</f>
        <v>81782.129000000001</v>
      </c>
      <c r="BY41" s="242"/>
      <c r="BZ41" s="224"/>
      <c r="CA41" s="168">
        <f t="shared" si="84"/>
        <v>0</v>
      </c>
      <c r="CB41" s="168">
        <f t="shared" si="85"/>
        <v>397115.64199999999</v>
      </c>
      <c r="CC41" s="242"/>
      <c r="CD41" s="224"/>
      <c r="CE41" s="224"/>
      <c r="CF41" s="168">
        <f t="shared" si="86"/>
        <v>0</v>
      </c>
      <c r="CG41" s="242">
        <v>181524.71100000001</v>
      </c>
      <c r="CH41" s="224"/>
      <c r="CI41" s="224"/>
      <c r="CJ41" s="243">
        <v>74514.146999999997</v>
      </c>
      <c r="CK41" s="168">
        <f t="shared" si="87"/>
        <v>256038.85800000001</v>
      </c>
      <c r="CL41" s="242"/>
      <c r="CM41" s="224"/>
      <c r="CN41" s="224"/>
      <c r="CO41" s="224"/>
      <c r="CP41" s="243"/>
      <c r="CQ41" s="168">
        <f t="shared" si="88"/>
        <v>0</v>
      </c>
      <c r="CR41" s="242"/>
      <c r="CS41" s="224">
        <v>45188.048999999999</v>
      </c>
      <c r="CT41" s="224"/>
      <c r="CU41" s="224"/>
      <c r="CV41" s="243"/>
      <c r="CW41" s="168">
        <f t="shared" si="89"/>
        <v>45188.048999999999</v>
      </c>
      <c r="CX41" s="242"/>
      <c r="CY41" s="224"/>
      <c r="CZ41" s="224"/>
      <c r="DA41" s="243"/>
      <c r="DB41" s="168">
        <f t="shared" si="90"/>
        <v>0</v>
      </c>
      <c r="DC41" s="168">
        <f t="shared" si="91"/>
        <v>301226.90700000001</v>
      </c>
      <c r="DD41" s="242">
        <v>167432.008</v>
      </c>
      <c r="DE41" s="224"/>
      <c r="DF41" s="224"/>
      <c r="DG41" s="224"/>
      <c r="DH41" s="224"/>
      <c r="DI41" s="168">
        <f t="shared" ref="DI41:DI46" si="116">SUM(DD41:DH41)</f>
        <v>167432.008</v>
      </c>
      <c r="DJ41" s="242">
        <v>65026.563000000002</v>
      </c>
      <c r="DK41" s="224"/>
      <c r="DL41" s="224"/>
      <c r="DM41" s="224"/>
      <c r="DN41" s="243"/>
      <c r="DO41" s="168">
        <f t="shared" ref="DO41:DO46" si="117">SUM(DJ41:DN41)</f>
        <v>65026.563000000002</v>
      </c>
      <c r="DP41" s="242"/>
      <c r="DQ41" s="224">
        <v>93484.955000000002</v>
      </c>
      <c r="DR41" s="224"/>
      <c r="DS41" s="224"/>
      <c r="DT41" s="243"/>
      <c r="DU41" s="168">
        <f t="shared" si="92"/>
        <v>93484.955000000002</v>
      </c>
      <c r="DV41" s="242">
        <v>35552.317000000003</v>
      </c>
      <c r="DW41" s="224"/>
      <c r="DX41" s="224"/>
      <c r="DY41" s="224"/>
      <c r="DZ41" s="243"/>
      <c r="EA41" s="168">
        <f t="shared" si="93"/>
        <v>35552.317000000003</v>
      </c>
      <c r="EB41" s="168">
        <f t="shared" si="94"/>
        <v>361495.84299999999</v>
      </c>
      <c r="EC41" s="242">
        <v>39581.775999999998</v>
      </c>
      <c r="ED41" s="224"/>
      <c r="EE41" s="224"/>
      <c r="EF41" s="224"/>
      <c r="EG41" s="243"/>
      <c r="EH41" s="168">
        <f t="shared" ref="EH41:EH46" si="118">SUM(EC41:EG41)</f>
        <v>39581.775999999998</v>
      </c>
      <c r="EI41" s="242">
        <v>85989.368000000002</v>
      </c>
      <c r="EJ41" s="224"/>
      <c r="EK41" s="224"/>
      <c r="EL41" s="224"/>
      <c r="EM41" s="243"/>
      <c r="EN41" s="168">
        <f t="shared" ref="EN41:EN46" si="119">SUM(EI41:EM41)</f>
        <v>85989.368000000002</v>
      </c>
      <c r="EO41" s="242"/>
      <c r="EP41" s="224"/>
      <c r="EQ41" s="224">
        <v>50803.77</v>
      </c>
      <c r="ER41" s="224"/>
      <c r="ES41" s="243"/>
      <c r="ET41" s="168">
        <f t="shared" ref="ET41:ET46" si="120">SUM(EO41:ES41)</f>
        <v>50803.77</v>
      </c>
      <c r="EU41" s="242">
        <v>17876.203000000001</v>
      </c>
      <c r="EV41" s="224">
        <v>23597.149000000001</v>
      </c>
      <c r="EW41" s="224"/>
      <c r="EX41" s="224"/>
      <c r="EY41" s="224"/>
      <c r="EZ41" s="224"/>
      <c r="FA41" s="243">
        <f>20942.908+784.743+9195.21</f>
        <v>30922.860999999997</v>
      </c>
      <c r="FB41" s="168">
        <f t="shared" ref="FB41:FB46" si="121">SUM(EU41:FA41)</f>
        <v>72396.212999999989</v>
      </c>
      <c r="FC41" s="168">
        <f t="shared" si="95"/>
        <v>248771.12699999998</v>
      </c>
      <c r="FD41" s="242"/>
      <c r="FE41" s="224"/>
      <c r="FF41" s="243"/>
      <c r="FG41" s="168">
        <f t="shared" ref="FG41:FG46" si="122">SUM(FD41:FF41)</f>
        <v>0</v>
      </c>
      <c r="FH41" s="242"/>
      <c r="FI41" s="224">
        <v>94754.873999999996</v>
      </c>
      <c r="FJ41" s="224"/>
      <c r="FK41" s="224">
        <v>101562.451</v>
      </c>
      <c r="FL41" s="243"/>
      <c r="FM41" s="168">
        <f t="shared" ref="FM41:FM46" si="123">SUM(FH41:FL41)</f>
        <v>196317.32500000001</v>
      </c>
      <c r="FN41" s="242"/>
      <c r="FO41" s="224"/>
      <c r="FP41" s="224"/>
      <c r="FQ41" s="224"/>
      <c r="FR41" s="168">
        <f t="shared" si="96"/>
        <v>0</v>
      </c>
      <c r="FS41" s="242">
        <v>40092.292999999998</v>
      </c>
      <c r="FT41" s="224"/>
      <c r="FU41" s="224"/>
      <c r="FV41" s="224"/>
      <c r="FW41" s="243"/>
      <c r="FX41" s="168">
        <f t="shared" ref="FX41:FX46" si="124">SUM(FS41:FW41)</f>
        <v>40092.292999999998</v>
      </c>
      <c r="FY41" s="242"/>
      <c r="FZ41" s="224"/>
      <c r="GA41" s="224"/>
      <c r="GB41" s="224"/>
      <c r="GC41" s="243"/>
      <c r="GD41" s="168">
        <f t="shared" si="97"/>
        <v>0</v>
      </c>
      <c r="GE41" s="168">
        <f t="shared" si="98"/>
        <v>236409.61800000002</v>
      </c>
      <c r="GF41" s="242"/>
      <c r="GG41" s="224"/>
      <c r="GH41" s="224">
        <v>150617.49799999999</v>
      </c>
      <c r="GI41" s="224"/>
      <c r="GJ41" s="224"/>
      <c r="GK41" s="168">
        <f t="shared" ref="GK41:GK46" si="125">SUM(GF41:GJ41)</f>
        <v>150617.49799999999</v>
      </c>
      <c r="GL41" s="242"/>
      <c r="GM41" s="224"/>
      <c r="GN41" s="224"/>
      <c r="GO41" s="243"/>
      <c r="GP41" s="168">
        <f t="shared" si="99"/>
        <v>0</v>
      </c>
      <c r="GQ41" s="242"/>
      <c r="GR41" s="224"/>
      <c r="GS41" s="224">
        <v>82104.585999999996</v>
      </c>
      <c r="GT41" s="224"/>
      <c r="GU41" s="243">
        <v>78756.577000000005</v>
      </c>
      <c r="GV41" s="168">
        <f t="shared" si="100"/>
        <v>160861.163</v>
      </c>
      <c r="GW41" s="242"/>
      <c r="GX41" s="224"/>
      <c r="GY41" s="224"/>
      <c r="GZ41" s="224"/>
      <c r="HA41" s="224"/>
      <c r="HB41" s="243"/>
      <c r="HC41" s="168">
        <f t="shared" si="101"/>
        <v>0</v>
      </c>
      <c r="HD41" s="168">
        <f t="shared" ref="HD41:HD46" si="126">GK41+GP41+GV41+HC41</f>
        <v>311478.66099999996</v>
      </c>
      <c r="HE41" s="242"/>
      <c r="HF41" s="224"/>
      <c r="HG41" s="224"/>
      <c r="HH41" s="224"/>
      <c r="HI41" s="168">
        <f t="shared" ref="HI41:HI46" si="127">SUM(HE41:HH41)</f>
        <v>0</v>
      </c>
      <c r="HJ41" s="242">
        <v>91398.516000000003</v>
      </c>
      <c r="HK41" s="224"/>
      <c r="HL41" s="224"/>
      <c r="HM41" s="224">
        <v>118411.42200000001</v>
      </c>
      <c r="HN41" s="243"/>
      <c r="HO41" s="168">
        <f t="shared" ref="HO41:HO46" si="128">SUM(HJ41:HN41)</f>
        <v>209809.93800000002</v>
      </c>
      <c r="HP41" s="242"/>
      <c r="HQ41" s="224"/>
      <c r="HR41" s="224"/>
      <c r="HS41" s="224"/>
      <c r="HT41" s="243"/>
      <c r="HU41" s="168">
        <f t="shared" ref="HU41:HU46" si="129">SUM(HP41:HT41)</f>
        <v>0</v>
      </c>
      <c r="HV41" s="242">
        <v>73500.539999999994</v>
      </c>
      <c r="HW41" s="224"/>
      <c r="HX41" s="224"/>
      <c r="HY41" s="168">
        <f t="shared" si="102"/>
        <v>73500.539999999994</v>
      </c>
      <c r="HZ41" s="242"/>
      <c r="IA41" s="224"/>
      <c r="IB41" s="243"/>
      <c r="IC41" s="168">
        <f t="shared" ref="IC41:IC46" si="130">SUM(HZ41:IB41)</f>
        <v>0</v>
      </c>
      <c r="ID41" s="168">
        <f t="shared" si="103"/>
        <v>283310.478</v>
      </c>
      <c r="IE41" s="242"/>
      <c r="IF41" s="243"/>
      <c r="IG41" s="168">
        <f t="shared" ref="IG41:IG46" si="131">SUM(IE41:IF41)</f>
        <v>0</v>
      </c>
      <c r="IH41" s="242"/>
      <c r="II41" s="224"/>
      <c r="IJ41" s="224"/>
      <c r="IK41" s="224"/>
      <c r="IL41" s="243"/>
      <c r="IM41" s="168">
        <f t="shared" ref="IM41:IM46" si="132">SUM(IH41:IL41)</f>
        <v>0</v>
      </c>
      <c r="IN41" s="242"/>
      <c r="IO41" s="224">
        <v>96490.644</v>
      </c>
      <c r="IP41" s="243"/>
      <c r="IQ41" s="168">
        <f t="shared" ref="IQ41:IQ46" si="133">SUM(IN41:IP41)</f>
        <v>96490.644</v>
      </c>
      <c r="IR41" s="242">
        <v>105882.05100000001</v>
      </c>
      <c r="IS41" s="224"/>
      <c r="IT41" s="224"/>
      <c r="IU41" s="224"/>
      <c r="IV41" s="243"/>
      <c r="IW41" s="168">
        <f t="shared" ref="IW41:IW46" si="134">SUM(IR41:IV41)</f>
        <v>105882.05100000001</v>
      </c>
      <c r="IX41" s="242"/>
      <c r="IY41" s="224">
        <v>118419.6</v>
      </c>
      <c r="IZ41" s="224"/>
      <c r="JA41" s="224"/>
      <c r="JB41" s="243"/>
      <c r="JC41" s="168">
        <f t="shared" ref="JC41:JC46" si="135">SUM(IX41:JB41)</f>
        <v>118419.6</v>
      </c>
      <c r="JD41" s="168">
        <f t="shared" si="104"/>
        <v>320792.29500000004</v>
      </c>
      <c r="JE41" s="242"/>
      <c r="JF41" s="224"/>
      <c r="JG41" s="224"/>
      <c r="JH41" s="224"/>
      <c r="JI41" s="243"/>
      <c r="JJ41" s="168">
        <f t="shared" ref="JJ41:JJ46" si="136">SUM(JE41:JI41)</f>
        <v>0</v>
      </c>
      <c r="JK41" s="242"/>
      <c r="JL41" s="224"/>
      <c r="JM41" s="224"/>
      <c r="JN41" s="224"/>
      <c r="JO41" s="243"/>
      <c r="JP41" s="168">
        <f t="shared" ref="JP41:JP46" si="137">SUM(JK41:JO41)</f>
        <v>0</v>
      </c>
      <c r="JQ41" s="242"/>
      <c r="JR41" s="224"/>
      <c r="JS41" s="224"/>
      <c r="JT41" s="224"/>
      <c r="JU41" s="243"/>
      <c r="JV41" s="168">
        <f t="shared" ref="JV41:JV46" si="138">SUM(JQ41:JU41)</f>
        <v>0</v>
      </c>
      <c r="JW41" s="242"/>
      <c r="JX41" s="224"/>
      <c r="JY41" s="224"/>
      <c r="JZ41" s="224"/>
      <c r="KA41" s="224"/>
      <c r="KB41" s="243"/>
      <c r="KC41" s="168">
        <f t="shared" ref="KC41:KC46" si="139">SUM(JW41:KB41)</f>
        <v>0</v>
      </c>
      <c r="KD41" s="168">
        <f t="shared" si="105"/>
        <v>0</v>
      </c>
      <c r="KE41" s="242"/>
      <c r="KF41" s="224"/>
      <c r="KG41" s="224"/>
      <c r="KH41" s="224"/>
      <c r="KI41" s="243"/>
      <c r="KJ41" s="168">
        <f>SUM(KE41:KI41)</f>
        <v>0</v>
      </c>
      <c r="KK41" s="242"/>
      <c r="KL41" s="224"/>
      <c r="KM41" s="224"/>
      <c r="KN41" s="224"/>
      <c r="KO41" s="243"/>
      <c r="KP41" s="168">
        <f>SUM(KK41:KO41)</f>
        <v>0</v>
      </c>
      <c r="KQ41" s="242"/>
      <c r="KR41" s="224"/>
      <c r="KS41" s="224"/>
      <c r="KT41" s="224"/>
      <c r="KU41" s="243"/>
      <c r="KV41" s="168">
        <f>SUM(KQ41:KU41)</f>
        <v>0</v>
      </c>
      <c r="KW41" s="242"/>
      <c r="KX41" s="224"/>
      <c r="KY41" s="224"/>
      <c r="KZ41" s="224"/>
      <c r="LA41" s="243"/>
      <c r="LB41" s="168">
        <f>SUM(KW41:LA41)</f>
        <v>0</v>
      </c>
      <c r="LC41" s="242"/>
      <c r="LD41" s="224"/>
      <c r="LE41" s="243"/>
      <c r="LF41" s="168">
        <f>SUM(LC41:LE41)</f>
        <v>0</v>
      </c>
      <c r="LG41" s="168">
        <v>250000</v>
      </c>
    </row>
    <row r="42" spans="2:322">
      <c r="B42" s="93" t="s">
        <v>384</v>
      </c>
      <c r="C42" s="167">
        <v>7951.0709999999999</v>
      </c>
      <c r="D42" s="181">
        <f t="shared" si="106"/>
        <v>7951.0709999999999</v>
      </c>
      <c r="E42" s="167">
        <v>9583.3979999999992</v>
      </c>
      <c r="F42" s="177"/>
      <c r="G42" s="177">
        <v>8837.93</v>
      </c>
      <c r="H42" s="177"/>
      <c r="I42" s="178">
        <v>5217.5469999999996</v>
      </c>
      <c r="J42" s="181">
        <f t="shared" si="107"/>
        <v>23638.875</v>
      </c>
      <c r="K42" s="167">
        <v>1350.5619999999999</v>
      </c>
      <c r="L42" s="177"/>
      <c r="M42" s="177">
        <v>4294.9040000000005</v>
      </c>
      <c r="N42" s="178"/>
      <c r="O42" s="181">
        <f t="shared" si="108"/>
        <v>5645.4660000000003</v>
      </c>
      <c r="P42" s="167"/>
      <c r="Q42" s="177"/>
      <c r="R42" s="177"/>
      <c r="S42" s="177"/>
      <c r="T42" s="178"/>
      <c r="U42" s="168">
        <f t="shared" si="109"/>
        <v>0</v>
      </c>
      <c r="V42" s="167"/>
      <c r="W42" s="177"/>
      <c r="X42" s="177"/>
      <c r="Y42" s="177"/>
      <c r="Z42" s="205"/>
      <c r="AA42" s="168">
        <f t="shared" si="80"/>
        <v>0</v>
      </c>
      <c r="AB42" s="168">
        <f t="shared" si="110"/>
        <v>37235.411999999997</v>
      </c>
      <c r="AC42" s="242"/>
      <c r="AD42" s="224">
        <f>4602.637+2052.945</f>
        <v>6655.5820000000003</v>
      </c>
      <c r="AE42" s="224">
        <f>1549.775+1071.995</f>
        <v>2621.77</v>
      </c>
      <c r="AF42" s="224"/>
      <c r="AG42" s="243"/>
      <c r="AH42" s="168">
        <f t="shared" si="111"/>
        <v>9277.3520000000008</v>
      </c>
      <c r="AI42" s="242">
        <v>1940.9749999999999</v>
      </c>
      <c r="AJ42" s="224"/>
      <c r="AK42" s="224">
        <v>479.37200000000001</v>
      </c>
      <c r="AL42" s="224"/>
      <c r="AM42" s="243"/>
      <c r="AN42" s="168">
        <f t="shared" si="112"/>
        <v>2420.3469999999998</v>
      </c>
      <c r="AO42" s="242"/>
      <c r="AP42" s="224">
        <v>769.18299999999999</v>
      </c>
      <c r="AQ42" s="224"/>
      <c r="AR42" s="224"/>
      <c r="AS42" s="243"/>
      <c r="AT42" s="168">
        <f t="shared" si="113"/>
        <v>769.18299999999999</v>
      </c>
      <c r="AU42" s="242"/>
      <c r="AV42" s="224"/>
      <c r="AW42" s="224"/>
      <c r="AX42" s="224"/>
      <c r="AY42" s="243"/>
      <c r="AZ42" s="168">
        <f t="shared" si="114"/>
        <v>0</v>
      </c>
      <c r="BA42" s="168">
        <f t="shared" si="81"/>
        <v>12466.882000000001</v>
      </c>
      <c r="BB42" s="242"/>
      <c r="BC42" s="224">
        <v>23396.678</v>
      </c>
      <c r="BD42" s="224">
        <v>2000</v>
      </c>
      <c r="BE42" s="224">
        <v>1000</v>
      </c>
      <c r="BF42" s="243"/>
      <c r="BG42" s="168">
        <f>SUM(BB42:BF42)</f>
        <v>26396.678</v>
      </c>
      <c r="BH42" s="242"/>
      <c r="BI42" s="224"/>
      <c r="BJ42" s="224"/>
      <c r="BK42" s="224"/>
      <c r="BL42" s="243"/>
      <c r="BM42" s="168">
        <f t="shared" si="82"/>
        <v>0</v>
      </c>
      <c r="BN42" s="242">
        <v>1000</v>
      </c>
      <c r="BO42" s="224">
        <v>12065.165999999999</v>
      </c>
      <c r="BP42" s="224"/>
      <c r="BQ42" s="243"/>
      <c r="BR42" s="168">
        <f t="shared" si="83"/>
        <v>13065.165999999999</v>
      </c>
      <c r="BS42" s="242"/>
      <c r="BT42" s="224">
        <v>1470.6379999999999</v>
      </c>
      <c r="BU42" s="224"/>
      <c r="BV42" s="224"/>
      <c r="BW42" s="243"/>
      <c r="BX42" s="239">
        <f t="shared" si="115"/>
        <v>1470.6379999999999</v>
      </c>
      <c r="BY42" s="242"/>
      <c r="BZ42" s="224">
        <v>6637.4059999999999</v>
      </c>
      <c r="CA42" s="168">
        <f t="shared" si="84"/>
        <v>6637.4059999999999</v>
      </c>
      <c r="CB42" s="168">
        <f t="shared" si="85"/>
        <v>47569.887999999999</v>
      </c>
      <c r="CC42" s="242">
        <v>6598.8770000000004</v>
      </c>
      <c r="CD42" s="224"/>
      <c r="CE42" s="224"/>
      <c r="CF42" s="168">
        <f t="shared" si="86"/>
        <v>6598.8770000000004</v>
      </c>
      <c r="CG42" s="242"/>
      <c r="CH42" s="224">
        <v>2109.6210000000001</v>
      </c>
      <c r="CI42" s="224"/>
      <c r="CJ42" s="243">
        <v>8710.5169999999998</v>
      </c>
      <c r="CK42" s="168">
        <f t="shared" si="87"/>
        <v>10820.137999999999</v>
      </c>
      <c r="CL42" s="242">
        <v>12065.165999999999</v>
      </c>
      <c r="CM42" s="224"/>
      <c r="CN42" s="224"/>
      <c r="CO42" s="224"/>
      <c r="CP42" s="243"/>
      <c r="CQ42" s="168">
        <f t="shared" si="88"/>
        <v>12065.165999999999</v>
      </c>
      <c r="CR42" s="242"/>
      <c r="CS42" s="224">
        <v>5295.5919999999996</v>
      </c>
      <c r="CT42" s="224"/>
      <c r="CU42" s="224">
        <v>417.50299999999999</v>
      </c>
      <c r="CV42" s="243">
        <v>504.89699999999999</v>
      </c>
      <c r="CW42" s="168">
        <f t="shared" si="89"/>
        <v>6217.9919999999993</v>
      </c>
      <c r="CX42" s="242"/>
      <c r="CY42" s="224"/>
      <c r="CZ42" s="224">
        <v>12796.948</v>
      </c>
      <c r="DA42" s="243"/>
      <c r="DB42" s="168">
        <f t="shared" si="90"/>
        <v>12796.948</v>
      </c>
      <c r="DC42" s="168">
        <f t="shared" si="91"/>
        <v>48499.120999999999</v>
      </c>
      <c r="DD42" s="242">
        <v>8150.9120000000003</v>
      </c>
      <c r="DE42" s="224"/>
      <c r="DF42" s="224"/>
      <c r="DG42" s="224"/>
      <c r="DH42" s="224">
        <v>1180</v>
      </c>
      <c r="DI42" s="168">
        <f t="shared" si="116"/>
        <v>9330.9120000000003</v>
      </c>
      <c r="DJ42" s="242"/>
      <c r="DK42" s="224"/>
      <c r="DL42" s="224"/>
      <c r="DM42" s="224"/>
      <c r="DN42" s="243">
        <v>4206.5609999999997</v>
      </c>
      <c r="DO42" s="168">
        <f t="shared" si="117"/>
        <v>4206.5609999999997</v>
      </c>
      <c r="DP42" s="242">
        <v>549.25800000000004</v>
      </c>
      <c r="DQ42" s="224"/>
      <c r="DR42" s="224"/>
      <c r="DS42" s="224"/>
      <c r="DT42" s="243"/>
      <c r="DU42" s="168">
        <f t="shared" si="92"/>
        <v>549.25800000000004</v>
      </c>
      <c r="DV42" s="242"/>
      <c r="DW42" s="224"/>
      <c r="DX42" s="224">
        <v>4094.7849999999999</v>
      </c>
      <c r="DY42" s="224"/>
      <c r="DZ42" s="243"/>
      <c r="EA42" s="168">
        <f t="shared" si="93"/>
        <v>4094.7849999999999</v>
      </c>
      <c r="EB42" s="168">
        <f t="shared" si="94"/>
        <v>18181.516</v>
      </c>
      <c r="EC42" s="242"/>
      <c r="ED42" s="224">
        <v>10783.308999999999</v>
      </c>
      <c r="EE42" s="224"/>
      <c r="EF42" s="224">
        <v>1293.645</v>
      </c>
      <c r="EG42" s="243"/>
      <c r="EH42" s="168">
        <f t="shared" si="118"/>
        <v>12076.954</v>
      </c>
      <c r="EI42" s="242"/>
      <c r="EJ42" s="224"/>
      <c r="EK42" s="224"/>
      <c r="EL42" s="224"/>
      <c r="EM42" s="243"/>
      <c r="EN42" s="168">
        <f t="shared" si="119"/>
        <v>0</v>
      </c>
      <c r="EO42" s="242"/>
      <c r="EP42" s="224"/>
      <c r="EQ42" s="224"/>
      <c r="ER42" s="224"/>
      <c r="ES42" s="243"/>
      <c r="ET42" s="168">
        <f t="shared" si="120"/>
        <v>0</v>
      </c>
      <c r="EU42" s="242"/>
      <c r="EV42" s="224"/>
      <c r="EW42" s="224"/>
      <c r="EX42" s="224">
        <v>3929.194</v>
      </c>
      <c r="EY42" s="224"/>
      <c r="EZ42" s="224"/>
      <c r="FA42" s="243"/>
      <c r="FB42" s="168">
        <f t="shared" si="121"/>
        <v>3929.194</v>
      </c>
      <c r="FC42" s="168">
        <f t="shared" si="95"/>
        <v>16006.147999999999</v>
      </c>
      <c r="FD42" s="242">
        <v>8872.6990000000005</v>
      </c>
      <c r="FE42" s="224"/>
      <c r="FF42" s="243"/>
      <c r="FG42" s="168">
        <f t="shared" si="122"/>
        <v>8872.6990000000005</v>
      </c>
      <c r="FH42" s="242"/>
      <c r="FI42" s="224"/>
      <c r="FJ42" s="224"/>
      <c r="FK42" s="224"/>
      <c r="FL42" s="243"/>
      <c r="FM42" s="168">
        <f t="shared" si="123"/>
        <v>0</v>
      </c>
      <c r="FN42" s="242"/>
      <c r="FO42" s="224"/>
      <c r="FP42" s="224"/>
      <c r="FQ42" s="224"/>
      <c r="FR42" s="168">
        <f t="shared" si="96"/>
        <v>0</v>
      </c>
      <c r="FS42" s="242"/>
      <c r="FT42" s="224"/>
      <c r="FU42" s="224"/>
      <c r="FV42" s="224"/>
      <c r="FW42" s="243"/>
      <c r="FX42" s="168">
        <f t="shared" si="124"/>
        <v>0</v>
      </c>
      <c r="FY42" s="242"/>
      <c r="FZ42" s="224">
        <v>4888.982</v>
      </c>
      <c r="GA42" s="224"/>
      <c r="GB42" s="224"/>
      <c r="GC42" s="243"/>
      <c r="GD42" s="168">
        <f t="shared" si="97"/>
        <v>4888.982</v>
      </c>
      <c r="GE42" s="168">
        <f t="shared" si="98"/>
        <v>13761.681</v>
      </c>
      <c r="GF42" s="242"/>
      <c r="GG42" s="224"/>
      <c r="GH42" s="224"/>
      <c r="GI42" s="224"/>
      <c r="GJ42" s="224"/>
      <c r="GK42" s="168">
        <f t="shared" si="125"/>
        <v>0</v>
      </c>
      <c r="GL42" s="242">
        <v>706.24099999999999</v>
      </c>
      <c r="GM42" s="224"/>
      <c r="GN42" s="224"/>
      <c r="GO42" s="243"/>
      <c r="GP42" s="168">
        <f t="shared" si="99"/>
        <v>706.24099999999999</v>
      </c>
      <c r="GQ42" s="242"/>
      <c r="GR42" s="224"/>
      <c r="GS42" s="224">
        <v>949.25800000000004</v>
      </c>
      <c r="GT42" s="224"/>
      <c r="GU42" s="243"/>
      <c r="GV42" s="168">
        <f t="shared" si="100"/>
        <v>949.25800000000004</v>
      </c>
      <c r="GW42" s="242"/>
      <c r="GX42" s="224">
        <v>750</v>
      </c>
      <c r="GY42" s="224"/>
      <c r="GZ42" s="224"/>
      <c r="HA42" s="224">
        <v>174.255</v>
      </c>
      <c r="HB42" s="243"/>
      <c r="HC42" s="168">
        <f t="shared" si="101"/>
        <v>924.255</v>
      </c>
      <c r="HD42" s="168">
        <f t="shared" si="126"/>
        <v>2579.7539999999999</v>
      </c>
      <c r="HE42" s="242">
        <v>10705.492</v>
      </c>
      <c r="HF42" s="224"/>
      <c r="HG42" s="224"/>
      <c r="HH42" s="224"/>
      <c r="HI42" s="168">
        <f t="shared" si="127"/>
        <v>10705.492</v>
      </c>
      <c r="HJ42" s="242"/>
      <c r="HK42" s="224"/>
      <c r="HL42" s="224">
        <v>9992.7389999999996</v>
      </c>
      <c r="HM42" s="224"/>
      <c r="HN42" s="243"/>
      <c r="HO42" s="168">
        <f t="shared" si="128"/>
        <v>9992.7389999999996</v>
      </c>
      <c r="HP42" s="242">
        <f>1546.941+1943.21</f>
        <v>3490.1509999999998</v>
      </c>
      <c r="HQ42" s="224"/>
      <c r="HR42" s="224"/>
      <c r="HS42" s="224">
        <v>279.952</v>
      </c>
      <c r="HT42" s="243"/>
      <c r="HU42" s="168">
        <f t="shared" si="129"/>
        <v>3770.1030000000001</v>
      </c>
      <c r="HV42" s="242">
        <v>2704.828</v>
      </c>
      <c r="HW42" s="224">
        <v>789.70299999999997</v>
      </c>
      <c r="HX42" s="224"/>
      <c r="HY42" s="168">
        <f t="shared" si="102"/>
        <v>3494.5309999999999</v>
      </c>
      <c r="HZ42" s="242"/>
      <c r="IA42" s="224"/>
      <c r="IB42" s="243">
        <v>1860.672</v>
      </c>
      <c r="IC42" s="168">
        <f t="shared" si="130"/>
        <v>1860.672</v>
      </c>
      <c r="ID42" s="168">
        <f t="shared" si="103"/>
        <v>29823.536999999997</v>
      </c>
      <c r="IE42" s="242"/>
      <c r="IF42" s="243">
        <v>2760.77</v>
      </c>
      <c r="IG42" s="168">
        <f t="shared" si="131"/>
        <v>2760.77</v>
      </c>
      <c r="IH42" s="242"/>
      <c r="II42" s="224"/>
      <c r="IJ42" s="224"/>
      <c r="IK42" s="224"/>
      <c r="IL42" s="243">
        <v>1353.2650000000001</v>
      </c>
      <c r="IM42" s="168">
        <f t="shared" si="132"/>
        <v>1353.2650000000001</v>
      </c>
      <c r="IN42" s="242"/>
      <c r="IO42" s="224"/>
      <c r="IP42" s="243">
        <v>470.55099999999999</v>
      </c>
      <c r="IQ42" s="168">
        <f t="shared" si="133"/>
        <v>470.55099999999999</v>
      </c>
      <c r="IR42" s="242"/>
      <c r="IS42" s="224"/>
      <c r="IT42" s="224"/>
      <c r="IU42" s="224"/>
      <c r="IV42" s="243"/>
      <c r="IW42" s="168">
        <f t="shared" si="134"/>
        <v>0</v>
      </c>
      <c r="IX42" s="242"/>
      <c r="IY42" s="224"/>
      <c r="IZ42" s="224">
        <v>885.01099999999997</v>
      </c>
      <c r="JA42" s="224"/>
      <c r="JB42" s="243"/>
      <c r="JC42" s="168">
        <f t="shared" si="135"/>
        <v>885.01099999999997</v>
      </c>
      <c r="JD42" s="168">
        <f t="shared" si="104"/>
        <v>5469.5969999999998</v>
      </c>
      <c r="JE42" s="242">
        <v>7628.3919999999998</v>
      </c>
      <c r="JF42" s="224">
        <v>709.91600000000005</v>
      </c>
      <c r="JG42" s="224"/>
      <c r="JH42" s="224"/>
      <c r="JI42" s="243">
        <v>2150</v>
      </c>
      <c r="JJ42" s="168">
        <f t="shared" si="136"/>
        <v>10488.307999999999</v>
      </c>
      <c r="JK42" s="242"/>
      <c r="JL42" s="224"/>
      <c r="JM42" s="224"/>
      <c r="JN42" s="224"/>
      <c r="JO42" s="243"/>
      <c r="JP42" s="168">
        <f t="shared" si="137"/>
        <v>0</v>
      </c>
      <c r="JQ42" s="242"/>
      <c r="JR42" s="224"/>
      <c r="JS42" s="224"/>
      <c r="JT42" s="224"/>
      <c r="JU42" s="243"/>
      <c r="JV42" s="168">
        <f t="shared" si="138"/>
        <v>0</v>
      </c>
      <c r="JW42" s="242"/>
      <c r="JX42" s="224"/>
      <c r="JY42" s="224"/>
      <c r="JZ42" s="224"/>
      <c r="KA42" s="224"/>
      <c r="KB42" s="243"/>
      <c r="KC42" s="168">
        <f t="shared" si="139"/>
        <v>0</v>
      </c>
      <c r="KD42" s="168">
        <f t="shared" si="105"/>
        <v>10488.307999999999</v>
      </c>
      <c r="KE42" s="242"/>
      <c r="KF42" s="224"/>
      <c r="KG42" s="224"/>
      <c r="KH42" s="224"/>
      <c r="KI42" s="243"/>
      <c r="KJ42" s="168"/>
      <c r="KK42" s="242"/>
      <c r="KL42" s="224"/>
      <c r="KM42" s="224"/>
      <c r="KN42" s="224"/>
      <c r="KO42" s="243"/>
      <c r="KP42" s="168"/>
      <c r="KQ42" s="242"/>
      <c r="KR42" s="224"/>
      <c r="KS42" s="224"/>
      <c r="KT42" s="224"/>
      <c r="KU42" s="243"/>
      <c r="KV42" s="168"/>
      <c r="KW42" s="242"/>
      <c r="KX42" s="224"/>
      <c r="KY42" s="224"/>
      <c r="KZ42" s="224"/>
      <c r="LA42" s="243"/>
      <c r="LB42" s="168"/>
      <c r="LC42" s="242"/>
      <c r="LD42" s="224"/>
      <c r="LE42" s="243"/>
      <c r="LF42" s="168"/>
      <c r="LG42" s="168">
        <f t="shared" ref="LG42:LG44" si="140">KJ42+KP42+KV42+LB42+LF42</f>
        <v>0</v>
      </c>
    </row>
    <row r="43" spans="2:322">
      <c r="B43" s="93" t="s">
        <v>385</v>
      </c>
      <c r="C43" s="167">
        <v>-4106.1610000000001</v>
      </c>
      <c r="D43" s="181">
        <f t="shared" si="106"/>
        <v>-4106.1610000000001</v>
      </c>
      <c r="E43" s="167">
        <v>-12322.41</v>
      </c>
      <c r="F43" s="177"/>
      <c r="G43" s="177">
        <v>-2824.8270000000002</v>
      </c>
      <c r="H43" s="177"/>
      <c r="I43" s="178"/>
      <c r="J43" s="181">
        <f t="shared" si="107"/>
        <v>-15147.237000000001</v>
      </c>
      <c r="K43" s="167"/>
      <c r="L43" s="177"/>
      <c r="M43" s="177"/>
      <c r="N43" s="178">
        <v>-1384.06</v>
      </c>
      <c r="O43" s="181">
        <f t="shared" si="108"/>
        <v>-1384.06</v>
      </c>
      <c r="P43" s="167"/>
      <c r="Q43" s="177">
        <v>-6282.8590000000004</v>
      </c>
      <c r="R43" s="177"/>
      <c r="S43" s="177">
        <v>-1183.6030000000001</v>
      </c>
      <c r="T43" s="178"/>
      <c r="U43" s="168">
        <f t="shared" si="109"/>
        <v>-7466.4620000000004</v>
      </c>
      <c r="V43" s="167"/>
      <c r="W43" s="177">
        <v>-1350</v>
      </c>
      <c r="X43" s="177">
        <v>-3115.0569999999998</v>
      </c>
      <c r="Y43" s="177">
        <v>-868.7</v>
      </c>
      <c r="Z43" s="205">
        <v>-1223.739</v>
      </c>
      <c r="AA43" s="168">
        <f t="shared" si="80"/>
        <v>-6557.4959999999992</v>
      </c>
      <c r="AB43" s="168">
        <f t="shared" si="110"/>
        <v>-34661.415999999997</v>
      </c>
      <c r="AC43" s="242"/>
      <c r="AD43" s="224">
        <v>-3824.6060000000002</v>
      </c>
      <c r="AE43" s="224">
        <v>-6392.3879999999999</v>
      </c>
      <c r="AF43" s="224"/>
      <c r="AG43" s="243"/>
      <c r="AH43" s="168">
        <f t="shared" si="111"/>
        <v>-10216.994000000001</v>
      </c>
      <c r="AI43" s="242"/>
      <c r="AJ43" s="224"/>
      <c r="AK43" s="224">
        <v>-1407</v>
      </c>
      <c r="AL43" s="224"/>
      <c r="AM43" s="243"/>
      <c r="AN43" s="168">
        <f t="shared" si="112"/>
        <v>-1407</v>
      </c>
      <c r="AO43" s="242"/>
      <c r="AP43" s="224"/>
      <c r="AQ43" s="224">
        <v>-5923.509</v>
      </c>
      <c r="AR43" s="224"/>
      <c r="AS43" s="243"/>
      <c r="AT43" s="168">
        <f t="shared" si="113"/>
        <v>-5923.509</v>
      </c>
      <c r="AU43" s="242"/>
      <c r="AV43" s="224">
        <v>-2988.3980000000001</v>
      </c>
      <c r="AW43" s="224"/>
      <c r="AX43" s="224">
        <v>-1407.8530000000001</v>
      </c>
      <c r="AY43" s="243"/>
      <c r="AZ43" s="168">
        <f t="shared" si="114"/>
        <v>-4396.2510000000002</v>
      </c>
      <c r="BA43" s="168">
        <f t="shared" si="81"/>
        <v>-21943.754000000001</v>
      </c>
      <c r="BB43" s="242"/>
      <c r="BC43" s="224"/>
      <c r="BD43" s="224">
        <v>-17437.171999999999</v>
      </c>
      <c r="BE43" s="224"/>
      <c r="BF43" s="243"/>
      <c r="BG43" s="168">
        <f>SUM(BB43:BF43)</f>
        <v>-17437.171999999999</v>
      </c>
      <c r="BH43" s="242">
        <v>-2694.6840000000002</v>
      </c>
      <c r="BI43" s="224"/>
      <c r="BJ43" s="224"/>
      <c r="BK43" s="224"/>
      <c r="BL43" s="243"/>
      <c r="BM43" s="168">
        <f t="shared" si="82"/>
        <v>-2694.6840000000002</v>
      </c>
      <c r="BN43" s="242"/>
      <c r="BO43" s="224"/>
      <c r="BP43" s="224">
        <v>-856.32899999999995</v>
      </c>
      <c r="BQ43" s="243">
        <v>-1943.396</v>
      </c>
      <c r="BR43" s="168">
        <f t="shared" si="83"/>
        <v>-2799.7249999999999</v>
      </c>
      <c r="BS43" s="242"/>
      <c r="BT43" s="224"/>
      <c r="BU43" s="224">
        <v>-5772.6270000000004</v>
      </c>
      <c r="BV43" s="224"/>
      <c r="BW43" s="243">
        <v>-2907.4749999999999</v>
      </c>
      <c r="BX43" s="239">
        <f t="shared" si="115"/>
        <v>-8680.1020000000008</v>
      </c>
      <c r="BY43" s="242"/>
      <c r="BZ43" s="224">
        <v>-2335</v>
      </c>
      <c r="CA43" s="168">
        <f t="shared" si="84"/>
        <v>-2335</v>
      </c>
      <c r="CB43" s="168">
        <f t="shared" si="85"/>
        <v>-33946.683000000005</v>
      </c>
      <c r="CC43" s="242">
        <v>-4078.3009999999999</v>
      </c>
      <c r="CD43" s="224">
        <v>-16613.947</v>
      </c>
      <c r="CE43" s="224"/>
      <c r="CF43" s="168">
        <f t="shared" si="86"/>
        <v>-20692.248</v>
      </c>
      <c r="CG43" s="242"/>
      <c r="CH43" s="224"/>
      <c r="CI43" s="224">
        <v>-2332.5</v>
      </c>
      <c r="CJ43" s="243"/>
      <c r="CK43" s="168">
        <f t="shared" si="87"/>
        <v>-2332.5</v>
      </c>
      <c r="CL43" s="242"/>
      <c r="CM43" s="224"/>
      <c r="CN43" s="224">
        <v>-5250</v>
      </c>
      <c r="CO43" s="224"/>
      <c r="CP43" s="243">
        <v>-7635.6589999999997</v>
      </c>
      <c r="CQ43" s="168">
        <f t="shared" si="88"/>
        <v>-12885.659</v>
      </c>
      <c r="CR43" s="242"/>
      <c r="CS43" s="224"/>
      <c r="CT43" s="224"/>
      <c r="CU43" s="224">
        <v>-4729.3090000000002</v>
      </c>
      <c r="CV43" s="243"/>
      <c r="CW43" s="168">
        <f t="shared" si="89"/>
        <v>-4729.3090000000002</v>
      </c>
      <c r="CX43" s="242"/>
      <c r="CY43" s="224"/>
      <c r="CZ43" s="224">
        <v>-1069</v>
      </c>
      <c r="DA43" s="243"/>
      <c r="DB43" s="168">
        <f t="shared" si="90"/>
        <v>-1069</v>
      </c>
      <c r="DC43" s="168">
        <f t="shared" si="91"/>
        <v>-41708.716</v>
      </c>
      <c r="DD43" s="242"/>
      <c r="DE43" s="224">
        <v>-32099.951000000001</v>
      </c>
      <c r="DF43" s="224"/>
      <c r="DG43" s="224">
        <v>-11205.77</v>
      </c>
      <c r="DH43" s="224"/>
      <c r="DI43" s="168">
        <f t="shared" si="116"/>
        <v>-43305.721000000005</v>
      </c>
      <c r="DJ43" s="242">
        <v>-1179.92</v>
      </c>
      <c r="DK43" s="224"/>
      <c r="DL43" s="224"/>
      <c r="DM43" s="224">
        <v>-2809.7170000000001</v>
      </c>
      <c r="DN43" s="243">
        <v>-4430</v>
      </c>
      <c r="DO43" s="168">
        <f t="shared" si="117"/>
        <v>-8419.6370000000006</v>
      </c>
      <c r="DP43" s="242">
        <v>-1216</v>
      </c>
      <c r="DQ43" s="224"/>
      <c r="DR43" s="224"/>
      <c r="DS43" s="224">
        <v>-1216</v>
      </c>
      <c r="DT43" s="243"/>
      <c r="DU43" s="168">
        <f t="shared" si="92"/>
        <v>-2432</v>
      </c>
      <c r="DV43" s="242">
        <v>-7644.97</v>
      </c>
      <c r="DW43" s="224"/>
      <c r="DX43" s="224">
        <v>-1208.8989999999999</v>
      </c>
      <c r="DY43" s="224">
        <v>-910</v>
      </c>
      <c r="DZ43" s="243"/>
      <c r="EA43" s="168">
        <f t="shared" si="93"/>
        <v>-9763.8690000000006</v>
      </c>
      <c r="EB43" s="168">
        <f t="shared" si="94"/>
        <v>-63921.227000000006</v>
      </c>
      <c r="EC43" s="242"/>
      <c r="ED43" s="224"/>
      <c r="EE43" s="224">
        <v>-20008.504000000001</v>
      </c>
      <c r="EF43" s="224"/>
      <c r="EG43" s="243"/>
      <c r="EH43" s="168">
        <f t="shared" si="118"/>
        <v>-20008.504000000001</v>
      </c>
      <c r="EI43" s="242"/>
      <c r="EJ43" s="224">
        <v>-5266.6540000000005</v>
      </c>
      <c r="EK43" s="224">
        <v>-3552.3220000000001</v>
      </c>
      <c r="EL43" s="224"/>
      <c r="EM43" s="243">
        <v>-1889.2270000000001</v>
      </c>
      <c r="EN43" s="168">
        <f t="shared" si="119"/>
        <v>-10708.203000000001</v>
      </c>
      <c r="EO43" s="242"/>
      <c r="EP43" s="224">
        <v>-1191.2470000000001</v>
      </c>
      <c r="EQ43" s="224">
        <v>-1319.616</v>
      </c>
      <c r="ER43" s="224"/>
      <c r="ES43" s="243"/>
      <c r="ET43" s="168">
        <f t="shared" si="120"/>
        <v>-2510.8630000000003</v>
      </c>
      <c r="EU43" s="242"/>
      <c r="EV43" s="224"/>
      <c r="EW43" s="224"/>
      <c r="EX43" s="224">
        <v>-4181.8710000000001</v>
      </c>
      <c r="EY43" s="224"/>
      <c r="EZ43" s="224"/>
      <c r="FA43" s="243"/>
      <c r="FB43" s="168">
        <f t="shared" si="121"/>
        <v>-4181.8710000000001</v>
      </c>
      <c r="FC43" s="168">
        <f t="shared" si="95"/>
        <v>-37409.440999999999</v>
      </c>
      <c r="FD43" s="242"/>
      <c r="FE43" s="224">
        <v>-17978.444</v>
      </c>
      <c r="FF43" s="243"/>
      <c r="FG43" s="168">
        <f t="shared" si="122"/>
        <v>-17978.444</v>
      </c>
      <c r="FH43" s="242"/>
      <c r="FI43" s="224"/>
      <c r="FJ43" s="224"/>
      <c r="FK43" s="224">
        <v>-4517.6040000000003</v>
      </c>
      <c r="FL43" s="243"/>
      <c r="FM43" s="168">
        <f t="shared" si="123"/>
        <v>-4517.6040000000003</v>
      </c>
      <c r="FN43" s="242"/>
      <c r="FO43" s="224"/>
      <c r="FP43" s="224"/>
      <c r="FQ43" s="224"/>
      <c r="FR43" s="168">
        <f t="shared" si="96"/>
        <v>0</v>
      </c>
      <c r="FS43" s="242">
        <v>-2372.2469999999998</v>
      </c>
      <c r="FT43" s="224"/>
      <c r="FU43" s="224">
        <v>-3170</v>
      </c>
      <c r="FV43" s="224"/>
      <c r="FW43" s="243"/>
      <c r="FX43" s="168">
        <f t="shared" si="124"/>
        <v>-5542.2469999999994</v>
      </c>
      <c r="FY43" s="242"/>
      <c r="FZ43" s="224">
        <v>-1943.21</v>
      </c>
      <c r="GA43" s="224">
        <v>-1374.425</v>
      </c>
      <c r="GB43" s="224">
        <v>-1374</v>
      </c>
      <c r="GC43" s="243">
        <v>-4114.0230000000001</v>
      </c>
      <c r="GD43" s="168">
        <f t="shared" si="97"/>
        <v>-8805.6579999999994</v>
      </c>
      <c r="GE43" s="168">
        <f t="shared" si="98"/>
        <v>-36843.952999999994</v>
      </c>
      <c r="GF43" s="242"/>
      <c r="GG43" s="224">
        <v>-12677.328</v>
      </c>
      <c r="GH43" s="224"/>
      <c r="GI43" s="224"/>
      <c r="GJ43" s="224">
        <v>-1596.15</v>
      </c>
      <c r="GK43" s="168">
        <f t="shared" si="125"/>
        <v>-14273.477999999999</v>
      </c>
      <c r="GL43" s="242"/>
      <c r="GM43" s="224"/>
      <c r="GN43" s="224"/>
      <c r="GO43" s="243"/>
      <c r="GP43" s="168">
        <f t="shared" si="99"/>
        <v>0</v>
      </c>
      <c r="GQ43" s="242"/>
      <c r="GR43" s="224"/>
      <c r="GS43" s="224">
        <v>-16731.618999999999</v>
      </c>
      <c r="GT43" s="224">
        <v>-893</v>
      </c>
      <c r="GU43" s="243"/>
      <c r="GV43" s="168">
        <f t="shared" si="100"/>
        <v>-17624.618999999999</v>
      </c>
      <c r="GW43" s="242"/>
      <c r="GX43" s="224"/>
      <c r="GY43" s="224"/>
      <c r="GZ43" s="224">
        <v>-5750.9530000000004</v>
      </c>
      <c r="HA43" s="224"/>
      <c r="HB43" s="243"/>
      <c r="HC43" s="168">
        <f t="shared" si="101"/>
        <v>-5750.9530000000004</v>
      </c>
      <c r="HD43" s="168">
        <f t="shared" si="126"/>
        <v>-37649.049999999996</v>
      </c>
      <c r="HE43" s="242"/>
      <c r="HF43" s="224">
        <v>-21896.966</v>
      </c>
      <c r="HG43" s="224"/>
      <c r="HH43" s="224">
        <v>-2300</v>
      </c>
      <c r="HI43" s="168">
        <f t="shared" si="127"/>
        <v>-24196.966</v>
      </c>
      <c r="HJ43" s="242"/>
      <c r="HK43" s="224"/>
      <c r="HL43" s="224">
        <v>-9936.0190000000002</v>
      </c>
      <c r="HM43" s="224"/>
      <c r="HN43" s="243"/>
      <c r="HO43" s="168">
        <f t="shared" si="128"/>
        <v>-9936.0190000000002</v>
      </c>
      <c r="HP43" s="242">
        <v>-2300</v>
      </c>
      <c r="HQ43" s="224"/>
      <c r="HR43" s="224"/>
      <c r="HS43" s="224">
        <v>-5452.6090000000004</v>
      </c>
      <c r="HT43" s="243"/>
      <c r="HU43" s="168">
        <f t="shared" si="129"/>
        <v>-7752.6090000000004</v>
      </c>
      <c r="HV43" s="242"/>
      <c r="HW43" s="224"/>
      <c r="HX43" s="224">
        <v>-1164.181</v>
      </c>
      <c r="HY43" s="168">
        <f t="shared" si="102"/>
        <v>-1164.181</v>
      </c>
      <c r="HZ43" s="242"/>
      <c r="IA43" s="224"/>
      <c r="IB43" s="243">
        <v>-1323.645</v>
      </c>
      <c r="IC43" s="168">
        <f t="shared" si="130"/>
        <v>-1323.645</v>
      </c>
      <c r="ID43" s="168">
        <f t="shared" si="103"/>
        <v>-44373.419999999991</v>
      </c>
      <c r="IE43" s="242">
        <v>-1164.181</v>
      </c>
      <c r="IF43" s="243">
        <v>-22300.82</v>
      </c>
      <c r="IG43" s="168">
        <f t="shared" si="131"/>
        <v>-23465.001</v>
      </c>
      <c r="IH43" s="242"/>
      <c r="II43" s="224"/>
      <c r="IJ43" s="224">
        <v>-6265.5940000000001</v>
      </c>
      <c r="IK43" s="224"/>
      <c r="IL43" s="243">
        <v>-3635.34</v>
      </c>
      <c r="IM43" s="168">
        <f t="shared" si="132"/>
        <v>-9900.9340000000011</v>
      </c>
      <c r="IN43" s="242"/>
      <c r="IO43" s="224"/>
      <c r="IP43" s="243"/>
      <c r="IQ43" s="168">
        <f t="shared" si="133"/>
        <v>0</v>
      </c>
      <c r="IR43" s="242">
        <v>-800</v>
      </c>
      <c r="IS43" s="224"/>
      <c r="IT43" s="224"/>
      <c r="IU43" s="224"/>
      <c r="IV43" s="243"/>
      <c r="IW43" s="168">
        <f t="shared" si="134"/>
        <v>-800</v>
      </c>
      <c r="IX43" s="242"/>
      <c r="IY43" s="224">
        <v>-800</v>
      </c>
      <c r="IZ43" s="224"/>
      <c r="JA43" s="224">
        <v>-791.55200000000002</v>
      </c>
      <c r="JB43" s="243">
        <v>-829</v>
      </c>
      <c r="JC43" s="168">
        <f t="shared" si="135"/>
        <v>-2420.5520000000001</v>
      </c>
      <c r="JD43" s="168">
        <f t="shared" si="104"/>
        <v>-36586.487000000001</v>
      </c>
      <c r="JE43" s="242"/>
      <c r="JF43" s="224">
        <v>-7069.268</v>
      </c>
      <c r="JG43" s="224">
        <v>-4683.7619999999997</v>
      </c>
      <c r="JH43" s="224"/>
      <c r="JI43" s="243"/>
      <c r="JJ43" s="168">
        <f t="shared" si="136"/>
        <v>-11753.029999999999</v>
      </c>
      <c r="JK43" s="242"/>
      <c r="JL43" s="224"/>
      <c r="JM43" s="224"/>
      <c r="JN43" s="224"/>
      <c r="JO43" s="243"/>
      <c r="JP43" s="168">
        <f t="shared" si="137"/>
        <v>0</v>
      </c>
      <c r="JQ43" s="242"/>
      <c r="JR43" s="224"/>
      <c r="JS43" s="224"/>
      <c r="JT43" s="224"/>
      <c r="JU43" s="243"/>
      <c r="JV43" s="168">
        <f t="shared" si="138"/>
        <v>0</v>
      </c>
      <c r="JW43" s="242"/>
      <c r="JX43" s="224"/>
      <c r="JY43" s="224"/>
      <c r="JZ43" s="224"/>
      <c r="KA43" s="224"/>
      <c r="KB43" s="243"/>
      <c r="KC43" s="168">
        <f t="shared" si="139"/>
        <v>0</v>
      </c>
      <c r="KD43" s="168">
        <f t="shared" si="105"/>
        <v>-11753.029999999999</v>
      </c>
      <c r="KE43" s="242"/>
      <c r="KF43" s="224"/>
      <c r="KG43" s="224"/>
      <c r="KH43" s="224"/>
      <c r="KI43" s="243"/>
      <c r="KJ43" s="168"/>
      <c r="KK43" s="242"/>
      <c r="KL43" s="224"/>
      <c r="KM43" s="224"/>
      <c r="KN43" s="224"/>
      <c r="KO43" s="243"/>
      <c r="KP43" s="168"/>
      <c r="KQ43" s="242"/>
      <c r="KR43" s="224"/>
      <c r="KS43" s="224"/>
      <c r="KT43" s="224"/>
      <c r="KU43" s="243"/>
      <c r="KV43" s="168"/>
      <c r="KW43" s="242"/>
      <c r="KX43" s="224"/>
      <c r="KY43" s="224"/>
      <c r="KZ43" s="224"/>
      <c r="LA43" s="243"/>
      <c r="LB43" s="168"/>
      <c r="LC43" s="242"/>
      <c r="LD43" s="224"/>
      <c r="LE43" s="243"/>
      <c r="LF43" s="168"/>
      <c r="LG43" s="168">
        <f t="shared" si="140"/>
        <v>0</v>
      </c>
    </row>
    <row r="44" spans="2:322">
      <c r="B44" s="93" t="s">
        <v>169</v>
      </c>
      <c r="C44" s="167">
        <v>700.64499999999998</v>
      </c>
      <c r="D44" s="181">
        <f t="shared" si="106"/>
        <v>700.64499999999998</v>
      </c>
      <c r="E44" s="167">
        <v>884.79300000000001</v>
      </c>
      <c r="F44" s="177">
        <v>732.59</v>
      </c>
      <c r="G44" s="177">
        <v>3183.1759999999999</v>
      </c>
      <c r="H44" s="177">
        <v>504.35300000000001</v>
      </c>
      <c r="I44" s="178">
        <v>142026.81599999999</v>
      </c>
      <c r="J44" s="181">
        <f t="shared" si="107"/>
        <v>147331.728</v>
      </c>
      <c r="K44" s="167">
        <v>3973.7060000000001</v>
      </c>
      <c r="L44" s="177">
        <v>122.122</v>
      </c>
      <c r="M44" s="177">
        <v>959.77599999999995</v>
      </c>
      <c r="N44" s="178">
        <v>638.93499999999995</v>
      </c>
      <c r="O44" s="181">
        <f t="shared" si="108"/>
        <v>5694.5390000000007</v>
      </c>
      <c r="P44" s="167">
        <v>1578.5440000000001</v>
      </c>
      <c r="Q44" s="177">
        <v>376.959</v>
      </c>
      <c r="R44" s="177">
        <v>657.01800000000003</v>
      </c>
      <c r="S44" s="177">
        <v>4156.5200000000004</v>
      </c>
      <c r="T44" s="178">
        <v>2384.4810000000002</v>
      </c>
      <c r="U44" s="168">
        <f t="shared" si="109"/>
        <v>9153.5220000000008</v>
      </c>
      <c r="V44" s="167">
        <v>695.34400000000005</v>
      </c>
      <c r="W44" s="177">
        <v>5643.2190000000001</v>
      </c>
      <c r="X44" s="177">
        <v>391.072</v>
      </c>
      <c r="Y44" s="177">
        <f>100.941+2807.547+813.828+567.066+1778.977</f>
        <v>6068.3589999999995</v>
      </c>
      <c r="Z44" s="205">
        <v>8490.68</v>
      </c>
      <c r="AA44" s="168">
        <f t="shared" si="80"/>
        <v>21288.673999999999</v>
      </c>
      <c r="AB44" s="168">
        <f t="shared" si="110"/>
        <v>184169.10799999998</v>
      </c>
      <c r="AC44" s="242">
        <v>3079.377</v>
      </c>
      <c r="AD44" s="224"/>
      <c r="AE44" s="224">
        <v>7348.1059999999998</v>
      </c>
      <c r="AF44" s="224">
        <v>697.79700000000003</v>
      </c>
      <c r="AG44" s="243">
        <v>8423.4470000000001</v>
      </c>
      <c r="AH44" s="168">
        <f t="shared" si="111"/>
        <v>19548.726999999999</v>
      </c>
      <c r="AI44" s="242">
        <v>1695.903</v>
      </c>
      <c r="AJ44" s="224">
        <v>782.33199999999999</v>
      </c>
      <c r="AK44" s="224"/>
      <c r="AL44" s="224">
        <v>1331.134</v>
      </c>
      <c r="AM44" s="243"/>
      <c r="AN44" s="168">
        <f t="shared" si="112"/>
        <v>3809.3690000000001</v>
      </c>
      <c r="AO44" s="242">
        <v>99.247</v>
      </c>
      <c r="AP44" s="224">
        <v>831.072</v>
      </c>
      <c r="AQ44" s="224"/>
      <c r="AR44" s="224">
        <v>621.25400000000002</v>
      </c>
      <c r="AS44" s="243"/>
      <c r="AT44" s="168">
        <f t="shared" si="113"/>
        <v>1551.5729999999999</v>
      </c>
      <c r="AU44" s="242">
        <v>2822.3220000000001</v>
      </c>
      <c r="AV44" s="224">
        <v>3927.0909999999999</v>
      </c>
      <c r="AW44" s="224">
        <v>4235.3770000000004</v>
      </c>
      <c r="AX44" s="224">
        <f>561.766+1081.685+413.346</f>
        <v>2056.797</v>
      </c>
      <c r="AY44" s="243">
        <v>1333.652</v>
      </c>
      <c r="AZ44" s="168">
        <f t="shared" si="114"/>
        <v>14375.239000000001</v>
      </c>
      <c r="BA44" s="168">
        <f t="shared" si="81"/>
        <v>39284.907999999996</v>
      </c>
      <c r="BB44" s="242">
        <v>123.602</v>
      </c>
      <c r="BC44" s="224">
        <v>6586.8320000000003</v>
      </c>
      <c r="BD44" s="224">
        <v>394.34500000000003</v>
      </c>
      <c r="BE44" s="224"/>
      <c r="BF44" s="243">
        <f>10485.76+122.756+708.548</f>
        <v>11317.064</v>
      </c>
      <c r="BG44" s="168">
        <f>SUM(BB44:BF44)</f>
        <v>18421.843000000001</v>
      </c>
      <c r="BH44" s="242">
        <v>121.783</v>
      </c>
      <c r="BI44" s="224">
        <v>3251.288</v>
      </c>
      <c r="BJ44" s="224">
        <v>5906.9970000000003</v>
      </c>
      <c r="BK44" s="224">
        <v>2899.0140000000001</v>
      </c>
      <c r="BL44" s="243">
        <v>996.26599999999996</v>
      </c>
      <c r="BM44" s="168">
        <f t="shared" si="82"/>
        <v>13175.347999999998</v>
      </c>
      <c r="BN44" s="242">
        <v>2651.9650000000001</v>
      </c>
      <c r="BO44" s="224">
        <v>575.09699999999998</v>
      </c>
      <c r="BP44" s="224">
        <v>579.726</v>
      </c>
      <c r="BQ44" s="243">
        <v>7525.0959999999995</v>
      </c>
      <c r="BR44" s="168">
        <f t="shared" si="83"/>
        <v>11331.884</v>
      </c>
      <c r="BS44" s="242">
        <v>11763.130999999999</v>
      </c>
      <c r="BT44" s="224"/>
      <c r="BU44" s="224"/>
      <c r="BV44" s="224"/>
      <c r="BW44" s="243">
        <v>526.12599999999998</v>
      </c>
      <c r="BX44" s="239">
        <f t="shared" si="115"/>
        <v>12289.257</v>
      </c>
      <c r="BY44" s="242"/>
      <c r="BZ44" s="224"/>
      <c r="CA44" s="168">
        <f t="shared" si="84"/>
        <v>0</v>
      </c>
      <c r="CB44" s="168">
        <f t="shared" si="85"/>
        <v>55218.332000000002</v>
      </c>
      <c r="CC44" s="242">
        <v>4912.9059999999999</v>
      </c>
      <c r="CD44" s="224">
        <v>2569.7849999999999</v>
      </c>
      <c r="CE44" s="224">
        <v>175.14599999999999</v>
      </c>
      <c r="CF44" s="168">
        <f t="shared" si="86"/>
        <v>7657.8369999999995</v>
      </c>
      <c r="CG44" s="242">
        <v>166283.80600000001</v>
      </c>
      <c r="CH44" s="224">
        <v>412.37400000000002</v>
      </c>
      <c r="CI44" s="224"/>
      <c r="CJ44" s="243">
        <v>1280.259</v>
      </c>
      <c r="CK44" s="168">
        <f t="shared" si="87"/>
        <v>167976.43900000001</v>
      </c>
      <c r="CL44" s="242">
        <v>4626.4359999999997</v>
      </c>
      <c r="CM44" s="224">
        <v>644.81500000000005</v>
      </c>
      <c r="CN44" s="224">
        <v>2524.355</v>
      </c>
      <c r="CO44" s="224">
        <v>3126.3130000000001</v>
      </c>
      <c r="CP44" s="243">
        <v>126.842</v>
      </c>
      <c r="CQ44" s="168">
        <f t="shared" si="88"/>
        <v>11048.761</v>
      </c>
      <c r="CR44" s="242"/>
      <c r="CS44" s="224">
        <v>243.08</v>
      </c>
      <c r="CT44" s="224">
        <v>1182.854</v>
      </c>
      <c r="CU44" s="224">
        <v>1580.1479999999999</v>
      </c>
      <c r="CV44" s="243">
        <v>915.43299999999999</v>
      </c>
      <c r="CW44" s="168">
        <f t="shared" si="89"/>
        <v>3921.5149999999999</v>
      </c>
      <c r="CX44" s="242">
        <v>312.02600000000001</v>
      </c>
      <c r="CY44" s="224">
        <v>18463.503000000001</v>
      </c>
      <c r="CZ44" s="224">
        <v>11603.573</v>
      </c>
      <c r="DA44" s="243">
        <v>471.72</v>
      </c>
      <c r="DB44" s="168">
        <f t="shared" si="90"/>
        <v>30850.822000000004</v>
      </c>
      <c r="DC44" s="168">
        <f t="shared" si="91"/>
        <v>221455.37400000001</v>
      </c>
      <c r="DD44" s="242">
        <v>1266.421</v>
      </c>
      <c r="DE44" s="224">
        <v>166.816</v>
      </c>
      <c r="DF44" s="224">
        <v>533.16600000000005</v>
      </c>
      <c r="DG44" s="224"/>
      <c r="DH44" s="224">
        <v>1098.9780000000001</v>
      </c>
      <c r="DI44" s="168">
        <f t="shared" si="116"/>
        <v>3065.3810000000003</v>
      </c>
      <c r="DJ44" s="242">
        <v>2557.29</v>
      </c>
      <c r="DK44" s="224">
        <v>9219.3160000000007</v>
      </c>
      <c r="DL44" s="224">
        <v>1310.2719999999999</v>
      </c>
      <c r="DM44" s="224"/>
      <c r="DN44" s="243"/>
      <c r="DO44" s="168">
        <f t="shared" si="117"/>
        <v>13086.878000000001</v>
      </c>
      <c r="DP44" s="242">
        <v>889.82399999999996</v>
      </c>
      <c r="DQ44" s="224">
        <v>426.37700000000001</v>
      </c>
      <c r="DR44" s="224">
        <v>757.43399999999997</v>
      </c>
      <c r="DS44" s="224"/>
      <c r="DT44" s="243">
        <v>585.49199999999996</v>
      </c>
      <c r="DU44" s="168">
        <f t="shared" si="92"/>
        <v>2659.1270000000004</v>
      </c>
      <c r="DV44" s="242">
        <v>3095.3319999999999</v>
      </c>
      <c r="DW44" s="224">
        <v>3118.0129999999999</v>
      </c>
      <c r="DX44" s="224">
        <v>1560.2570000000001</v>
      </c>
      <c r="DY44" s="224">
        <v>221.63900000000001</v>
      </c>
      <c r="DZ44" s="243">
        <v>14850.795</v>
      </c>
      <c r="EA44" s="168">
        <f t="shared" si="93"/>
        <v>22846.036</v>
      </c>
      <c r="EB44" s="168">
        <f t="shared" si="94"/>
        <v>41657.422000000006</v>
      </c>
      <c r="EC44" s="242">
        <v>989.202</v>
      </c>
      <c r="ED44" s="224">
        <v>1742.71</v>
      </c>
      <c r="EE44" s="224">
        <v>197.97200000000001</v>
      </c>
      <c r="EF44" s="224">
        <v>110.788</v>
      </c>
      <c r="EG44" s="243"/>
      <c r="EH44" s="168">
        <f t="shared" si="118"/>
        <v>3040.6720000000005</v>
      </c>
      <c r="EI44" s="242">
        <v>412.05599999999998</v>
      </c>
      <c r="EJ44" s="224">
        <v>2029.1949999999999</v>
      </c>
      <c r="EK44" s="224">
        <v>1055.144</v>
      </c>
      <c r="EL44" s="224">
        <v>3280.2359999999999</v>
      </c>
      <c r="EM44" s="243">
        <v>46944.675000000003</v>
      </c>
      <c r="EN44" s="168">
        <f t="shared" si="119"/>
        <v>53721.306000000004</v>
      </c>
      <c r="EO44" s="242">
        <v>1017.537</v>
      </c>
      <c r="EP44" s="224">
        <v>2358.4760000000001</v>
      </c>
      <c r="EQ44" s="224"/>
      <c r="ER44" s="224"/>
      <c r="ES44" s="243">
        <v>4338.0609999999997</v>
      </c>
      <c r="ET44" s="168">
        <f t="shared" si="120"/>
        <v>7714.0739999999996</v>
      </c>
      <c r="EU44" s="242">
        <v>2525.5790000000002</v>
      </c>
      <c r="EV44" s="224"/>
      <c r="EW44" s="224">
        <v>9393.6219999999994</v>
      </c>
      <c r="EX44" s="224">
        <v>705.51599999999996</v>
      </c>
      <c r="EY44" s="224">
        <v>4417</v>
      </c>
      <c r="EZ44" s="224">
        <v>423.06599999999997</v>
      </c>
      <c r="FA44" s="243">
        <f>922.989+1043.554+957.302</f>
        <v>2923.8450000000003</v>
      </c>
      <c r="FB44" s="168">
        <f t="shared" si="121"/>
        <v>20388.627999999997</v>
      </c>
      <c r="FC44" s="168">
        <f t="shared" si="95"/>
        <v>84864.68</v>
      </c>
      <c r="FD44" s="242">
        <v>1169.74</v>
      </c>
      <c r="FE44" s="224">
        <v>29294.062000000002</v>
      </c>
      <c r="FF44" s="243"/>
      <c r="FG44" s="168">
        <f t="shared" si="122"/>
        <v>30463.802000000003</v>
      </c>
      <c r="FH44" s="242">
        <v>1473.1679999999999</v>
      </c>
      <c r="FI44" s="224"/>
      <c r="FJ44" s="224"/>
      <c r="FK44" s="224"/>
      <c r="FL44" s="243">
        <v>978.56600000000003</v>
      </c>
      <c r="FM44" s="168">
        <f t="shared" si="123"/>
        <v>2451.7339999999999</v>
      </c>
      <c r="FN44" s="242">
        <v>7563.1319999999996</v>
      </c>
      <c r="FO44" s="224">
        <v>7382.9520000000002</v>
      </c>
      <c r="FP44" s="224">
        <v>623.85</v>
      </c>
      <c r="FQ44" s="224">
        <v>1131.97</v>
      </c>
      <c r="FR44" s="168">
        <f t="shared" si="96"/>
        <v>16701.903999999999</v>
      </c>
      <c r="FS44" s="242"/>
      <c r="FT44" s="224"/>
      <c r="FU44" s="224">
        <v>2000.578</v>
      </c>
      <c r="FV44" s="224">
        <v>483.666</v>
      </c>
      <c r="FW44" s="243">
        <v>334.24900000000002</v>
      </c>
      <c r="FX44" s="168">
        <f t="shared" si="124"/>
        <v>2818.4930000000004</v>
      </c>
      <c r="FY44" s="242"/>
      <c r="FZ44" s="224">
        <v>2354.127</v>
      </c>
      <c r="GA44" s="224">
        <v>699.34799999999996</v>
      </c>
      <c r="GB44" s="224"/>
      <c r="GC44" s="243">
        <v>1914.498</v>
      </c>
      <c r="GD44" s="168">
        <f t="shared" si="97"/>
        <v>4967.973</v>
      </c>
      <c r="GE44" s="168">
        <f t="shared" si="98"/>
        <v>57403.906000000003</v>
      </c>
      <c r="GF44" s="242"/>
      <c r="GG44" s="224">
        <v>114.77800000000001</v>
      </c>
      <c r="GH44" s="224">
        <v>483.202</v>
      </c>
      <c r="GI44" s="224"/>
      <c r="GJ44" s="224">
        <v>1571.73</v>
      </c>
      <c r="GK44" s="168">
        <f t="shared" si="125"/>
        <v>2169.71</v>
      </c>
      <c r="GL44" s="242">
        <v>123.50700000000001</v>
      </c>
      <c r="GM44" s="224">
        <v>8601.1209999999992</v>
      </c>
      <c r="GN44" s="224"/>
      <c r="GO44" s="243">
        <v>18695.118999999999</v>
      </c>
      <c r="GP44" s="168">
        <f t="shared" si="99"/>
        <v>27419.746999999996</v>
      </c>
      <c r="GQ44" s="242">
        <v>6231.9459999999999</v>
      </c>
      <c r="GR44" s="224">
        <v>1414.5530000000001</v>
      </c>
      <c r="GS44" s="224">
        <v>135.155</v>
      </c>
      <c r="GT44" s="224">
        <v>4982.7449999999999</v>
      </c>
      <c r="GU44" s="243">
        <v>3437.9830000000002</v>
      </c>
      <c r="GV44" s="168">
        <f t="shared" si="100"/>
        <v>16202.382</v>
      </c>
      <c r="GW44" s="242"/>
      <c r="GX44" s="224"/>
      <c r="GY44" s="224">
        <v>4369.9740000000002</v>
      </c>
      <c r="GZ44" s="224">
        <v>2027.414</v>
      </c>
      <c r="HA44" s="224">
        <v>685.42600000000004</v>
      </c>
      <c r="HB44" s="243">
        <v>7962.0789999999997</v>
      </c>
      <c r="HC44" s="168">
        <f t="shared" si="101"/>
        <v>15044.893</v>
      </c>
      <c r="HD44" s="168">
        <f t="shared" si="126"/>
        <v>60836.731999999989</v>
      </c>
      <c r="HE44" s="242">
        <v>416.35</v>
      </c>
      <c r="HF44" s="224">
        <v>243.351</v>
      </c>
      <c r="HG44" s="224"/>
      <c r="HH44" s="224">
        <v>7631.3310000000001</v>
      </c>
      <c r="HI44" s="168">
        <f t="shared" si="127"/>
        <v>8291.0319999999992</v>
      </c>
      <c r="HJ44" s="242">
        <v>282.41300000000001</v>
      </c>
      <c r="HK44" s="224"/>
      <c r="HL44" s="224">
        <v>7309.9849999999997</v>
      </c>
      <c r="HM44" s="224">
        <v>1726.0540000000001</v>
      </c>
      <c r="HN44" s="243">
        <v>114.57</v>
      </c>
      <c r="HO44" s="168">
        <f t="shared" si="128"/>
        <v>9433.021999999999</v>
      </c>
      <c r="HP44" s="242">
        <v>659.23</v>
      </c>
      <c r="HQ44" s="224"/>
      <c r="HR44" s="224"/>
      <c r="HS44" s="224">
        <v>375.916</v>
      </c>
      <c r="HT44" s="243">
        <v>490.036</v>
      </c>
      <c r="HU44" s="168">
        <f t="shared" si="129"/>
        <v>1525.182</v>
      </c>
      <c r="HV44" s="242"/>
      <c r="HW44" s="224"/>
      <c r="HX44" s="224">
        <v>5287.31</v>
      </c>
      <c r="HY44" s="168">
        <f t="shared" si="102"/>
        <v>5287.31</v>
      </c>
      <c r="HZ44" s="242">
        <v>3350.9430000000002</v>
      </c>
      <c r="IA44" s="224">
        <v>704.56399999999996</v>
      </c>
      <c r="IB44" s="243">
        <v>575.68600000000004</v>
      </c>
      <c r="IC44" s="168">
        <f t="shared" si="130"/>
        <v>4631.1930000000002</v>
      </c>
      <c r="ID44" s="168">
        <f t="shared" si="103"/>
        <v>29167.738999999998</v>
      </c>
      <c r="IE44" s="242"/>
      <c r="IF44" s="243">
        <v>177.79</v>
      </c>
      <c r="IG44" s="168">
        <f t="shared" si="131"/>
        <v>177.79</v>
      </c>
      <c r="IH44" s="242">
        <v>997.39400000000001</v>
      </c>
      <c r="II44" s="224">
        <v>1405.5260000000001</v>
      </c>
      <c r="IJ44" s="224">
        <v>116.14400000000001</v>
      </c>
      <c r="IK44" s="224">
        <v>5422.8220000000001</v>
      </c>
      <c r="IL44" s="243">
        <v>5233.5569999999998</v>
      </c>
      <c r="IM44" s="168">
        <f t="shared" si="132"/>
        <v>13175.442999999999</v>
      </c>
      <c r="IN44" s="242">
        <v>2183.7510000000002</v>
      </c>
      <c r="IO44" s="224">
        <v>6385.7830000000004</v>
      </c>
      <c r="IP44" s="243">
        <v>4585.8</v>
      </c>
      <c r="IQ44" s="168">
        <f t="shared" si="133"/>
        <v>13155.333999999999</v>
      </c>
      <c r="IR44" s="242">
        <v>5313.1409999999996</v>
      </c>
      <c r="IS44" s="224">
        <v>2239.808</v>
      </c>
      <c r="IT44" s="224">
        <v>623.43299999999999</v>
      </c>
      <c r="IU44" s="224"/>
      <c r="IV44" s="243">
        <v>693.35199999999998</v>
      </c>
      <c r="IW44" s="168">
        <f t="shared" si="134"/>
        <v>8869.7340000000004</v>
      </c>
      <c r="IX44" s="242">
        <v>1896.394</v>
      </c>
      <c r="IY44" s="224">
        <v>902.62800000000004</v>
      </c>
      <c r="IZ44" s="224">
        <v>6509.6210000000001</v>
      </c>
      <c r="JA44" s="224">
        <v>727.46</v>
      </c>
      <c r="JB44" s="243">
        <v>115.218</v>
      </c>
      <c r="JC44" s="168">
        <f t="shared" si="135"/>
        <v>10151.321</v>
      </c>
      <c r="JD44" s="168">
        <f t="shared" si="104"/>
        <v>45529.622000000003</v>
      </c>
      <c r="JE44" s="242">
        <v>2195.8090000000002</v>
      </c>
      <c r="JF44" s="224">
        <v>5010.5990000000002</v>
      </c>
      <c r="JG44" s="224">
        <v>1700.057</v>
      </c>
      <c r="JH44" s="224">
        <v>8723.1090000000004</v>
      </c>
      <c r="JI44" s="243"/>
      <c r="JJ44" s="168">
        <f t="shared" si="136"/>
        <v>17629.574000000001</v>
      </c>
      <c r="JK44" s="242"/>
      <c r="JL44" s="224"/>
      <c r="JM44" s="224"/>
      <c r="JN44" s="224"/>
      <c r="JO44" s="243"/>
      <c r="JP44" s="168">
        <f t="shared" si="137"/>
        <v>0</v>
      </c>
      <c r="JQ44" s="242"/>
      <c r="JR44" s="224"/>
      <c r="JS44" s="224"/>
      <c r="JT44" s="224"/>
      <c r="JU44" s="243"/>
      <c r="JV44" s="168">
        <f t="shared" si="138"/>
        <v>0</v>
      </c>
      <c r="JW44" s="242"/>
      <c r="JX44" s="224"/>
      <c r="JY44" s="224"/>
      <c r="JZ44" s="224"/>
      <c r="KA44" s="224"/>
      <c r="KB44" s="243"/>
      <c r="KC44" s="168">
        <f t="shared" si="139"/>
        <v>0</v>
      </c>
      <c r="KD44" s="168">
        <f t="shared" si="105"/>
        <v>17629.574000000001</v>
      </c>
      <c r="KE44" s="242"/>
      <c r="KF44" s="224"/>
      <c r="KG44" s="224"/>
      <c r="KH44" s="224"/>
      <c r="KI44" s="243"/>
      <c r="KJ44" s="168">
        <f>SUM(KE44:KI44)</f>
        <v>0</v>
      </c>
      <c r="KK44" s="242"/>
      <c r="KL44" s="224"/>
      <c r="KM44" s="224"/>
      <c r="KN44" s="224"/>
      <c r="KO44" s="243"/>
      <c r="KP44" s="168">
        <f>SUM(KK44:KO44)</f>
        <v>0</v>
      </c>
      <c r="KQ44" s="242"/>
      <c r="KR44" s="224"/>
      <c r="KS44" s="224"/>
      <c r="KT44" s="224"/>
      <c r="KU44" s="243"/>
      <c r="KV44" s="168">
        <f>SUM(KQ44:KU44)</f>
        <v>0</v>
      </c>
      <c r="KW44" s="242"/>
      <c r="KX44" s="224"/>
      <c r="KY44" s="224"/>
      <c r="KZ44" s="224"/>
      <c r="LA44" s="243"/>
      <c r="LB44" s="168">
        <f>SUM(KW44:LA44)</f>
        <v>0</v>
      </c>
      <c r="LC44" s="242"/>
      <c r="LD44" s="224"/>
      <c r="LE44" s="243"/>
      <c r="LF44" s="168">
        <f>SUM(LC44:LE44)</f>
        <v>0</v>
      </c>
      <c r="LG44" s="168">
        <f t="shared" si="140"/>
        <v>0</v>
      </c>
    </row>
    <row r="45" spans="2:322">
      <c r="B45" s="93" t="s">
        <v>374</v>
      </c>
      <c r="C45" s="167">
        <f>464.476+387.59</f>
        <v>852.06600000000003</v>
      </c>
      <c r="D45" s="181">
        <f t="shared" si="106"/>
        <v>852.06600000000003</v>
      </c>
      <c r="E45" s="167">
        <v>4675.38</v>
      </c>
      <c r="F45" s="177">
        <f>6132.63+7839.975</f>
        <v>13972.605</v>
      </c>
      <c r="G45" s="177">
        <v>328.78199999999998</v>
      </c>
      <c r="H45" s="177">
        <f>4515.094+2854.007</f>
        <v>7369.1010000000006</v>
      </c>
      <c r="I45" s="178">
        <f>651.091+10303.77</f>
        <v>10954.861000000001</v>
      </c>
      <c r="J45" s="181">
        <f t="shared" si="107"/>
        <v>37300.729000000007</v>
      </c>
      <c r="K45" s="167">
        <v>10441.587</v>
      </c>
      <c r="L45" s="177">
        <v>4500.2190000000001</v>
      </c>
      <c r="M45" s="177">
        <f>11324.732+4963.833</f>
        <v>16288.564999999999</v>
      </c>
      <c r="N45" s="178">
        <v>2673.3890000000001</v>
      </c>
      <c r="O45" s="181">
        <f t="shared" si="108"/>
        <v>33903.760000000002</v>
      </c>
      <c r="P45" s="167">
        <f>12173.279+2556.691</f>
        <v>14729.970000000001</v>
      </c>
      <c r="Q45" s="177">
        <f>13515.767+17079.467</f>
        <v>30595.234</v>
      </c>
      <c r="R45" s="177">
        <v>371.721</v>
      </c>
      <c r="S45" s="177">
        <v>1471.2739999999999</v>
      </c>
      <c r="T45" s="178">
        <f>3021.594+1290.608</f>
        <v>4312.2020000000002</v>
      </c>
      <c r="U45" s="168">
        <f t="shared" si="109"/>
        <v>51480.400999999991</v>
      </c>
      <c r="V45" s="167">
        <f>1200.436+7435.622</f>
        <v>8636.0580000000009</v>
      </c>
      <c r="W45" s="177">
        <f>3955.039+4567.752</f>
        <v>8522.7910000000011</v>
      </c>
      <c r="X45" s="177">
        <v>10284.482</v>
      </c>
      <c r="Y45" s="177">
        <v>2880.538</v>
      </c>
      <c r="Z45" s="205">
        <f>33+13145.458</f>
        <v>13178.458000000001</v>
      </c>
      <c r="AA45" s="168">
        <f t="shared" si="80"/>
        <v>43502.327000000005</v>
      </c>
      <c r="AB45" s="168">
        <f t="shared" si="110"/>
        <v>167039.283</v>
      </c>
      <c r="AC45" s="242">
        <f>3198.299+5100.824</f>
        <v>8299.1229999999996</v>
      </c>
      <c r="AD45" s="224">
        <v>8507.9310000000005</v>
      </c>
      <c r="AE45" s="224">
        <v>2086.2869999999998</v>
      </c>
      <c r="AF45" s="224">
        <f>15397.147+9515.46</f>
        <v>24912.607</v>
      </c>
      <c r="AG45" s="243">
        <f>4719.552+7014.676</f>
        <v>11734.227999999999</v>
      </c>
      <c r="AH45" s="168">
        <f t="shared" si="111"/>
        <v>55540.176000000007</v>
      </c>
      <c r="AI45" s="242">
        <v>801.01199999999994</v>
      </c>
      <c r="AJ45" s="224">
        <f>3391.891+8519.523</f>
        <v>11911.413999999999</v>
      </c>
      <c r="AK45" s="224">
        <v>5367.5959999999995</v>
      </c>
      <c r="AL45" s="224">
        <v>12055.183000000001</v>
      </c>
      <c r="AM45" s="243">
        <f>2122.563+80</f>
        <v>2202.5630000000001</v>
      </c>
      <c r="AN45" s="168">
        <f t="shared" si="112"/>
        <v>32337.767999999996</v>
      </c>
      <c r="AO45" s="242">
        <f>1035.506+4420.835</f>
        <v>5456.3410000000003</v>
      </c>
      <c r="AP45" s="224">
        <v>314.03199999999998</v>
      </c>
      <c r="AQ45" s="224">
        <f>11735.43+16596.012</f>
        <v>28331.441999999999</v>
      </c>
      <c r="AR45" s="224">
        <f>5114.162+10890.806</f>
        <v>16004.968000000001</v>
      </c>
      <c r="AS45" s="243">
        <v>10657.174000000001</v>
      </c>
      <c r="AT45" s="168">
        <f t="shared" si="113"/>
        <v>60763.957000000002</v>
      </c>
      <c r="AU45" s="242"/>
      <c r="AV45" s="224">
        <v>5219.2579999999998</v>
      </c>
      <c r="AW45" s="224">
        <f>276.763+13532.017</f>
        <v>13808.78</v>
      </c>
      <c r="AX45" s="224">
        <f>778.86+207.59+179.624+216.204+1450.546+100+139.032+139.976+139.976+155.316+513.197+493.672+300.2+290.78+279.452+2713.674</f>
        <v>8098.0990000000002</v>
      </c>
      <c r="AY45" s="243">
        <v>531.29999999999995</v>
      </c>
      <c r="AZ45" s="168">
        <f t="shared" si="114"/>
        <v>27657.437000000002</v>
      </c>
      <c r="BA45" s="168">
        <f t="shared" si="81"/>
        <v>176299.33799999999</v>
      </c>
      <c r="BB45" s="242">
        <f>3943.716+4792.239</f>
        <v>8735.9549999999999</v>
      </c>
      <c r="BC45" s="224">
        <f>9028.179+27461.777</f>
        <v>36489.955999999998</v>
      </c>
      <c r="BD45" s="224">
        <f>3858.007</f>
        <v>3858.0070000000001</v>
      </c>
      <c r="BE45" s="224">
        <f>3240.946+7434.15</f>
        <v>10675.096</v>
      </c>
      <c r="BF45" s="243">
        <v>80</v>
      </c>
      <c r="BG45" s="168">
        <f>SUM(BB45:BF45)</f>
        <v>59839.013999999996</v>
      </c>
      <c r="BH45" s="242">
        <v>2964.1219999999998</v>
      </c>
      <c r="BI45" s="224">
        <f>682.092+14342.224</f>
        <v>15024.316000000001</v>
      </c>
      <c r="BJ45" s="224">
        <f>5135.935+338.438</f>
        <v>5474.3730000000005</v>
      </c>
      <c r="BK45" s="224">
        <f>2578.709+3565.197</f>
        <v>6143.9059999999999</v>
      </c>
      <c r="BL45" s="243">
        <v>2287.1010000000001</v>
      </c>
      <c r="BM45" s="168">
        <f t="shared" si="82"/>
        <v>31893.817999999999</v>
      </c>
      <c r="BN45" s="242">
        <v>4334.1689999999999</v>
      </c>
      <c r="BO45" s="224">
        <f>371.39+2410.788</f>
        <v>2782.1779999999999</v>
      </c>
      <c r="BP45" s="224">
        <f>7647.919+23529.961</f>
        <v>31177.879999999997</v>
      </c>
      <c r="BQ45" s="243">
        <v>1615.9159999999999</v>
      </c>
      <c r="BR45" s="168">
        <f t="shared" si="83"/>
        <v>39910.142999999996</v>
      </c>
      <c r="BS45" s="242">
        <f>2419.756+2992.152</f>
        <v>5411.9079999999994</v>
      </c>
      <c r="BT45" s="224">
        <f>1057.522+7794.479</f>
        <v>8852.0010000000002</v>
      </c>
      <c r="BU45" s="224">
        <v>1552.3879999999999</v>
      </c>
      <c r="BV45" s="224">
        <v>666.803</v>
      </c>
      <c r="BW45" s="243">
        <v>941.52200000000005</v>
      </c>
      <c r="BX45" s="239">
        <f t="shared" si="115"/>
        <v>17424.621999999999</v>
      </c>
      <c r="BY45" s="242">
        <f>13555.002+1097.112</f>
        <v>14652.114000000001</v>
      </c>
      <c r="BZ45" s="224">
        <f>2218.648+1096.522</f>
        <v>3315.17</v>
      </c>
      <c r="CA45" s="168">
        <f t="shared" si="84"/>
        <v>17967.284</v>
      </c>
      <c r="CB45" s="168">
        <f t="shared" si="85"/>
        <v>167034.88099999999</v>
      </c>
      <c r="CC45" s="242">
        <f>2494.044+9071.204</f>
        <v>11565.248</v>
      </c>
      <c r="CD45" s="224">
        <f>8106.048+629.44</f>
        <v>8735.4879999999994</v>
      </c>
      <c r="CE45" s="224">
        <f>4717.3+1147.167</f>
        <v>5864.4670000000006</v>
      </c>
      <c r="CF45" s="168">
        <f t="shared" si="86"/>
        <v>26165.202999999998</v>
      </c>
      <c r="CG45" s="242">
        <f>1211.394+4305.512</f>
        <v>5516.9059999999999</v>
      </c>
      <c r="CH45" s="224">
        <v>2295.04</v>
      </c>
      <c r="CI45" s="224">
        <f>14478.297+160</f>
        <v>14638.297</v>
      </c>
      <c r="CJ45" s="243"/>
      <c r="CK45" s="168">
        <f t="shared" si="87"/>
        <v>22450.243000000002</v>
      </c>
      <c r="CL45" s="242">
        <v>1704.5039999999999</v>
      </c>
      <c r="CM45" s="224">
        <f>8078.142+3723.182</f>
        <v>11801.324000000001</v>
      </c>
      <c r="CN45" s="224">
        <v>7804.0339999999997</v>
      </c>
      <c r="CO45" s="224">
        <f>3320.309+263.547</f>
        <v>3583.8560000000002</v>
      </c>
      <c r="CP45" s="243">
        <v>2608.491</v>
      </c>
      <c r="CQ45" s="168">
        <f t="shared" si="88"/>
        <v>27502.209000000003</v>
      </c>
      <c r="CR45" s="242">
        <f>1098.598+7725.189</f>
        <v>8823.7870000000003</v>
      </c>
      <c r="CS45" s="224"/>
      <c r="CT45" s="224">
        <v>17523.018</v>
      </c>
      <c r="CU45" s="224">
        <v>4734.5640000000003</v>
      </c>
      <c r="CV45" s="243">
        <f>4961.376+96.257</f>
        <v>5057.6329999999998</v>
      </c>
      <c r="CW45" s="168">
        <f t="shared" si="89"/>
        <v>36139.002</v>
      </c>
      <c r="CX45" s="242">
        <f>661.284+3929.19</f>
        <v>4590.4740000000002</v>
      </c>
      <c r="CY45" s="224">
        <f>630.697+7414.464</f>
        <v>8045.1610000000001</v>
      </c>
      <c r="CZ45" s="224">
        <f>7133.707+3364.318</f>
        <v>10498.025000000001</v>
      </c>
      <c r="DA45" s="243">
        <v>2716.5239999999999</v>
      </c>
      <c r="DB45" s="168">
        <f t="shared" si="90"/>
        <v>25850.184000000005</v>
      </c>
      <c r="DC45" s="168">
        <f t="shared" si="91"/>
        <v>138106.84100000001</v>
      </c>
      <c r="DD45" s="242">
        <f>3059.848+2701.179</f>
        <v>5761.027</v>
      </c>
      <c r="DE45" s="224">
        <f>7340.31+7259.067</f>
        <v>14599.377</v>
      </c>
      <c r="DF45" s="224">
        <f>920+7547.057</f>
        <v>8467.0570000000007</v>
      </c>
      <c r="DG45" s="224">
        <f>3350+19790.895</f>
        <v>23140.895</v>
      </c>
      <c r="DH45" s="224">
        <v>155.81800000000001</v>
      </c>
      <c r="DI45" s="168">
        <f t="shared" si="116"/>
        <v>52124.173999999999</v>
      </c>
      <c r="DJ45" s="242">
        <f>3186.727+191.07</f>
        <v>3377.797</v>
      </c>
      <c r="DK45" s="224">
        <f>2434.663+2004.639</f>
        <v>4439.3019999999997</v>
      </c>
      <c r="DL45" s="224">
        <v>3861.4659999999999</v>
      </c>
      <c r="DM45" s="224">
        <v>4012.0439999999999</v>
      </c>
      <c r="DN45" s="243"/>
      <c r="DO45" s="168">
        <f t="shared" si="117"/>
        <v>15690.609</v>
      </c>
      <c r="DP45" s="242">
        <v>3909.3679999999999</v>
      </c>
      <c r="DQ45" s="224">
        <v>10506.484</v>
      </c>
      <c r="DR45" s="224">
        <v>6079.2669999999998</v>
      </c>
      <c r="DS45" s="224">
        <v>2714.6480000000001</v>
      </c>
      <c r="DT45" s="243">
        <v>3366.0059999999999</v>
      </c>
      <c r="DU45" s="168">
        <f t="shared" si="92"/>
        <v>26575.773000000001</v>
      </c>
      <c r="DV45" s="242">
        <v>11249.824000000001</v>
      </c>
      <c r="DW45" s="224">
        <v>1372.4849999999999</v>
      </c>
      <c r="DX45" s="224">
        <f>21941.937+1745.336</f>
        <v>23687.273000000001</v>
      </c>
      <c r="DY45" s="224">
        <v>5449.1369999999997</v>
      </c>
      <c r="DZ45" s="243">
        <v>2190.6480000000001</v>
      </c>
      <c r="EA45" s="168">
        <f t="shared" si="93"/>
        <v>43949.367000000006</v>
      </c>
      <c r="EB45" s="168">
        <f t="shared" si="94"/>
        <v>138339.92300000001</v>
      </c>
      <c r="EC45" s="242">
        <v>5209.1930000000002</v>
      </c>
      <c r="ED45" s="224">
        <v>13241.681</v>
      </c>
      <c r="EE45" s="224">
        <v>17973.364000000001</v>
      </c>
      <c r="EF45" s="224">
        <v>8054.0829999999996</v>
      </c>
      <c r="EG45" s="243">
        <v>7530.692</v>
      </c>
      <c r="EH45" s="168">
        <f t="shared" si="118"/>
        <v>52009.012999999999</v>
      </c>
      <c r="EI45" s="242">
        <v>4028.22</v>
      </c>
      <c r="EJ45" s="224">
        <f>4044.649+4274.162</f>
        <v>8318.8109999999997</v>
      </c>
      <c r="EK45" s="224">
        <f>1277.128+4301.98</f>
        <v>5579.1079999999993</v>
      </c>
      <c r="EL45" s="224">
        <f>11649.652-4000</f>
        <v>7649.652</v>
      </c>
      <c r="EM45" s="243">
        <v>5259.6</v>
      </c>
      <c r="EN45" s="168">
        <f t="shared" si="119"/>
        <v>30835.390999999996</v>
      </c>
      <c r="EO45" s="242">
        <f>4305.475+3031.48</f>
        <v>7336.9549999999999</v>
      </c>
      <c r="EP45" s="224">
        <f>4099.992+3563.919</f>
        <v>7663.9110000000001</v>
      </c>
      <c r="EQ45" s="224">
        <f>1584.37+1018.49</f>
        <v>2602.8599999999997</v>
      </c>
      <c r="ER45" s="224">
        <f>9268.949+10696.693</f>
        <v>19965.642</v>
      </c>
      <c r="ES45" s="243">
        <f>3918.892+456.39</f>
        <v>4375.2820000000002</v>
      </c>
      <c r="ET45" s="168">
        <f t="shared" si="120"/>
        <v>41944.65</v>
      </c>
      <c r="EU45" s="242">
        <v>5456.0649999999996</v>
      </c>
      <c r="EV45" s="224">
        <v>10428.992</v>
      </c>
      <c r="EW45" s="224">
        <f>2977.673+8411.086</f>
        <v>11388.758999999998</v>
      </c>
      <c r="EX45" s="224">
        <v>1298.2639999999999</v>
      </c>
      <c r="EY45" s="224">
        <f>9731.525</f>
        <v>9731.5249999999996</v>
      </c>
      <c r="EZ45" s="224">
        <v>1709.1120000000001</v>
      </c>
      <c r="FA45" s="243">
        <f>298.073+108.47</f>
        <v>406.54300000000001</v>
      </c>
      <c r="FB45" s="168">
        <f t="shared" si="121"/>
        <v>40419.259999999995</v>
      </c>
      <c r="FC45" s="168">
        <f t="shared" si="95"/>
        <v>165208.31400000001</v>
      </c>
      <c r="FD45" s="242">
        <f>3352.231+3821.033</f>
        <v>7173.2640000000001</v>
      </c>
      <c r="FE45" s="224">
        <v>22139.955999999998</v>
      </c>
      <c r="FF45" s="243">
        <f>1294.864+3265.997</f>
        <v>4560.8609999999999</v>
      </c>
      <c r="FG45" s="168">
        <f t="shared" si="122"/>
        <v>33874.080999999998</v>
      </c>
      <c r="FH45" s="242">
        <f>6725.377+350</f>
        <v>7075.3770000000004</v>
      </c>
      <c r="FI45" s="224">
        <v>9677.1949999999997</v>
      </c>
      <c r="FJ45" s="224">
        <f>3094.52</f>
        <v>3094.52</v>
      </c>
      <c r="FK45" s="224">
        <v>4355.5219999999999</v>
      </c>
      <c r="FL45" s="243">
        <f>3303.45+3911.757</f>
        <v>7215.2070000000003</v>
      </c>
      <c r="FM45" s="168">
        <f t="shared" si="123"/>
        <v>31417.821000000004</v>
      </c>
      <c r="FN45" s="242">
        <v>5874.4620000000004</v>
      </c>
      <c r="FO45" s="224">
        <v>2074.5349999999999</v>
      </c>
      <c r="FP45" s="224">
        <f>450+264.23</f>
        <v>714.23</v>
      </c>
      <c r="FQ45" s="224">
        <v>2528.7539999999999</v>
      </c>
      <c r="FR45" s="168">
        <f t="shared" si="96"/>
        <v>11191.981</v>
      </c>
      <c r="FS45" s="242">
        <f>583.525+10448.091</f>
        <v>11031.616</v>
      </c>
      <c r="FT45" s="224">
        <v>1367.44</v>
      </c>
      <c r="FU45" s="224">
        <v>1091.8340000000001</v>
      </c>
      <c r="FV45" s="224">
        <v>7306.5150000000003</v>
      </c>
      <c r="FW45" s="243">
        <v>1684.3889999999999</v>
      </c>
      <c r="FX45" s="168">
        <f t="shared" si="124"/>
        <v>22481.794000000002</v>
      </c>
      <c r="FY45" s="242">
        <v>139.03200000000001</v>
      </c>
      <c r="FZ45" s="224">
        <f>1477.618+2715.879</f>
        <v>4193.4969999999994</v>
      </c>
      <c r="GA45" s="224">
        <f>16781.809+1902.562</f>
        <v>18684.370999999999</v>
      </c>
      <c r="GB45" s="224">
        <f>950.79+11347.106</f>
        <v>12297.896000000001</v>
      </c>
      <c r="GC45" s="243">
        <v>16495.946</v>
      </c>
      <c r="GD45" s="168">
        <f t="shared" si="97"/>
        <v>51810.741999999998</v>
      </c>
      <c r="GE45" s="168">
        <f t="shared" si="98"/>
        <v>150776.41899999999</v>
      </c>
      <c r="GF45" s="242">
        <v>187.25899999999999</v>
      </c>
      <c r="GG45" s="224">
        <f>10642.72+6363.879</f>
        <v>17006.598999999998</v>
      </c>
      <c r="GH45" s="224">
        <v>108.47</v>
      </c>
      <c r="GI45" s="224">
        <v>8248.3080000000009</v>
      </c>
      <c r="GJ45" s="224">
        <v>890.673</v>
      </c>
      <c r="GK45" s="168">
        <f t="shared" si="125"/>
        <v>26441.308999999997</v>
      </c>
      <c r="GL45" s="242">
        <f>3847.021+108.47</f>
        <v>3955.491</v>
      </c>
      <c r="GM45" s="224">
        <v>306.97399999999999</v>
      </c>
      <c r="GN45" s="224">
        <v>139</v>
      </c>
      <c r="GO45" s="243">
        <f>31095.177+2694.989</f>
        <v>33790.165999999997</v>
      </c>
      <c r="GP45" s="168">
        <f t="shared" si="99"/>
        <v>38191.630999999994</v>
      </c>
      <c r="GQ45" s="242">
        <v>431.90800000000002</v>
      </c>
      <c r="GR45" s="224">
        <f>9936.881+2344.543</f>
        <v>12281.423999999999</v>
      </c>
      <c r="GS45" s="224">
        <v>14460.071</v>
      </c>
      <c r="GT45" s="224">
        <f>6119.196+1623.976</f>
        <v>7743.1720000000005</v>
      </c>
      <c r="GU45" s="243">
        <v>1610.7670000000001</v>
      </c>
      <c r="GV45" s="168">
        <f t="shared" si="100"/>
        <v>36527.341999999997</v>
      </c>
      <c r="GW45" s="242">
        <v>3665.0770000000002</v>
      </c>
      <c r="GX45" s="224">
        <v>9151.3230000000003</v>
      </c>
      <c r="GY45" s="224">
        <f>11675.492+105.5</f>
        <v>11780.992</v>
      </c>
      <c r="GZ45" s="224">
        <v>1252.8440000000001</v>
      </c>
      <c r="HA45" s="224">
        <v>10654.668</v>
      </c>
      <c r="HB45" s="243">
        <f>1170+2308.428</f>
        <v>3478.4279999999999</v>
      </c>
      <c r="HC45" s="168">
        <f t="shared" si="101"/>
        <v>39983.332000000002</v>
      </c>
      <c r="HD45" s="168">
        <f t="shared" si="126"/>
        <v>141143.61399999997</v>
      </c>
      <c r="HE45" s="242">
        <f>2933.637+1242.149</f>
        <v>4175.7860000000001</v>
      </c>
      <c r="HF45" s="224">
        <f>695.74+5106.722</f>
        <v>5802.4619999999995</v>
      </c>
      <c r="HG45" s="224">
        <f>10508.114+17934.24</f>
        <v>28442.353999999999</v>
      </c>
      <c r="HH45" s="224">
        <f>950+4041.248</f>
        <v>4991.2479999999996</v>
      </c>
      <c r="HI45" s="168">
        <f t="shared" si="127"/>
        <v>43411.85</v>
      </c>
      <c r="HJ45" s="242">
        <f>869.229+2691.917</f>
        <v>3561.1459999999997</v>
      </c>
      <c r="HK45" s="224">
        <v>531.07500000000005</v>
      </c>
      <c r="HL45" s="224">
        <v>2060.1559999999999</v>
      </c>
      <c r="HM45" s="224">
        <v>6758.9679999999998</v>
      </c>
      <c r="HN45" s="243">
        <v>9550.0069999999996</v>
      </c>
      <c r="HO45" s="168">
        <f t="shared" si="128"/>
        <v>22461.351999999999</v>
      </c>
      <c r="HP45" s="242"/>
      <c r="HQ45" s="224">
        <v>2186.5650000000001</v>
      </c>
      <c r="HR45" s="224">
        <v>1323.9570000000001</v>
      </c>
      <c r="HS45" s="224">
        <v>25016.316999999999</v>
      </c>
      <c r="HT45" s="243">
        <f>13148.074+1527.922</f>
        <v>14675.996000000001</v>
      </c>
      <c r="HU45" s="168">
        <f t="shared" si="129"/>
        <v>43202.834999999999</v>
      </c>
      <c r="HV45" s="242">
        <v>14331.558999999999</v>
      </c>
      <c r="HW45" s="224">
        <f>10966.298+2451.882</f>
        <v>13418.18</v>
      </c>
      <c r="HX45" s="224">
        <f>344.636+6350.161</f>
        <v>6694.7970000000005</v>
      </c>
      <c r="HY45" s="168">
        <f t="shared" si="102"/>
        <v>34444.536</v>
      </c>
      <c r="HZ45" s="242">
        <f>5344.943+183.99</f>
        <v>5528.933</v>
      </c>
      <c r="IA45" s="224">
        <v>2511.0529999999999</v>
      </c>
      <c r="IB45" s="243">
        <f>139.966+25229.429</f>
        <v>25369.395</v>
      </c>
      <c r="IC45" s="168">
        <f t="shared" si="130"/>
        <v>33409.381000000001</v>
      </c>
      <c r="ID45" s="168">
        <f t="shared" si="103"/>
        <v>176929.95399999997</v>
      </c>
      <c r="IE45" s="242">
        <f>1170.565+13660.948</f>
        <v>14831.513000000001</v>
      </c>
      <c r="IF45" s="243">
        <f>830+2192.706</f>
        <v>3022.7060000000001</v>
      </c>
      <c r="IG45" s="168">
        <f t="shared" si="131"/>
        <v>17854.219000000001</v>
      </c>
      <c r="IH45" s="242">
        <f>11139.817+13456.107</f>
        <v>24595.923999999999</v>
      </c>
      <c r="II45" s="224">
        <f>2500+462.256</f>
        <v>2962.2559999999999</v>
      </c>
      <c r="IJ45" s="224">
        <f>2669.647+13409.753</f>
        <v>16079.400000000001</v>
      </c>
      <c r="IK45" s="224">
        <f>7555.682+20958.732</f>
        <v>28514.414000000001</v>
      </c>
      <c r="IL45" s="243">
        <f>4222.502+5078.955</f>
        <v>9301.4570000000003</v>
      </c>
      <c r="IM45" s="168">
        <f t="shared" si="132"/>
        <v>81453.451000000001</v>
      </c>
      <c r="IN45" s="242">
        <f>115+1512.664</f>
        <v>1627.664</v>
      </c>
      <c r="IO45" s="224">
        <v>4119.5020000000004</v>
      </c>
      <c r="IP45" s="243">
        <v>4969.5770000000002</v>
      </c>
      <c r="IQ45" s="168">
        <f t="shared" si="133"/>
        <v>10716.743</v>
      </c>
      <c r="IR45" s="242">
        <v>921.97699999999998</v>
      </c>
      <c r="IS45" s="224">
        <f>6521.87+14515.939</f>
        <v>21037.809000000001</v>
      </c>
      <c r="IT45" s="224"/>
      <c r="IU45" s="224">
        <f>737.282+5229.09</f>
        <v>5966.3720000000003</v>
      </c>
      <c r="IV45" s="243">
        <f>19343.622+586.724</f>
        <v>19930.345999999998</v>
      </c>
      <c r="IW45" s="168">
        <f t="shared" si="134"/>
        <v>47856.504000000001</v>
      </c>
      <c r="IX45" s="242">
        <v>5503.3860000000004</v>
      </c>
      <c r="IY45" s="224">
        <f>10467.726+5078.908</f>
        <v>15546.634000000002</v>
      </c>
      <c r="IZ45" s="224">
        <f>482.926+6561.862</f>
        <v>7044.7880000000005</v>
      </c>
      <c r="JA45" s="224">
        <f>6807.477+1315.182</f>
        <v>8122.6589999999997</v>
      </c>
      <c r="JB45" s="243">
        <v>2514.6019999999999</v>
      </c>
      <c r="JC45" s="168">
        <f t="shared" si="135"/>
        <v>38732.069000000003</v>
      </c>
      <c r="JD45" s="168">
        <f t="shared" si="104"/>
        <v>196612.98600000003</v>
      </c>
      <c r="JE45" s="242">
        <f>1143.535+5301.219</f>
        <v>6444.7539999999999</v>
      </c>
      <c r="JF45" s="224">
        <f>4598.556+1850</f>
        <v>6448.5559999999996</v>
      </c>
      <c r="JG45" s="224"/>
      <c r="JH45" s="224">
        <f>16166.142+9125.157</f>
        <v>25291.298999999999</v>
      </c>
      <c r="JI45" s="243">
        <v>5034.0810000000001</v>
      </c>
      <c r="JJ45" s="168">
        <f t="shared" si="136"/>
        <v>43218.689999999995</v>
      </c>
      <c r="JK45" s="242"/>
      <c r="JL45" s="224"/>
      <c r="JM45" s="224"/>
      <c r="JN45" s="224"/>
      <c r="JO45" s="243"/>
      <c r="JP45" s="168">
        <f t="shared" si="137"/>
        <v>0</v>
      </c>
      <c r="JQ45" s="242"/>
      <c r="JR45" s="224"/>
      <c r="JS45" s="224"/>
      <c r="JT45" s="224"/>
      <c r="JU45" s="243"/>
      <c r="JV45" s="168">
        <f t="shared" si="138"/>
        <v>0</v>
      </c>
      <c r="JW45" s="242"/>
      <c r="JX45" s="224"/>
      <c r="JY45" s="224"/>
      <c r="JZ45" s="224"/>
      <c r="KA45" s="224"/>
      <c r="KB45" s="243"/>
      <c r="KC45" s="168">
        <f t="shared" si="139"/>
        <v>0</v>
      </c>
      <c r="KD45" s="168">
        <f t="shared" si="105"/>
        <v>43218.689999999995</v>
      </c>
      <c r="KE45" s="242"/>
      <c r="KF45" s="224"/>
      <c r="KG45" s="224"/>
      <c r="KH45" s="224"/>
      <c r="KI45" s="243"/>
      <c r="KJ45" s="168">
        <f>SUM(KE45:KI45)</f>
        <v>0</v>
      </c>
      <c r="KK45" s="242"/>
      <c r="KL45" s="224"/>
      <c r="KM45" s="224"/>
      <c r="KN45" s="224"/>
      <c r="KO45" s="243"/>
      <c r="KP45" s="168">
        <f>SUM(KK45:KO45)</f>
        <v>0</v>
      </c>
      <c r="KQ45" s="242"/>
      <c r="KR45" s="224"/>
      <c r="KS45" s="224"/>
      <c r="KT45" s="224"/>
      <c r="KU45" s="243"/>
      <c r="KV45" s="168">
        <f>SUM(KQ45:KU45)</f>
        <v>0</v>
      </c>
      <c r="KW45" s="242"/>
      <c r="KX45" s="224"/>
      <c r="KY45" s="224"/>
      <c r="KZ45" s="224"/>
      <c r="LA45" s="243"/>
      <c r="LB45" s="168">
        <f>SUM(KW45:LA45)</f>
        <v>0</v>
      </c>
      <c r="LC45" s="242"/>
      <c r="LD45" s="224"/>
      <c r="LE45" s="243"/>
      <c r="LF45" s="168">
        <f>SUM(LC45:LE45)</f>
        <v>0</v>
      </c>
      <c r="LG45" s="168">
        <v>175000</v>
      </c>
    </row>
    <row r="46" spans="2:322">
      <c r="B46" s="93" t="s">
        <v>375</v>
      </c>
      <c r="C46" s="167">
        <f>21182.071+16412.497</f>
        <v>37594.567999999999</v>
      </c>
      <c r="D46" s="181">
        <f t="shared" si="106"/>
        <v>37594.567999999999</v>
      </c>
      <c r="E46" s="167">
        <v>3000</v>
      </c>
      <c r="F46" s="177">
        <v>10000</v>
      </c>
      <c r="G46" s="177">
        <v>24073.487000000001</v>
      </c>
      <c r="H46" s="177">
        <f>7000+23427.088</f>
        <v>30427.088</v>
      </c>
      <c r="I46" s="178">
        <v>9036.7289999999994</v>
      </c>
      <c r="J46" s="181">
        <f t="shared" si="107"/>
        <v>76537.304000000004</v>
      </c>
      <c r="K46" s="167">
        <f>4268.896+6264.663</f>
        <v>10533.558999999999</v>
      </c>
      <c r="L46" s="177">
        <f>15937.237+3226.504</f>
        <v>19163.740999999998</v>
      </c>
      <c r="M46" s="177">
        <f>1097.7+10295.553</f>
        <v>11393.253000000001</v>
      </c>
      <c r="N46" s="178">
        <v>8288.2379999999994</v>
      </c>
      <c r="O46" s="181">
        <f t="shared" si="108"/>
        <v>49378.790999999997</v>
      </c>
      <c r="P46" s="167">
        <f>10548.317+15989.963</f>
        <v>26538.28</v>
      </c>
      <c r="Q46" s="177">
        <v>11600</v>
      </c>
      <c r="R46" s="177">
        <f>5984.224</f>
        <v>5984.2240000000002</v>
      </c>
      <c r="S46" s="177">
        <f>2222.926+12000</f>
        <v>14222.925999999999</v>
      </c>
      <c r="T46" s="178">
        <v>20062.133999999998</v>
      </c>
      <c r="U46" s="168">
        <f t="shared" si="109"/>
        <v>78407.563999999998</v>
      </c>
      <c r="V46" s="167">
        <f>8084.733+7976.961</f>
        <v>16061.694</v>
      </c>
      <c r="W46" s="177">
        <f>5138.495+40927.68</f>
        <v>46066.175000000003</v>
      </c>
      <c r="X46" s="177">
        <f>3383.828+12662.865</f>
        <v>16046.692999999999</v>
      </c>
      <c r="Y46" s="177">
        <f>6263.355+1742.73+2673.202+7256.934+7301.207+13225.893+8494.929</f>
        <v>46958.25</v>
      </c>
      <c r="Z46" s="205">
        <f>21944.425+3386.562</f>
        <v>25330.987000000001</v>
      </c>
      <c r="AA46" s="168">
        <f t="shared" si="80"/>
        <v>150463.799</v>
      </c>
      <c r="AB46" s="168">
        <f t="shared" si="110"/>
        <v>392382.02599999995</v>
      </c>
      <c r="AC46" s="242">
        <f>7734.322+5236.425</f>
        <v>12970.746999999999</v>
      </c>
      <c r="AD46" s="224">
        <f>3021.761+12746.73</f>
        <v>15768.491</v>
      </c>
      <c r="AE46" s="224">
        <f>3493.555+3000</f>
        <v>6493.5550000000003</v>
      </c>
      <c r="AF46" s="224">
        <v>5361.835</v>
      </c>
      <c r="AG46" s="243">
        <f>1285.112+2488.807</f>
        <v>3773.9189999999999</v>
      </c>
      <c r="AH46" s="168">
        <f t="shared" si="111"/>
        <v>44368.546999999999</v>
      </c>
      <c r="AI46" s="242">
        <f>13576.309+2673.385</f>
        <v>16249.694</v>
      </c>
      <c r="AJ46" s="224">
        <f>8652.565+6090.857</f>
        <v>14743.422</v>
      </c>
      <c r="AK46" s="224">
        <f>9000+6536.042</f>
        <v>15536.042000000001</v>
      </c>
      <c r="AL46" s="224">
        <f>14013.241+2718.333</f>
        <v>16731.574000000001</v>
      </c>
      <c r="AM46" s="243">
        <v>6196.9740000000002</v>
      </c>
      <c r="AN46" s="168">
        <f t="shared" si="112"/>
        <v>69457.706000000006</v>
      </c>
      <c r="AO46" s="242">
        <v>5844.8019999999997</v>
      </c>
      <c r="AP46" s="224">
        <f>12379.946+2480.197</f>
        <v>14860.143</v>
      </c>
      <c r="AQ46" s="224">
        <f>11365.279+16603.917</f>
        <v>27969.196000000004</v>
      </c>
      <c r="AR46" s="224">
        <v>2725.2220000000002</v>
      </c>
      <c r="AS46" s="243">
        <v>9705.4210000000003</v>
      </c>
      <c r="AT46" s="168">
        <f t="shared" si="113"/>
        <v>61104.784000000007</v>
      </c>
      <c r="AU46" s="242">
        <f>16058.447+7962.672</f>
        <v>24021.118999999999</v>
      </c>
      <c r="AV46" s="224">
        <f>52287.448+2908.037</f>
        <v>55195.484999999993</v>
      </c>
      <c r="AW46" s="224">
        <f>2228.726+2345.517</f>
        <v>4574.2430000000004</v>
      </c>
      <c r="AX46" s="224">
        <v>8741.0679999999993</v>
      </c>
      <c r="AY46" s="243">
        <f>9819.526+19256.829</f>
        <v>29076.355000000003</v>
      </c>
      <c r="AZ46" s="168">
        <f t="shared" si="114"/>
        <v>121608.26999999999</v>
      </c>
      <c r="BA46" s="168">
        <f t="shared" si="81"/>
        <v>296539.30700000003</v>
      </c>
      <c r="BB46" s="242">
        <f>10125.506+4595.221</f>
        <v>14720.726999999999</v>
      </c>
      <c r="BC46" s="224">
        <f>3751.054+10201.717</f>
        <v>13952.771000000001</v>
      </c>
      <c r="BD46" s="224">
        <v>1867.1510000000001</v>
      </c>
      <c r="BE46" s="224">
        <f>7219.764+16161.778</f>
        <v>23381.542000000001</v>
      </c>
      <c r="BF46" s="243">
        <f>2577.047+5000+977.011</f>
        <v>8554.0580000000009</v>
      </c>
      <c r="BG46" s="168">
        <f>SUM(BB46:BF46)</f>
        <v>62476.249000000011</v>
      </c>
      <c r="BH46" s="242">
        <v>9723.7109999999993</v>
      </c>
      <c r="BI46" s="224">
        <f>8010.211+1187.898</f>
        <v>9198.1090000000004</v>
      </c>
      <c r="BJ46" s="224">
        <f>4499.637+17250</f>
        <v>21749.636999999999</v>
      </c>
      <c r="BK46" s="224">
        <f>2903.197</f>
        <v>2903.1970000000001</v>
      </c>
      <c r="BL46" s="243">
        <f>5388.43+9034.738</f>
        <v>14423.168</v>
      </c>
      <c r="BM46" s="168">
        <f t="shared" si="82"/>
        <v>57997.821999999993</v>
      </c>
      <c r="BN46" s="242">
        <f>17539.992+5444.982</f>
        <v>22984.973999999998</v>
      </c>
      <c r="BO46" s="224">
        <f>3156.599+11041.212</f>
        <v>14197.811</v>
      </c>
      <c r="BP46" s="224">
        <f>2374.911+2700</f>
        <v>5074.9110000000001</v>
      </c>
      <c r="BQ46" s="243">
        <f>3335.909+5413.454</f>
        <v>8749.3629999999994</v>
      </c>
      <c r="BR46" s="168">
        <f t="shared" si="83"/>
        <v>51007.058999999994</v>
      </c>
      <c r="BS46" s="242">
        <f>9300.15+3756.174</f>
        <v>13056.324000000001</v>
      </c>
      <c r="BT46" s="224">
        <v>3000</v>
      </c>
      <c r="BU46" s="224">
        <f>5000+30711.844</f>
        <v>35711.843999999997</v>
      </c>
      <c r="BV46" s="224">
        <f>5177.776+8966.68</f>
        <v>14144.456</v>
      </c>
      <c r="BW46" s="243">
        <f>3511.66+7238.512</f>
        <v>10750.171999999999</v>
      </c>
      <c r="BX46" s="239">
        <f t="shared" si="115"/>
        <v>76662.796000000002</v>
      </c>
      <c r="BY46" s="242">
        <f>4093.022+39795.772</f>
        <v>43888.793999999994</v>
      </c>
      <c r="BZ46" s="224">
        <f>3461.408+6192.345</f>
        <v>9653.7530000000006</v>
      </c>
      <c r="CA46" s="168">
        <f>SUM(BY46:BZ46)</f>
        <v>53542.546999999991</v>
      </c>
      <c r="CB46" s="168">
        <f t="shared" si="85"/>
        <v>301686.473</v>
      </c>
      <c r="CC46" s="242">
        <f>1688.481+5693.455</f>
        <v>7381.9359999999997</v>
      </c>
      <c r="CD46" s="224">
        <f>1906.796+5850</f>
        <v>7756.7960000000003</v>
      </c>
      <c r="CE46" s="224">
        <f>1772.532+9222.172</f>
        <v>10994.704</v>
      </c>
      <c r="CF46" s="168">
        <f t="shared" si="86"/>
        <v>26133.436000000002</v>
      </c>
      <c r="CG46" s="242">
        <v>7440.46</v>
      </c>
      <c r="CH46" s="224">
        <f>5262.441+7264.916</f>
        <v>12527.357</v>
      </c>
      <c r="CI46" s="224"/>
      <c r="CJ46" s="243">
        <f>8284.183+8931.484</f>
        <v>17215.667000000001</v>
      </c>
      <c r="CK46" s="168">
        <f t="shared" si="87"/>
        <v>37183.483999999997</v>
      </c>
      <c r="CL46" s="242">
        <f>8111.581+15287.887</f>
        <v>23399.468000000001</v>
      </c>
      <c r="CM46" s="224">
        <v>1816.066</v>
      </c>
      <c r="CN46" s="224">
        <v>2943.9009999999998</v>
      </c>
      <c r="CO46" s="224">
        <f>1744.711+3500</f>
        <v>5244.7110000000002</v>
      </c>
      <c r="CP46" s="243">
        <f>880.441+11179.328</f>
        <v>12059.769</v>
      </c>
      <c r="CQ46" s="168">
        <f t="shared" si="88"/>
        <v>45463.915000000001</v>
      </c>
      <c r="CR46" s="242">
        <f>2699.726+3000</f>
        <v>5699.7260000000006</v>
      </c>
      <c r="CS46" s="224">
        <v>2126.6529999999998</v>
      </c>
      <c r="CT46" s="224">
        <f>2747.292+41899.997</f>
        <v>44647.289000000004</v>
      </c>
      <c r="CU46" s="224">
        <f>1935.146+5063.032</f>
        <v>6998.1779999999999</v>
      </c>
      <c r="CV46" s="243">
        <f>4817.18+5729.228</f>
        <v>10546.407999999999</v>
      </c>
      <c r="CW46" s="168">
        <f t="shared" si="89"/>
        <v>70018.254000000001</v>
      </c>
      <c r="CX46" s="242">
        <f>3775.739+10198.315</f>
        <v>13974.054</v>
      </c>
      <c r="CY46" s="224">
        <f>6300+4044.891</f>
        <v>10344.891</v>
      </c>
      <c r="CZ46" s="224">
        <f>2727.547+4221.654</f>
        <v>6949.2010000000009</v>
      </c>
      <c r="DA46" s="243">
        <f>8347.141+1857.702</f>
        <v>10204.842999999999</v>
      </c>
      <c r="DB46" s="168">
        <f t="shared" si="90"/>
        <v>41472.989000000001</v>
      </c>
      <c r="DC46" s="168">
        <f t="shared" si="91"/>
        <v>220272.07799999998</v>
      </c>
      <c r="DD46" s="242"/>
      <c r="DE46" s="224">
        <f>16768.684+5669.659</f>
        <v>22438.343000000001</v>
      </c>
      <c r="DF46" s="224">
        <f>6665.709+5500</f>
        <v>12165.708999999999</v>
      </c>
      <c r="DG46" s="224">
        <v>1484.8620000000001</v>
      </c>
      <c r="DH46" s="224">
        <f>4394.927+5199.345</f>
        <v>9594.2720000000008</v>
      </c>
      <c r="DI46" s="168">
        <f t="shared" si="116"/>
        <v>45683.186000000002</v>
      </c>
      <c r="DJ46" s="242">
        <f>7776.968+6663.676</f>
        <v>14440.644</v>
      </c>
      <c r="DK46" s="224">
        <v>4000</v>
      </c>
      <c r="DL46" s="224">
        <v>5455.451</v>
      </c>
      <c r="DM46" s="224">
        <v>11347.013000000001</v>
      </c>
      <c r="DN46" s="243">
        <v>19051.493999999999</v>
      </c>
      <c r="DO46" s="168">
        <f t="shared" si="117"/>
        <v>54294.601999999999</v>
      </c>
      <c r="DP46" s="242">
        <v>43169.690999999999</v>
      </c>
      <c r="DQ46" s="224">
        <v>3928.82</v>
      </c>
      <c r="DR46" s="224">
        <v>3000</v>
      </c>
      <c r="DS46" s="224">
        <v>8432.8459999999995</v>
      </c>
      <c r="DT46" s="243">
        <v>15739.34</v>
      </c>
      <c r="DU46" s="168">
        <f t="shared" si="92"/>
        <v>74270.697</v>
      </c>
      <c r="DV46" s="242">
        <v>9441.6440000000002</v>
      </c>
      <c r="DW46" s="224">
        <v>6825.451</v>
      </c>
      <c r="DX46" s="224">
        <v>8220.2279999999992</v>
      </c>
      <c r="DY46" s="224">
        <v>11468.504000000001</v>
      </c>
      <c r="DZ46" s="243">
        <v>8950.232</v>
      </c>
      <c r="EA46" s="168">
        <f t="shared" si="93"/>
        <v>44906.059000000008</v>
      </c>
      <c r="EB46" s="168">
        <f t="shared" si="94"/>
        <v>219154.54399999999</v>
      </c>
      <c r="EC46" s="242">
        <v>16550.378000000001</v>
      </c>
      <c r="ED46" s="224">
        <v>2648.027</v>
      </c>
      <c r="EE46" s="224">
        <v>14091.616</v>
      </c>
      <c r="EF46" s="224">
        <v>3891.6579999999999</v>
      </c>
      <c r="EG46" s="243">
        <v>17414.03</v>
      </c>
      <c r="EH46" s="168">
        <f t="shared" si="118"/>
        <v>54595.709000000003</v>
      </c>
      <c r="EI46" s="242">
        <f>2000+6888.923</f>
        <v>8888.9229999999989</v>
      </c>
      <c r="EJ46" s="224">
        <f>4662.997+4283.376</f>
        <v>8946.3729999999996</v>
      </c>
      <c r="EK46" s="224">
        <v>4296.4309999999996</v>
      </c>
      <c r="EL46" s="224">
        <f>12726.932+2309.203</f>
        <v>15036.135</v>
      </c>
      <c r="EM46" s="243">
        <f>5613.79+1378.878</f>
        <v>6992.6679999999997</v>
      </c>
      <c r="EN46" s="168">
        <f t="shared" si="119"/>
        <v>44160.53</v>
      </c>
      <c r="EO46" s="242">
        <f>4549.946+8271.461</f>
        <v>12821.406999999999</v>
      </c>
      <c r="EP46" s="224">
        <v>2084.2869999999998</v>
      </c>
      <c r="EQ46" s="224">
        <f>1700+2194.093</f>
        <v>3894.0929999999998</v>
      </c>
      <c r="ER46" s="224">
        <f>5830.415+4099.093</f>
        <v>9929.5079999999998</v>
      </c>
      <c r="ES46" s="243">
        <f>3489.297+1998.777</f>
        <v>5488.0740000000005</v>
      </c>
      <c r="ET46" s="168">
        <f t="shared" si="120"/>
        <v>34217.368999999999</v>
      </c>
      <c r="EU46" s="242">
        <f>6514.132+8141.729</f>
        <v>14655.861000000001</v>
      </c>
      <c r="EV46" s="224">
        <v>49822.341999999997</v>
      </c>
      <c r="EW46" s="224">
        <v>7596.482</v>
      </c>
      <c r="EX46" s="224">
        <f>3000+4235.303</f>
        <v>7235.3029999999999</v>
      </c>
      <c r="EY46" s="224">
        <f>3000+1643.338</f>
        <v>4643.3379999999997</v>
      </c>
      <c r="EZ46" s="224">
        <v>4808.5140000000001</v>
      </c>
      <c r="FA46" s="243">
        <v>3327.4969999999998</v>
      </c>
      <c r="FB46" s="168">
        <f t="shared" si="121"/>
        <v>92089.337</v>
      </c>
      <c r="FC46" s="168">
        <f t="shared" si="95"/>
        <v>225062.94500000001</v>
      </c>
      <c r="FD46" s="242">
        <f>29585.963+5513.197</f>
        <v>35099.160000000003</v>
      </c>
      <c r="FE46" s="224">
        <f>3000+2541.552</f>
        <v>5541.5519999999997</v>
      </c>
      <c r="FF46" s="243">
        <f>2864.282+5914.147</f>
        <v>8778.4290000000001</v>
      </c>
      <c r="FG46" s="168">
        <f t="shared" si="122"/>
        <v>49419.141000000003</v>
      </c>
      <c r="FH46" s="242">
        <f>10154.21+5362.103</f>
        <v>15516.312999999998</v>
      </c>
      <c r="FI46" s="224">
        <f>3000+5223.724</f>
        <v>8223.7240000000002</v>
      </c>
      <c r="FJ46" s="224">
        <f>3471.441+3155.237</f>
        <v>6626.6779999999999</v>
      </c>
      <c r="FK46" s="224">
        <v>9687.33</v>
      </c>
      <c r="FL46" s="243">
        <v>3270.442</v>
      </c>
      <c r="FM46" s="168">
        <f t="shared" si="123"/>
        <v>43324.487000000001</v>
      </c>
      <c r="FN46" s="242"/>
      <c r="FO46" s="224">
        <v>9950.3549999999996</v>
      </c>
      <c r="FP46" s="224">
        <f>46986.777+7961.114</f>
        <v>54947.891000000003</v>
      </c>
      <c r="FQ46" s="224">
        <v>10900.423000000001</v>
      </c>
      <c r="FR46" s="168">
        <f>SUM(FN46:FQ46)</f>
        <v>75798.668999999994</v>
      </c>
      <c r="FS46" s="242">
        <v>3970.5360000000001</v>
      </c>
      <c r="FT46" s="224">
        <v>1500</v>
      </c>
      <c r="FU46" s="224">
        <v>8198.7950000000001</v>
      </c>
      <c r="FV46" s="224">
        <v>8980.5730000000003</v>
      </c>
      <c r="FW46" s="243">
        <v>6939.6229999999996</v>
      </c>
      <c r="FX46" s="168">
        <f t="shared" si="124"/>
        <v>29589.527000000002</v>
      </c>
      <c r="FY46" s="242">
        <v>13573.378000000001</v>
      </c>
      <c r="FZ46" s="224">
        <f>16764.037+5555.817</f>
        <v>22319.853999999999</v>
      </c>
      <c r="GA46" s="224">
        <v>2986.5729999999999</v>
      </c>
      <c r="GB46" s="224"/>
      <c r="GC46" s="243">
        <v>16539.951000000001</v>
      </c>
      <c r="GD46" s="168">
        <f t="shared" si="97"/>
        <v>55419.756000000001</v>
      </c>
      <c r="GE46" s="168">
        <f t="shared" si="98"/>
        <v>253551.58</v>
      </c>
      <c r="GF46" s="242">
        <v>1082.596</v>
      </c>
      <c r="GG46" s="224">
        <v>8800.9410000000007</v>
      </c>
      <c r="GH46" s="224">
        <v>4100</v>
      </c>
      <c r="GI46" s="224">
        <v>9167</v>
      </c>
      <c r="GJ46" s="224">
        <v>16306.534</v>
      </c>
      <c r="GK46" s="168">
        <f t="shared" si="125"/>
        <v>39457.070999999996</v>
      </c>
      <c r="GL46" s="242">
        <f>53081.119+31678.418</f>
        <v>84759.536999999997</v>
      </c>
      <c r="GM46" s="224">
        <v>689.47400000000005</v>
      </c>
      <c r="GN46" s="224">
        <v>9594.8829999999998</v>
      </c>
      <c r="GO46" s="243">
        <f>26966.219+8915.112</f>
        <v>35881.330999999998</v>
      </c>
      <c r="GP46" s="168">
        <f t="shared" si="99"/>
        <v>130925.22500000001</v>
      </c>
      <c r="GQ46" s="242">
        <f>3000+11534.822</f>
        <v>14534.822</v>
      </c>
      <c r="GR46" s="224">
        <f>3522.007+12396.006</f>
        <v>15918.012999999999</v>
      </c>
      <c r="GS46" s="224">
        <f>3400+3050.882</f>
        <v>6450.8819999999996</v>
      </c>
      <c r="GT46" s="224">
        <f>10207.948+7800</f>
        <v>18007.948</v>
      </c>
      <c r="GU46" s="243">
        <v>6256.44</v>
      </c>
      <c r="GV46" s="168">
        <f t="shared" si="100"/>
        <v>61168.104999999996</v>
      </c>
      <c r="GW46" s="242">
        <f>7157.601+5794.777</f>
        <v>12952.378000000001</v>
      </c>
      <c r="GX46" s="224">
        <v>5492.7</v>
      </c>
      <c r="GY46" s="224">
        <v>17379.169999999998</v>
      </c>
      <c r="GZ46" s="224">
        <f>8000+7328.497</f>
        <v>15328.496999999999</v>
      </c>
      <c r="HA46" s="224">
        <f>3307.732+20600</f>
        <v>23907.732</v>
      </c>
      <c r="HB46" s="243">
        <f>3713.736+4745.778</f>
        <v>8459.5139999999992</v>
      </c>
      <c r="HC46" s="168">
        <f t="shared" si="101"/>
        <v>83519.990999999995</v>
      </c>
      <c r="HD46" s="168">
        <f t="shared" si="126"/>
        <v>315070.39199999999</v>
      </c>
      <c r="HE46" s="242">
        <v>24692.800999999999</v>
      </c>
      <c r="HF46" s="224">
        <f>11586.597+4764.987</f>
        <v>16351.583999999999</v>
      </c>
      <c r="HG46" s="224">
        <v>9742.4950000000008</v>
      </c>
      <c r="HH46" s="224">
        <v>8381.0429999999997</v>
      </c>
      <c r="HI46" s="168">
        <f t="shared" si="127"/>
        <v>59167.922999999995</v>
      </c>
      <c r="HJ46" s="242">
        <f>3000+7130.55</f>
        <v>10130.549999999999</v>
      </c>
      <c r="HK46" s="224">
        <v>2025.242</v>
      </c>
      <c r="HL46" s="224">
        <f>12534.486+3824.493</f>
        <v>16358.979000000001</v>
      </c>
      <c r="HM46" s="224">
        <v>4000</v>
      </c>
      <c r="HN46" s="243">
        <f>13158.196+29021.821</f>
        <v>42180.017</v>
      </c>
      <c r="HO46" s="168">
        <f t="shared" si="128"/>
        <v>74694.788</v>
      </c>
      <c r="HP46" s="242">
        <v>14754.47</v>
      </c>
      <c r="HQ46" s="224">
        <f>68000+18634.333</f>
        <v>86634.332999999999</v>
      </c>
      <c r="HR46" s="224">
        <v>1899.5940000000001</v>
      </c>
      <c r="HS46" s="224">
        <f>5600+17569.572</f>
        <v>23169.572</v>
      </c>
      <c r="HT46" s="243">
        <f>2297.75+7491.822</f>
        <v>9789.5720000000001</v>
      </c>
      <c r="HU46" s="168">
        <f t="shared" si="129"/>
        <v>136247.541</v>
      </c>
      <c r="HV46" s="242">
        <f>15547.946+7578.276</f>
        <v>23126.222000000002</v>
      </c>
      <c r="HW46" s="224">
        <v>14400</v>
      </c>
      <c r="HX46" s="224">
        <v>10394.111000000001</v>
      </c>
      <c r="HY46" s="168">
        <f t="shared" si="102"/>
        <v>47920.332999999999</v>
      </c>
      <c r="HZ46" s="242">
        <f>8908.75+18896.739</f>
        <v>27805.489000000001</v>
      </c>
      <c r="IA46" s="224">
        <v>1760.4459999999999</v>
      </c>
      <c r="IB46" s="243">
        <f>9626.977+17289.113</f>
        <v>26916.090000000004</v>
      </c>
      <c r="IC46" s="168">
        <f t="shared" si="130"/>
        <v>56482.025000000009</v>
      </c>
      <c r="ID46" s="168">
        <f t="shared" si="103"/>
        <v>374512.61</v>
      </c>
      <c r="IE46" s="242">
        <f>13908.666+5189.726</f>
        <v>19098.392</v>
      </c>
      <c r="IF46" s="243">
        <f>2628.517+16962.325</f>
        <v>19590.842000000001</v>
      </c>
      <c r="IG46" s="168">
        <f t="shared" si="131"/>
        <v>38689.233999999997</v>
      </c>
      <c r="IH46" s="242">
        <f>6000+8508.55</f>
        <v>14508.55</v>
      </c>
      <c r="II46" s="224"/>
      <c r="IJ46" s="224">
        <f>103077.035+8360.769</f>
        <v>111437.804</v>
      </c>
      <c r="IK46" s="224">
        <v>4070.1149999999998</v>
      </c>
      <c r="IL46" s="243">
        <f>10911.196+4767.675</f>
        <v>15678.870999999999</v>
      </c>
      <c r="IM46" s="168">
        <f t="shared" si="132"/>
        <v>145695.34000000003</v>
      </c>
      <c r="IN46" s="242">
        <f>12670.808+10040.303</f>
        <v>22711.111000000001</v>
      </c>
      <c r="IO46" s="224">
        <v>9650</v>
      </c>
      <c r="IP46" s="243">
        <f>24924.722+10372.331</f>
        <v>35297.053</v>
      </c>
      <c r="IQ46" s="168">
        <f t="shared" si="133"/>
        <v>67658.164000000004</v>
      </c>
      <c r="IR46" s="242">
        <f>24035.843+4163.499</f>
        <v>28199.342000000001</v>
      </c>
      <c r="IS46" s="224">
        <f>10100+8095.521</f>
        <v>18195.521000000001</v>
      </c>
      <c r="IT46" s="224">
        <v>16180.495000000001</v>
      </c>
      <c r="IU46" s="224">
        <f>11744.037+8505.579</f>
        <v>20249.616000000002</v>
      </c>
      <c r="IV46" s="243">
        <f>5430.254+11608.333</f>
        <v>17038.587</v>
      </c>
      <c r="IW46" s="168">
        <f t="shared" si="134"/>
        <v>99863.561000000002</v>
      </c>
      <c r="IX46" s="242">
        <f>11264.758+5197.605</f>
        <v>16462.362999999998</v>
      </c>
      <c r="IY46" s="224">
        <f>6035.81+3400</f>
        <v>9435.8100000000013</v>
      </c>
      <c r="IZ46" s="224">
        <f>4314</f>
        <v>4314</v>
      </c>
      <c r="JA46" s="224">
        <f>4518.572+13000</f>
        <v>17518.572</v>
      </c>
      <c r="JB46" s="243">
        <f>16521.696+2068.587</f>
        <v>18590.282999999999</v>
      </c>
      <c r="JC46" s="168">
        <f t="shared" si="135"/>
        <v>66321.027999999991</v>
      </c>
      <c r="JD46" s="168">
        <f t="shared" ref="JD46" si="141">IG46+IM46+IQ46+IW46+JC46</f>
        <v>418227.32699999999</v>
      </c>
      <c r="JE46" s="242">
        <f>8423.618+12537.539</f>
        <v>20961.156999999999</v>
      </c>
      <c r="JF46" s="224">
        <f>6438.755+4291.442</f>
        <v>10730.197</v>
      </c>
      <c r="JG46" s="224">
        <f>6499.374+2024.274</f>
        <v>8523.6479999999992</v>
      </c>
      <c r="JH46" s="224">
        <f>5600+8175.829</f>
        <v>13775.829</v>
      </c>
      <c r="JI46" s="243">
        <v>21955.993999999999</v>
      </c>
      <c r="JJ46" s="168">
        <f t="shared" si="136"/>
        <v>75946.824999999997</v>
      </c>
      <c r="JK46" s="242"/>
      <c r="JL46" s="224"/>
      <c r="JM46" s="224"/>
      <c r="JN46" s="224"/>
      <c r="JO46" s="243"/>
      <c r="JP46" s="168">
        <f t="shared" si="137"/>
        <v>0</v>
      </c>
      <c r="JQ46" s="242"/>
      <c r="JR46" s="224"/>
      <c r="JS46" s="224"/>
      <c r="JT46" s="224"/>
      <c r="JU46" s="243"/>
      <c r="JV46" s="168">
        <f t="shared" si="138"/>
        <v>0</v>
      </c>
      <c r="JW46" s="242"/>
      <c r="JX46" s="224"/>
      <c r="JY46" s="224"/>
      <c r="JZ46" s="224"/>
      <c r="KA46" s="224"/>
      <c r="KB46" s="243"/>
      <c r="KC46" s="168">
        <f t="shared" si="139"/>
        <v>0</v>
      </c>
      <c r="KD46" s="168">
        <f t="shared" si="105"/>
        <v>75946.824999999997</v>
      </c>
      <c r="KE46" s="242"/>
      <c r="KF46" s="224"/>
      <c r="KG46" s="224"/>
      <c r="KH46" s="224"/>
      <c r="KI46" s="243"/>
      <c r="KJ46" s="168"/>
      <c r="KK46" s="242"/>
      <c r="KL46" s="224"/>
      <c r="KM46" s="224"/>
      <c r="KN46" s="224"/>
      <c r="KO46" s="243"/>
      <c r="KP46" s="168"/>
      <c r="KQ46" s="242"/>
      <c r="KR46" s="224"/>
      <c r="KS46" s="224"/>
      <c r="KT46" s="224"/>
      <c r="KU46" s="243"/>
      <c r="KV46" s="168"/>
      <c r="KW46" s="242"/>
      <c r="KX46" s="224"/>
      <c r="KY46" s="224"/>
      <c r="KZ46" s="224"/>
      <c r="LA46" s="243"/>
      <c r="LB46" s="168"/>
      <c r="LC46" s="242"/>
      <c r="LD46" s="224"/>
      <c r="LE46" s="243"/>
      <c r="LF46" s="168"/>
      <c r="LG46" s="168">
        <v>375000</v>
      </c>
    </row>
    <row r="47" spans="2:322">
      <c r="B47" s="93"/>
      <c r="C47" s="167"/>
      <c r="D47" s="181"/>
      <c r="E47" s="167"/>
      <c r="F47" s="177"/>
      <c r="G47" s="177"/>
      <c r="H47" s="177"/>
      <c r="I47" s="178"/>
      <c r="J47" s="181"/>
      <c r="K47" s="167"/>
      <c r="L47" s="177"/>
      <c r="M47" s="177"/>
      <c r="N47" s="178"/>
      <c r="O47" s="181"/>
      <c r="P47" s="167"/>
      <c r="Q47" s="177"/>
      <c r="R47" s="177"/>
      <c r="S47" s="177"/>
      <c r="T47" s="178"/>
      <c r="U47" s="168"/>
      <c r="V47" s="167"/>
      <c r="W47" s="177"/>
      <c r="X47" s="177"/>
      <c r="Y47" s="177"/>
      <c r="Z47" s="177"/>
      <c r="AA47" s="168"/>
      <c r="AB47" s="146"/>
      <c r="AC47" s="167"/>
      <c r="AD47" s="177"/>
      <c r="AE47" s="177"/>
      <c r="AF47" s="177"/>
      <c r="AG47" s="178"/>
      <c r="AH47" s="146"/>
      <c r="AI47" s="242"/>
      <c r="AJ47" s="224"/>
      <c r="AK47" s="224"/>
      <c r="AL47" s="224"/>
      <c r="AM47" s="243"/>
      <c r="AN47" s="146"/>
      <c r="AO47" s="242"/>
      <c r="AP47" s="224"/>
      <c r="AQ47" s="224"/>
      <c r="AR47" s="224"/>
      <c r="AS47" s="243"/>
      <c r="AT47" s="146"/>
      <c r="AU47" s="167"/>
      <c r="AV47" s="177"/>
      <c r="AW47" s="177"/>
      <c r="AX47" s="177"/>
      <c r="AY47" s="178"/>
      <c r="AZ47" s="146"/>
      <c r="BA47" s="168"/>
      <c r="BB47" s="181"/>
      <c r="BC47" s="238"/>
      <c r="BD47" s="238"/>
      <c r="BE47" s="238"/>
      <c r="BF47" s="239"/>
      <c r="BG47" s="168"/>
      <c r="BH47" s="181"/>
      <c r="BI47" s="238"/>
      <c r="BJ47" s="238"/>
      <c r="BK47" s="238"/>
      <c r="BL47" s="239"/>
      <c r="BM47" s="168"/>
      <c r="BN47" s="242"/>
      <c r="BO47" s="224"/>
      <c r="BP47" s="224"/>
      <c r="BQ47" s="243"/>
      <c r="BR47" s="168"/>
      <c r="BS47" s="242"/>
      <c r="BT47" s="224"/>
      <c r="BU47" s="224"/>
      <c r="BV47" s="224"/>
      <c r="BW47" s="243"/>
      <c r="BX47" s="239"/>
      <c r="BY47" s="242"/>
      <c r="BZ47" s="224"/>
      <c r="CA47" s="168"/>
      <c r="CB47" s="168"/>
      <c r="CC47" s="181"/>
      <c r="CD47" s="238"/>
      <c r="CE47" s="238"/>
      <c r="CF47" s="168"/>
      <c r="CG47" s="242"/>
      <c r="CH47" s="224"/>
      <c r="CI47" s="224"/>
      <c r="CJ47" s="243"/>
      <c r="CK47" s="168"/>
      <c r="CL47" s="242"/>
      <c r="CM47" s="224"/>
      <c r="CN47" s="224"/>
      <c r="CO47" s="224"/>
      <c r="CP47" s="243"/>
      <c r="CQ47" s="168"/>
      <c r="CR47" s="242"/>
      <c r="CS47" s="224"/>
      <c r="CT47" s="224"/>
      <c r="CU47" s="224"/>
      <c r="CV47" s="243"/>
      <c r="CW47" s="168"/>
      <c r="CX47" s="181"/>
      <c r="CY47" s="238"/>
      <c r="CZ47" s="238"/>
      <c r="DA47" s="239"/>
      <c r="DB47" s="168"/>
      <c r="DC47" s="168"/>
      <c r="DD47" s="242"/>
      <c r="DE47" s="224"/>
      <c r="DF47" s="224"/>
      <c r="DG47" s="224"/>
      <c r="DH47" s="224"/>
      <c r="DI47" s="168"/>
      <c r="DJ47" s="242"/>
      <c r="DK47" s="224"/>
      <c r="DL47" s="224"/>
      <c r="DM47" s="224"/>
      <c r="DN47" s="243"/>
      <c r="DO47" s="168"/>
      <c r="DP47" s="242"/>
      <c r="DQ47" s="224"/>
      <c r="DR47" s="224"/>
      <c r="DS47" s="224"/>
      <c r="DT47" s="243"/>
      <c r="DU47" s="168"/>
      <c r="DV47" s="242"/>
      <c r="DW47" s="224"/>
      <c r="DX47" s="224"/>
      <c r="DY47" s="224"/>
      <c r="DZ47" s="243"/>
      <c r="EA47" s="168"/>
      <c r="EB47" s="168"/>
      <c r="EC47" s="242"/>
      <c r="ED47" s="224"/>
      <c r="EE47" s="224"/>
      <c r="EF47" s="224"/>
      <c r="EG47" s="243"/>
      <c r="EH47" s="168"/>
      <c r="EI47" s="181"/>
      <c r="EJ47" s="238"/>
      <c r="EK47" s="238"/>
      <c r="EL47" s="238"/>
      <c r="EM47" s="239"/>
      <c r="EN47" s="168"/>
      <c r="EO47" s="242"/>
      <c r="EP47" s="224"/>
      <c r="EQ47" s="224"/>
      <c r="ER47" s="224"/>
      <c r="ES47" s="243"/>
      <c r="ET47" s="168"/>
      <c r="EU47" s="242"/>
      <c r="EV47" s="224"/>
      <c r="EW47" s="224"/>
      <c r="EX47" s="224"/>
      <c r="EY47" s="224"/>
      <c r="EZ47" s="224"/>
      <c r="FA47" s="243"/>
      <c r="FB47" s="168"/>
      <c r="FC47" s="168"/>
      <c r="FD47" s="242"/>
      <c r="FE47" s="224"/>
      <c r="FF47" s="243"/>
      <c r="FG47" s="168"/>
      <c r="FH47" s="242"/>
      <c r="FI47" s="224"/>
      <c r="FJ47" s="224"/>
      <c r="FK47" s="224"/>
      <c r="FL47" s="243"/>
      <c r="FM47" s="168"/>
      <c r="FN47" s="181"/>
      <c r="FO47" s="238"/>
      <c r="FP47" s="238"/>
      <c r="FQ47" s="238"/>
      <c r="FR47" s="168"/>
      <c r="FS47" s="181"/>
      <c r="FT47" s="238"/>
      <c r="FU47" s="238"/>
      <c r="FV47" s="238"/>
      <c r="FW47" s="239"/>
      <c r="FX47" s="168"/>
      <c r="FY47" s="181"/>
      <c r="FZ47" s="238"/>
      <c r="GA47" s="238"/>
      <c r="GB47" s="238"/>
      <c r="GC47" s="239"/>
      <c r="GD47" s="168"/>
      <c r="GE47" s="168"/>
      <c r="GF47" s="181"/>
      <c r="GG47" s="238"/>
      <c r="GH47" s="238"/>
      <c r="GI47" s="238"/>
      <c r="GJ47" s="238"/>
      <c r="GK47" s="168"/>
      <c r="GL47" s="181"/>
      <c r="GM47" s="238"/>
      <c r="GN47" s="238"/>
      <c r="GO47" s="239"/>
      <c r="GP47" s="168"/>
      <c r="GQ47" s="181"/>
      <c r="GR47" s="238"/>
      <c r="GS47" s="238"/>
      <c r="GT47" s="238"/>
      <c r="GU47" s="239"/>
      <c r="GV47" s="168"/>
      <c r="GW47" s="181"/>
      <c r="GX47" s="238"/>
      <c r="GY47" s="238"/>
      <c r="GZ47" s="238"/>
      <c r="HA47" s="238"/>
      <c r="HB47" s="239"/>
      <c r="HC47" s="168"/>
      <c r="HD47" s="168"/>
      <c r="HE47" s="242"/>
      <c r="HF47" s="224"/>
      <c r="HG47" s="224"/>
      <c r="HH47" s="224"/>
      <c r="HI47" s="168"/>
      <c r="HJ47" s="181"/>
      <c r="HK47" s="238"/>
      <c r="HL47" s="238"/>
      <c r="HM47" s="238"/>
      <c r="HN47" s="239"/>
      <c r="HO47" s="168"/>
      <c r="HP47" s="242"/>
      <c r="HQ47" s="224"/>
      <c r="HR47" s="224"/>
      <c r="HS47" s="224"/>
      <c r="HT47" s="243"/>
      <c r="HU47" s="168"/>
      <c r="HV47" s="181"/>
      <c r="HW47" s="238"/>
      <c r="HX47" s="238"/>
      <c r="HY47" s="168"/>
      <c r="HZ47" s="242"/>
      <c r="IA47" s="224"/>
      <c r="IB47" s="243"/>
      <c r="IC47" s="168"/>
      <c r="ID47" s="168"/>
      <c r="IE47" s="181"/>
      <c r="IF47" s="239"/>
      <c r="IG47" s="168"/>
      <c r="IH47" s="181"/>
      <c r="II47" s="238"/>
      <c r="IJ47" s="238"/>
      <c r="IK47" s="238"/>
      <c r="IL47" s="239"/>
      <c r="IM47" s="168"/>
      <c r="IN47" s="242"/>
      <c r="IO47" s="224"/>
      <c r="IP47" s="243"/>
      <c r="IQ47" s="168"/>
      <c r="IR47" s="242"/>
      <c r="IS47" s="224"/>
      <c r="IT47" s="224"/>
      <c r="IU47" s="224"/>
      <c r="IV47" s="243"/>
      <c r="IW47" s="168"/>
      <c r="IX47" s="242"/>
      <c r="IY47" s="224"/>
      <c r="IZ47" s="224"/>
      <c r="JA47" s="224"/>
      <c r="JB47" s="243"/>
      <c r="JC47" s="168"/>
      <c r="JD47" s="168"/>
      <c r="JE47" s="242"/>
      <c r="JF47" s="224"/>
      <c r="JG47" s="224"/>
      <c r="JH47" s="224"/>
      <c r="JI47" s="243"/>
      <c r="JJ47" s="168"/>
      <c r="JK47" s="181"/>
      <c r="JL47" s="238"/>
      <c r="JM47" s="238"/>
      <c r="JN47" s="238"/>
      <c r="JO47" s="239"/>
      <c r="JP47" s="168"/>
      <c r="JQ47" s="242"/>
      <c r="JR47" s="224"/>
      <c r="JS47" s="224"/>
      <c r="JT47" s="224"/>
      <c r="JU47" s="243"/>
      <c r="JV47" s="168"/>
      <c r="JW47" s="242"/>
      <c r="JX47" s="224"/>
      <c r="JY47" s="224"/>
      <c r="JZ47" s="224"/>
      <c r="KA47" s="224"/>
      <c r="KB47" s="243"/>
      <c r="KC47" s="168"/>
      <c r="KD47" s="168"/>
      <c r="KE47" s="181"/>
      <c r="KF47" s="238"/>
      <c r="KG47" s="238"/>
      <c r="KH47" s="238"/>
      <c r="KI47" s="239"/>
      <c r="KJ47" s="168"/>
      <c r="KK47" s="181"/>
      <c r="KL47" s="238"/>
      <c r="KM47" s="238"/>
      <c r="KN47" s="238"/>
      <c r="KO47" s="239"/>
      <c r="KP47" s="168"/>
      <c r="KQ47" s="181"/>
      <c r="KR47" s="238"/>
      <c r="KS47" s="238"/>
      <c r="KT47" s="238"/>
      <c r="KU47" s="239"/>
      <c r="KV47" s="168"/>
      <c r="KW47" s="181"/>
      <c r="KX47" s="238"/>
      <c r="KY47" s="238"/>
      <c r="KZ47" s="238"/>
      <c r="LA47" s="239"/>
      <c r="LB47" s="168"/>
      <c r="LC47" s="181"/>
      <c r="LD47" s="238"/>
      <c r="LE47" s="239"/>
      <c r="LF47" s="168"/>
      <c r="LG47" s="168"/>
    </row>
    <row r="48" spans="2:322" s="30" customFormat="1" ht="15.75" thickBot="1">
      <c r="B48" s="95" t="s">
        <v>96</v>
      </c>
      <c r="C48" s="173">
        <f t="shared" ref="C48:AA48" si="142">C39-C4</f>
        <v>65224.93299999999</v>
      </c>
      <c r="D48" s="173">
        <f t="shared" si="142"/>
        <v>65224.93299999999</v>
      </c>
      <c r="E48" s="172">
        <f t="shared" si="142"/>
        <v>166313.77299999999</v>
      </c>
      <c r="F48" s="179">
        <f t="shared" si="142"/>
        <v>-129484.60199999998</v>
      </c>
      <c r="G48" s="179">
        <f t="shared" si="142"/>
        <v>36083.394</v>
      </c>
      <c r="H48" s="179">
        <f t="shared" si="142"/>
        <v>46002.074999999997</v>
      </c>
      <c r="I48" s="180">
        <f t="shared" si="142"/>
        <v>29826.977000000014</v>
      </c>
      <c r="J48" s="173">
        <f t="shared" si="142"/>
        <v>148741.61699999997</v>
      </c>
      <c r="K48" s="172">
        <f t="shared" si="142"/>
        <v>29451.887000000002</v>
      </c>
      <c r="L48" s="172">
        <f t="shared" si="142"/>
        <v>-126233.29900000003</v>
      </c>
      <c r="M48" s="179">
        <f t="shared" si="142"/>
        <v>15559.027999999998</v>
      </c>
      <c r="N48" s="180">
        <f t="shared" si="142"/>
        <v>9636.5990000000002</v>
      </c>
      <c r="O48" s="173">
        <f t="shared" si="142"/>
        <v>-71585.784999999945</v>
      </c>
      <c r="P48" s="172">
        <f t="shared" si="142"/>
        <v>11609.528999999995</v>
      </c>
      <c r="Q48" s="179">
        <f t="shared" si="142"/>
        <v>58595.035999999993</v>
      </c>
      <c r="R48" s="179">
        <f t="shared" si="142"/>
        <v>-106716.23699999998</v>
      </c>
      <c r="S48" s="179">
        <f t="shared" si="142"/>
        <v>73327.311000000002</v>
      </c>
      <c r="T48" s="180">
        <f t="shared" si="142"/>
        <v>314402.33800000005</v>
      </c>
      <c r="U48" s="199">
        <f t="shared" si="142"/>
        <v>351217.97699999996</v>
      </c>
      <c r="V48" s="172">
        <f t="shared" si="142"/>
        <v>-332954.92399999994</v>
      </c>
      <c r="W48" s="179">
        <f t="shared" si="142"/>
        <v>-166350.467</v>
      </c>
      <c r="X48" s="179">
        <f t="shared" si="142"/>
        <v>-33165.356999999989</v>
      </c>
      <c r="Y48" s="179">
        <f t="shared" si="142"/>
        <v>-25709.020999999993</v>
      </c>
      <c r="Z48" s="179">
        <f t="shared" si="142"/>
        <v>-11645.588000000011</v>
      </c>
      <c r="AA48" s="198">
        <f t="shared" si="142"/>
        <v>-569825.35700000008</v>
      </c>
      <c r="AB48" s="235">
        <f>+AB39-AB4</f>
        <v>-76226.614999999991</v>
      </c>
      <c r="AC48" s="173">
        <f t="shared" ref="AC48:CO48" si="143">AC39-AC4</f>
        <v>-110418.95999999996</v>
      </c>
      <c r="AD48" s="241">
        <f t="shared" si="143"/>
        <v>119771.40699999998</v>
      </c>
      <c r="AE48" s="241">
        <f t="shared" si="143"/>
        <v>172186.63999999998</v>
      </c>
      <c r="AF48" s="241">
        <f t="shared" si="143"/>
        <v>-78.83100000000195</v>
      </c>
      <c r="AG48" s="497">
        <f t="shared" si="143"/>
        <v>22435.758999999998</v>
      </c>
      <c r="AH48" s="199">
        <f t="shared" si="143"/>
        <v>203896.01500000013</v>
      </c>
      <c r="AI48" s="173">
        <f t="shared" si="143"/>
        <v>74248.323999999993</v>
      </c>
      <c r="AJ48" s="241">
        <f t="shared" si="143"/>
        <v>-2583.6620000000112</v>
      </c>
      <c r="AK48" s="241">
        <f t="shared" si="143"/>
        <v>40637.874000000003</v>
      </c>
      <c r="AL48" s="241">
        <f t="shared" si="143"/>
        <v>-265290.359</v>
      </c>
      <c r="AM48" s="497">
        <f t="shared" si="143"/>
        <v>-9936.6769999999979</v>
      </c>
      <c r="AN48" s="199">
        <f t="shared" si="143"/>
        <v>-162970.79499999987</v>
      </c>
      <c r="AO48" s="173">
        <f t="shared" si="143"/>
        <v>-33064.015999999996</v>
      </c>
      <c r="AP48" s="241">
        <f t="shared" si="143"/>
        <v>19261.067000000003</v>
      </c>
      <c r="AQ48" s="241">
        <f t="shared" si="143"/>
        <v>133184.959</v>
      </c>
      <c r="AR48" s="241">
        <f t="shared" si="143"/>
        <v>-90666.375</v>
      </c>
      <c r="AS48" s="497">
        <f t="shared" si="143"/>
        <v>176394.867</v>
      </c>
      <c r="AT48" s="199">
        <f t="shared" si="143"/>
        <v>205110.50199999989</v>
      </c>
      <c r="AU48" s="173">
        <f t="shared" si="143"/>
        <v>-273165.40899999999</v>
      </c>
      <c r="AV48" s="241">
        <f t="shared" si="143"/>
        <v>68977.666999999987</v>
      </c>
      <c r="AW48" s="241">
        <f t="shared" si="143"/>
        <v>72264.729000000007</v>
      </c>
      <c r="AX48" s="241">
        <f t="shared" si="143"/>
        <v>17483.980999999996</v>
      </c>
      <c r="AY48" s="497">
        <f t="shared" si="143"/>
        <v>77886.955000000002</v>
      </c>
      <c r="AZ48" s="199">
        <f t="shared" si="143"/>
        <v>-36552.077000000048</v>
      </c>
      <c r="BA48" s="235">
        <f t="shared" si="143"/>
        <v>209483.64500000025</v>
      </c>
      <c r="BB48" s="173">
        <f t="shared" si="143"/>
        <v>-247741.99600000004</v>
      </c>
      <c r="BC48" s="241">
        <f t="shared" si="143"/>
        <v>20947.469999999987</v>
      </c>
      <c r="BD48" s="241">
        <f t="shared" si="143"/>
        <v>-43484.973999999958</v>
      </c>
      <c r="BE48" s="241">
        <f t="shared" si="143"/>
        <v>19794.991000000002</v>
      </c>
      <c r="BF48" s="497">
        <f t="shared" si="143"/>
        <v>19522.474000000002</v>
      </c>
      <c r="BG48" s="199">
        <f t="shared" si="143"/>
        <v>-230962.03499999986</v>
      </c>
      <c r="BH48" s="173">
        <f t="shared" si="143"/>
        <v>-128769.30200000001</v>
      </c>
      <c r="BI48" s="241">
        <f t="shared" si="143"/>
        <v>157288.84699999998</v>
      </c>
      <c r="BJ48" s="241">
        <f t="shared" si="143"/>
        <v>179837.53799999997</v>
      </c>
      <c r="BK48" s="241">
        <f t="shared" si="143"/>
        <v>49975.938000000009</v>
      </c>
      <c r="BL48" s="497">
        <f t="shared" si="143"/>
        <v>-229005.739</v>
      </c>
      <c r="BM48" s="199">
        <f t="shared" si="143"/>
        <v>29327.282000000007</v>
      </c>
      <c r="BN48" s="173">
        <f t="shared" si="143"/>
        <v>-49174.299000000006</v>
      </c>
      <c r="BO48" s="241">
        <f t="shared" si="143"/>
        <v>-69660.83699999997</v>
      </c>
      <c r="BP48" s="241">
        <f t="shared" si="143"/>
        <v>167616.655</v>
      </c>
      <c r="BQ48" s="497">
        <f t="shared" si="143"/>
        <v>16292.298999999999</v>
      </c>
      <c r="BR48" s="199">
        <f t="shared" si="143"/>
        <v>65073.817999999999</v>
      </c>
      <c r="BS48" s="173">
        <f t="shared" si="143"/>
        <v>-168789.89499999999</v>
      </c>
      <c r="BT48" s="241">
        <f t="shared" si="143"/>
        <v>-20424.705000000002</v>
      </c>
      <c r="BU48" s="241">
        <f t="shared" si="143"/>
        <v>190350.08299999998</v>
      </c>
      <c r="BV48" s="241">
        <f t="shared" si="143"/>
        <v>-151979.364</v>
      </c>
      <c r="BW48" s="497">
        <f t="shared" si="143"/>
        <v>-1105.2969999999987</v>
      </c>
      <c r="BX48" s="497">
        <f t="shared" si="143"/>
        <v>-151949.17799999996</v>
      </c>
      <c r="BY48" s="173">
        <f>BY39-BY4</f>
        <v>58526.838999999993</v>
      </c>
      <c r="BZ48" s="241">
        <f>BZ39-BZ4</f>
        <v>-272327.03100000008</v>
      </c>
      <c r="CA48" s="199">
        <f t="shared" si="143"/>
        <v>-213800.19200000001</v>
      </c>
      <c r="CB48" s="235">
        <f t="shared" si="143"/>
        <v>-502310.3049999997</v>
      </c>
      <c r="CC48" s="173">
        <f t="shared" si="143"/>
        <v>73813.347999999984</v>
      </c>
      <c r="CD48" s="241">
        <f t="shared" si="143"/>
        <v>37391.910999999978</v>
      </c>
      <c r="CE48" s="241">
        <f t="shared" si="143"/>
        <v>18455.067999999999</v>
      </c>
      <c r="CF48" s="199">
        <f t="shared" si="143"/>
        <v>129660.3269999999</v>
      </c>
      <c r="CG48" s="173">
        <f t="shared" si="143"/>
        <v>40336.549000000057</v>
      </c>
      <c r="CH48" s="241">
        <f t="shared" si="143"/>
        <v>-8070.5770000000011</v>
      </c>
      <c r="CI48" s="241">
        <f t="shared" si="143"/>
        <v>65379.205000000002</v>
      </c>
      <c r="CJ48" s="497">
        <f t="shared" si="143"/>
        <v>24560.755000000019</v>
      </c>
      <c r="CK48" s="199">
        <f t="shared" si="143"/>
        <v>122205.93200000003</v>
      </c>
      <c r="CL48" s="173">
        <f t="shared" si="143"/>
        <v>40968.859000000004</v>
      </c>
      <c r="CM48" s="241">
        <f t="shared" si="143"/>
        <v>59459.138000000006</v>
      </c>
      <c r="CN48" s="241">
        <f t="shared" si="143"/>
        <v>-194841.11499999999</v>
      </c>
      <c r="CO48" s="241">
        <f t="shared" si="143"/>
        <v>-22807.989000000009</v>
      </c>
      <c r="CP48" s="497">
        <f t="shared" ref="CP48:FB48" si="144">CP39-CP4</f>
        <v>61367.936000000002</v>
      </c>
      <c r="CQ48" s="199">
        <f t="shared" si="144"/>
        <v>-55853.171000000031</v>
      </c>
      <c r="CR48" s="173">
        <f t="shared" si="144"/>
        <v>16808.345000000005</v>
      </c>
      <c r="CS48" s="241">
        <f t="shared" si="144"/>
        <v>-99387.141000000018</v>
      </c>
      <c r="CT48" s="241">
        <f t="shared" si="144"/>
        <v>118715.53300000002</v>
      </c>
      <c r="CU48" s="241">
        <f t="shared" si="144"/>
        <v>15704.315000000001</v>
      </c>
      <c r="CV48" s="497">
        <f t="shared" si="144"/>
        <v>-111691.41799999999</v>
      </c>
      <c r="CW48" s="199">
        <f t="shared" si="144"/>
        <v>-59850.36599999998</v>
      </c>
      <c r="CX48" s="173">
        <f t="shared" si="144"/>
        <v>3877.8299999999981</v>
      </c>
      <c r="CY48" s="241">
        <f t="shared" si="144"/>
        <v>115668.41899999999</v>
      </c>
      <c r="CZ48" s="241">
        <f t="shared" si="144"/>
        <v>36866.436000000002</v>
      </c>
      <c r="DA48" s="497">
        <f t="shared" si="144"/>
        <v>-266678.40399999998</v>
      </c>
      <c r="DB48" s="199">
        <f t="shared" si="144"/>
        <v>-110265.71900000004</v>
      </c>
      <c r="DC48" s="235">
        <f t="shared" si="144"/>
        <v>25897.003000000957</v>
      </c>
      <c r="DD48" s="173">
        <f t="shared" si="144"/>
        <v>-7372.4749999999767</v>
      </c>
      <c r="DE48" s="241">
        <f t="shared" si="144"/>
        <v>203649.00400000002</v>
      </c>
      <c r="DF48" s="241">
        <f t="shared" si="144"/>
        <v>-20582.553999999996</v>
      </c>
      <c r="DG48" s="241">
        <f t="shared" si="144"/>
        <v>-47131.057000000001</v>
      </c>
      <c r="DH48" s="241">
        <f t="shared" si="144"/>
        <v>42917.62</v>
      </c>
      <c r="DI48" s="199">
        <f t="shared" si="144"/>
        <v>171480.53799999994</v>
      </c>
      <c r="DJ48" s="173">
        <f t="shared" si="144"/>
        <v>-15636.953999999983</v>
      </c>
      <c r="DK48" s="241">
        <f t="shared" si="144"/>
        <v>17863.898000000001</v>
      </c>
      <c r="DL48" s="241">
        <f t="shared" si="144"/>
        <v>60911.397999999994</v>
      </c>
      <c r="DM48" s="241">
        <f t="shared" si="144"/>
        <v>14822.762999999999</v>
      </c>
      <c r="DN48" s="497">
        <f t="shared" si="144"/>
        <v>-35134.825000000004</v>
      </c>
      <c r="DO48" s="199">
        <f t="shared" si="144"/>
        <v>42826.28</v>
      </c>
      <c r="DP48" s="173">
        <f t="shared" si="144"/>
        <v>-4460.6990000000005</v>
      </c>
      <c r="DQ48" s="241">
        <f t="shared" si="144"/>
        <v>103478.42199999999</v>
      </c>
      <c r="DR48" s="241">
        <f t="shared" si="144"/>
        <v>-290175.82</v>
      </c>
      <c r="DS48" s="241">
        <f t="shared" si="144"/>
        <v>19350.57</v>
      </c>
      <c r="DT48" s="497">
        <f t="shared" si="144"/>
        <v>48890.449000000001</v>
      </c>
      <c r="DU48" s="199">
        <f t="shared" si="144"/>
        <v>-122917.0780000001</v>
      </c>
      <c r="DV48" s="173">
        <f t="shared" si="144"/>
        <v>31974.236000000004</v>
      </c>
      <c r="DW48" s="241">
        <f t="shared" si="144"/>
        <v>24610.161999999997</v>
      </c>
      <c r="DX48" s="241">
        <f t="shared" si="144"/>
        <v>-5683.6969999999928</v>
      </c>
      <c r="DY48" s="241">
        <f t="shared" si="144"/>
        <v>22428.603000000003</v>
      </c>
      <c r="DZ48" s="497">
        <f t="shared" si="144"/>
        <v>30115.200000000001</v>
      </c>
      <c r="EA48" s="199">
        <f t="shared" si="144"/>
        <v>103444.50399999999</v>
      </c>
      <c r="EB48" s="235">
        <f t="shared" si="144"/>
        <v>194834.24399999972</v>
      </c>
      <c r="EC48" s="173">
        <f t="shared" si="144"/>
        <v>-74406.45</v>
      </c>
      <c r="ED48" s="241">
        <f t="shared" si="144"/>
        <v>102633.78100000002</v>
      </c>
      <c r="EE48" s="241">
        <f t="shared" si="144"/>
        <v>-35291.594999999994</v>
      </c>
      <c r="EF48" s="241">
        <f t="shared" si="144"/>
        <v>-6661.3450000000012</v>
      </c>
      <c r="EG48" s="497">
        <f t="shared" si="144"/>
        <v>25206.816999999999</v>
      </c>
      <c r="EH48" s="199">
        <f t="shared" si="144"/>
        <v>11481.208000000042</v>
      </c>
      <c r="EI48" s="173">
        <f t="shared" si="144"/>
        <v>117016.526</v>
      </c>
      <c r="EJ48" s="241">
        <f t="shared" si="144"/>
        <v>-112230.46399999999</v>
      </c>
      <c r="EK48" s="241">
        <f t="shared" si="144"/>
        <v>1924.9509999999991</v>
      </c>
      <c r="EL48" s="241">
        <f t="shared" si="144"/>
        <v>-41620.060000000012</v>
      </c>
      <c r="EM48" s="497">
        <f t="shared" si="144"/>
        <v>57288.173999999999</v>
      </c>
      <c r="EN48" s="199">
        <f t="shared" si="144"/>
        <v>22379.127000000037</v>
      </c>
      <c r="EO48" s="173">
        <f t="shared" si="144"/>
        <v>-102672.959</v>
      </c>
      <c r="EP48" s="241">
        <f t="shared" si="144"/>
        <v>-11143.453000000001</v>
      </c>
      <c r="EQ48" s="241">
        <f t="shared" si="144"/>
        <v>115777.572</v>
      </c>
      <c r="ER48" s="241">
        <f t="shared" si="144"/>
        <v>-40757.241999999991</v>
      </c>
      <c r="ES48" s="497">
        <f t="shared" si="144"/>
        <v>13598.112000000001</v>
      </c>
      <c r="ET48" s="199">
        <f t="shared" si="144"/>
        <v>-25197.969999999972</v>
      </c>
      <c r="EU48" s="173">
        <f t="shared" si="144"/>
        <v>-9490.471000000005</v>
      </c>
      <c r="EV48" s="241">
        <f t="shared" si="144"/>
        <v>23162.460000000006</v>
      </c>
      <c r="EW48" s="241">
        <f t="shared" si="144"/>
        <v>69652.423999999985</v>
      </c>
      <c r="EX48" s="241">
        <f t="shared" si="144"/>
        <v>-605.84800000000178</v>
      </c>
      <c r="EY48" s="241">
        <f t="shared" si="144"/>
        <v>-81208.751000000004</v>
      </c>
      <c r="EZ48" s="241">
        <f>EZ39-EZ4</f>
        <v>-14729.111000000001</v>
      </c>
      <c r="FA48" s="497">
        <f t="shared" si="144"/>
        <v>-46173.864000000001</v>
      </c>
      <c r="FB48" s="199">
        <f t="shared" si="144"/>
        <v>-59393.161000000022</v>
      </c>
      <c r="FC48" s="235">
        <f t="shared" ref="FC48:HP48" si="145">FC39-FC4</f>
        <v>-50730.795999999624</v>
      </c>
      <c r="FD48" s="173">
        <f t="shared" si="145"/>
        <v>-109387.78799999997</v>
      </c>
      <c r="FE48" s="241">
        <f t="shared" si="145"/>
        <v>-16825.133999999998</v>
      </c>
      <c r="FF48" s="497">
        <f t="shared" si="145"/>
        <v>179711.36200000002</v>
      </c>
      <c r="FG48" s="199">
        <f t="shared" si="145"/>
        <v>53498.440000000031</v>
      </c>
      <c r="FH48" s="173">
        <f t="shared" si="145"/>
        <v>-146806.48000000001</v>
      </c>
      <c r="FI48" s="241">
        <f t="shared" si="145"/>
        <v>114594.82499999998</v>
      </c>
      <c r="FJ48" s="241">
        <f t="shared" si="145"/>
        <v>34697.355000000003</v>
      </c>
      <c r="FK48" s="241">
        <f t="shared" si="145"/>
        <v>8674.5310000000027</v>
      </c>
      <c r="FL48" s="497">
        <f t="shared" si="145"/>
        <v>-19642.472000000002</v>
      </c>
      <c r="FM48" s="199">
        <f t="shared" si="145"/>
        <v>-8482.2409999999218</v>
      </c>
      <c r="FN48" s="173">
        <f t="shared" si="145"/>
        <v>11943.149000000001</v>
      </c>
      <c r="FO48" s="241">
        <f t="shared" si="145"/>
        <v>47274.003000000004</v>
      </c>
      <c r="FP48" s="241">
        <f t="shared" si="145"/>
        <v>-100936.88000000002</v>
      </c>
      <c r="FQ48" s="241">
        <f t="shared" si="145"/>
        <v>-12431.539999999997</v>
      </c>
      <c r="FR48" s="199">
        <f t="shared" si="145"/>
        <v>-54151.267999999982</v>
      </c>
      <c r="FS48" s="173">
        <f t="shared" si="145"/>
        <v>100608.424</v>
      </c>
      <c r="FT48" s="241">
        <f t="shared" si="145"/>
        <v>9664.4349999999995</v>
      </c>
      <c r="FU48" s="241">
        <f t="shared" si="145"/>
        <v>7769.7000000000007</v>
      </c>
      <c r="FV48" s="241">
        <f t="shared" si="145"/>
        <v>-127578.65200000002</v>
      </c>
      <c r="FW48" s="497">
        <f t="shared" si="145"/>
        <v>12325.977999999999</v>
      </c>
      <c r="FX48" s="199">
        <f t="shared" si="145"/>
        <v>-862.0570000000298</v>
      </c>
      <c r="FY48" s="173">
        <f t="shared" ref="FY48:GD48" si="146">FY39-FY4</f>
        <v>24881.087999999996</v>
      </c>
      <c r="FZ48" s="241">
        <f t="shared" si="146"/>
        <v>18324.324999999997</v>
      </c>
      <c r="GA48" s="241">
        <f t="shared" si="146"/>
        <v>42272.958999999988</v>
      </c>
      <c r="GB48" s="241">
        <f t="shared" si="146"/>
        <v>-53283.273000000001</v>
      </c>
      <c r="GC48" s="497">
        <f t="shared" si="146"/>
        <v>-145467.41</v>
      </c>
      <c r="GD48" s="199">
        <f t="shared" si="146"/>
        <v>-113272.31100000002</v>
      </c>
      <c r="GE48" s="235">
        <f t="shared" si="145"/>
        <v>-123269.43700000015</v>
      </c>
      <c r="GF48" s="173">
        <f t="shared" si="145"/>
        <v>22890.56900000001</v>
      </c>
      <c r="GG48" s="241">
        <f t="shared" si="145"/>
        <v>82094.65800000001</v>
      </c>
      <c r="GH48" s="241">
        <f t="shared" si="145"/>
        <v>154862.01999999999</v>
      </c>
      <c r="GI48" s="241">
        <f t="shared" si="145"/>
        <v>14799.463</v>
      </c>
      <c r="GJ48" s="241">
        <f t="shared" si="145"/>
        <v>-82857.52899999998</v>
      </c>
      <c r="GK48" s="199">
        <f t="shared" si="145"/>
        <v>191789.18100000004</v>
      </c>
      <c r="GL48" s="173">
        <f t="shared" si="145"/>
        <v>87966.774999999994</v>
      </c>
      <c r="GM48" s="241">
        <f t="shared" si="145"/>
        <v>-140500.11700000003</v>
      </c>
      <c r="GN48" s="241">
        <f t="shared" si="145"/>
        <v>39732.824999999997</v>
      </c>
      <c r="GO48" s="497">
        <f t="shared" si="145"/>
        <v>81043.859999999986</v>
      </c>
      <c r="GP48" s="199">
        <f t="shared" si="145"/>
        <v>68243.342999999993</v>
      </c>
      <c r="GQ48" s="173">
        <f t="shared" si="145"/>
        <v>-329269.21400000004</v>
      </c>
      <c r="GR48" s="241">
        <f t="shared" si="145"/>
        <v>-41094.875000000007</v>
      </c>
      <c r="GS48" s="241">
        <f t="shared" si="145"/>
        <v>137767.97200000001</v>
      </c>
      <c r="GT48" s="241">
        <f t="shared" si="145"/>
        <v>35566.008000000009</v>
      </c>
      <c r="GU48" s="497">
        <f t="shared" si="145"/>
        <v>48414.474000000009</v>
      </c>
      <c r="GV48" s="199">
        <f t="shared" si="145"/>
        <v>-148615.63500000001</v>
      </c>
      <c r="GW48" s="173">
        <f t="shared" si="145"/>
        <v>50230.014999999999</v>
      </c>
      <c r="GX48" s="241">
        <f t="shared" si="145"/>
        <v>8369.848</v>
      </c>
      <c r="GY48" s="241">
        <f t="shared" si="145"/>
        <v>33525.248</v>
      </c>
      <c r="GZ48" s="241">
        <f>GZ39-GZ4</f>
        <v>70796.778999999995</v>
      </c>
      <c r="HA48" s="241">
        <f>HA39-HA4</f>
        <v>43758.684999999998</v>
      </c>
      <c r="HB48" s="497">
        <f t="shared" si="145"/>
        <v>-184859.69599999997</v>
      </c>
      <c r="HC48" s="199">
        <f t="shared" si="145"/>
        <v>21820.879000000044</v>
      </c>
      <c r="HD48" s="235">
        <f t="shared" si="145"/>
        <v>133237.76799999992</v>
      </c>
      <c r="HE48" s="173">
        <f t="shared" si="145"/>
        <v>-108294.86899999998</v>
      </c>
      <c r="HF48" s="241">
        <f t="shared" si="145"/>
        <v>168532.18</v>
      </c>
      <c r="HG48" s="241">
        <f t="shared" si="145"/>
        <v>38148.359000000004</v>
      </c>
      <c r="HH48" s="241">
        <f t="shared" si="145"/>
        <v>-97947.939999999988</v>
      </c>
      <c r="HI48" s="199">
        <f t="shared" si="145"/>
        <v>437.72999999998137</v>
      </c>
      <c r="HJ48" s="173">
        <f t="shared" si="145"/>
        <v>63994.749999999993</v>
      </c>
      <c r="HK48" s="241">
        <f t="shared" si="145"/>
        <v>-76572.316000000006</v>
      </c>
      <c r="HL48" s="241">
        <f t="shared" si="145"/>
        <v>63621.605000000003</v>
      </c>
      <c r="HM48" s="241">
        <f t="shared" si="145"/>
        <v>103891.49200000001</v>
      </c>
      <c r="HN48" s="497">
        <f t="shared" si="145"/>
        <v>23619.937999999995</v>
      </c>
      <c r="HO48" s="199">
        <f t="shared" si="145"/>
        <v>178555.46900000001</v>
      </c>
      <c r="HP48" s="173">
        <f t="shared" si="145"/>
        <v>49211.136000000006</v>
      </c>
      <c r="HQ48" s="241">
        <f t="shared" ref="HQ48:JY48" si="147">HQ39-HQ4</f>
        <v>-70673.802000000011</v>
      </c>
      <c r="HR48" s="241">
        <f t="shared" si="147"/>
        <v>-277978.48000000004</v>
      </c>
      <c r="HS48" s="241">
        <f t="shared" si="147"/>
        <v>104950.18099999998</v>
      </c>
      <c r="HT48" s="497">
        <f t="shared" si="147"/>
        <v>24950.386999999999</v>
      </c>
      <c r="HU48" s="199">
        <f t="shared" si="147"/>
        <v>-169540.57800000004</v>
      </c>
      <c r="HV48" s="173">
        <f t="shared" si="147"/>
        <v>68653.281999999977</v>
      </c>
      <c r="HW48" s="241">
        <f t="shared" si="147"/>
        <v>27936.813000000002</v>
      </c>
      <c r="HX48" s="241">
        <f t="shared" si="147"/>
        <v>56797.824000000001</v>
      </c>
      <c r="HY48" s="199">
        <f t="shared" si="147"/>
        <v>153387.91899999999</v>
      </c>
      <c r="HZ48" s="173">
        <f t="shared" si="147"/>
        <v>-119363.90400000002</v>
      </c>
      <c r="IA48" s="241">
        <f>IA39-IA4</f>
        <v>4974.8829999999998</v>
      </c>
      <c r="IB48" s="497">
        <f>IB39-IB4</f>
        <v>-175958.38299999997</v>
      </c>
      <c r="IC48" s="199">
        <f t="shared" si="147"/>
        <v>-290347.40400000004</v>
      </c>
      <c r="ID48" s="235">
        <f t="shared" si="147"/>
        <v>-127506.86400000006</v>
      </c>
      <c r="IE48" s="173">
        <f t="shared" si="147"/>
        <v>-62363.713000000003</v>
      </c>
      <c r="IF48" s="497">
        <f t="shared" si="147"/>
        <v>179978.52100000001</v>
      </c>
      <c r="IG48" s="199">
        <f t="shared" si="147"/>
        <v>117614.80800000002</v>
      </c>
      <c r="IH48" s="173">
        <f t="shared" si="147"/>
        <v>31511.901000000002</v>
      </c>
      <c r="II48" s="241">
        <f t="shared" si="147"/>
        <v>9063.07</v>
      </c>
      <c r="IJ48" s="241">
        <f t="shared" si="147"/>
        <v>30224.20199999999</v>
      </c>
      <c r="IK48" s="241">
        <f t="shared" si="147"/>
        <v>48896.586999999992</v>
      </c>
      <c r="IL48" s="497">
        <f t="shared" si="147"/>
        <v>110727.99299999999</v>
      </c>
      <c r="IM48" s="199">
        <f t="shared" si="147"/>
        <v>230423.75300000006</v>
      </c>
      <c r="IN48" s="173">
        <f t="shared" si="147"/>
        <v>-449822.07299999997</v>
      </c>
      <c r="IO48" s="241">
        <f t="shared" si="147"/>
        <v>60158.397000000004</v>
      </c>
      <c r="IP48" s="497">
        <f t="shared" si="147"/>
        <v>93772.1</v>
      </c>
      <c r="IQ48" s="199">
        <f t="shared" si="147"/>
        <v>-295891.57599999983</v>
      </c>
      <c r="IR48" s="173">
        <f t="shared" si="147"/>
        <v>65065.194000000018</v>
      </c>
      <c r="IS48" s="241">
        <f t="shared" si="147"/>
        <v>81901.903999999995</v>
      </c>
      <c r="IT48" s="241">
        <f t="shared" si="147"/>
        <v>-23344.370999999999</v>
      </c>
      <c r="IU48" s="241">
        <f t="shared" si="147"/>
        <v>-140010.231</v>
      </c>
      <c r="IV48" s="497">
        <f t="shared" si="147"/>
        <v>37661.695</v>
      </c>
      <c r="IW48" s="199">
        <f t="shared" si="147"/>
        <v>21274.19100000005</v>
      </c>
      <c r="IX48" s="173">
        <f t="shared" si="147"/>
        <v>18410.021999999997</v>
      </c>
      <c r="IY48" s="241">
        <f t="shared" si="147"/>
        <v>143492.18599999999</v>
      </c>
      <c r="IZ48" s="241">
        <f t="shared" si="147"/>
        <v>53940.423000000003</v>
      </c>
      <c r="JA48" s="241">
        <f t="shared" si="147"/>
        <v>30544.770999999997</v>
      </c>
      <c r="JB48" s="497">
        <f t="shared" si="147"/>
        <v>-307912.80700000003</v>
      </c>
      <c r="JC48" s="199">
        <f t="shared" si="147"/>
        <v>-61525.40499999997</v>
      </c>
      <c r="JD48" s="235">
        <f t="shared" si="147"/>
        <v>11895.771000000183</v>
      </c>
      <c r="JE48" s="173">
        <f t="shared" si="147"/>
        <v>-38015.982000000011</v>
      </c>
      <c r="JF48" s="241">
        <f t="shared" si="147"/>
        <v>210941.38399999999</v>
      </c>
      <c r="JG48" s="241">
        <f t="shared" si="147"/>
        <v>5527.1979999999994</v>
      </c>
      <c r="JH48" s="241">
        <f t="shared" si="147"/>
        <v>55305.552999999993</v>
      </c>
      <c r="JI48" s="497">
        <f t="shared" si="147"/>
        <v>22458.409999999996</v>
      </c>
      <c r="JJ48" s="199">
        <f t="shared" si="147"/>
        <v>256216.56299999997</v>
      </c>
      <c r="JK48" s="434">
        <f t="shared" si="147"/>
        <v>0</v>
      </c>
      <c r="JL48" s="435">
        <f t="shared" si="147"/>
        <v>0</v>
      </c>
      <c r="JM48" s="435">
        <f t="shared" si="147"/>
        <v>0</v>
      </c>
      <c r="JN48" s="435">
        <f t="shared" si="147"/>
        <v>0</v>
      </c>
      <c r="JO48" s="436">
        <f t="shared" si="147"/>
        <v>0</v>
      </c>
      <c r="JP48" s="149">
        <f t="shared" si="147"/>
        <v>0</v>
      </c>
      <c r="JQ48" s="434">
        <f t="shared" si="147"/>
        <v>0</v>
      </c>
      <c r="JR48" s="435">
        <f t="shared" si="147"/>
        <v>0</v>
      </c>
      <c r="JS48" s="435">
        <f t="shared" si="147"/>
        <v>0</v>
      </c>
      <c r="JT48" s="435">
        <f t="shared" si="147"/>
        <v>0</v>
      </c>
      <c r="JU48" s="436">
        <f t="shared" si="147"/>
        <v>0</v>
      </c>
      <c r="JV48" s="149">
        <f t="shared" si="147"/>
        <v>0</v>
      </c>
      <c r="JW48" s="434">
        <f t="shared" si="147"/>
        <v>0</v>
      </c>
      <c r="JX48" s="435">
        <f t="shared" si="147"/>
        <v>0</v>
      </c>
      <c r="JY48" s="435">
        <f t="shared" si="147"/>
        <v>0</v>
      </c>
      <c r="JZ48" s="435">
        <f t="shared" ref="JZ48:LG48" si="148">JZ39-JZ4</f>
        <v>0</v>
      </c>
      <c r="KA48" s="435">
        <f t="shared" si="148"/>
        <v>0</v>
      </c>
      <c r="KB48" s="436">
        <f t="shared" si="148"/>
        <v>0</v>
      </c>
      <c r="KC48" s="149">
        <f t="shared" si="148"/>
        <v>0</v>
      </c>
      <c r="KD48" s="149">
        <f t="shared" si="148"/>
        <v>256216.56299999997</v>
      </c>
      <c r="KE48" s="434">
        <f t="shared" si="148"/>
        <v>0</v>
      </c>
      <c r="KF48" s="435">
        <f t="shared" si="148"/>
        <v>0</v>
      </c>
      <c r="KG48" s="435">
        <f t="shared" si="148"/>
        <v>0</v>
      </c>
      <c r="KH48" s="435">
        <f t="shared" si="148"/>
        <v>0</v>
      </c>
      <c r="KI48" s="436">
        <f t="shared" si="148"/>
        <v>0</v>
      </c>
      <c r="KJ48" s="149">
        <f t="shared" si="148"/>
        <v>0</v>
      </c>
      <c r="KK48" s="434">
        <f t="shared" si="148"/>
        <v>0</v>
      </c>
      <c r="KL48" s="435">
        <f t="shared" si="148"/>
        <v>0</v>
      </c>
      <c r="KM48" s="435">
        <f t="shared" si="148"/>
        <v>0</v>
      </c>
      <c r="KN48" s="435">
        <f t="shared" si="148"/>
        <v>0</v>
      </c>
      <c r="KO48" s="436">
        <f t="shared" si="148"/>
        <v>0</v>
      </c>
      <c r="KP48" s="149">
        <f t="shared" si="148"/>
        <v>0</v>
      </c>
      <c r="KQ48" s="434">
        <f t="shared" si="148"/>
        <v>0</v>
      </c>
      <c r="KR48" s="435">
        <f t="shared" si="148"/>
        <v>0</v>
      </c>
      <c r="KS48" s="435">
        <f t="shared" si="148"/>
        <v>0</v>
      </c>
      <c r="KT48" s="435">
        <f t="shared" si="148"/>
        <v>0</v>
      </c>
      <c r="KU48" s="436">
        <f t="shared" si="148"/>
        <v>0</v>
      </c>
      <c r="KV48" s="149">
        <f t="shared" si="148"/>
        <v>0</v>
      </c>
      <c r="KW48" s="434">
        <f t="shared" si="148"/>
        <v>0</v>
      </c>
      <c r="KX48" s="435">
        <f t="shared" si="148"/>
        <v>0</v>
      </c>
      <c r="KY48" s="435">
        <f t="shared" si="148"/>
        <v>0</v>
      </c>
      <c r="KZ48" s="435">
        <f t="shared" si="148"/>
        <v>0</v>
      </c>
      <c r="LA48" s="436">
        <f t="shared" si="148"/>
        <v>0</v>
      </c>
      <c r="LB48" s="149">
        <f t="shared" si="148"/>
        <v>0</v>
      </c>
      <c r="LC48" s="434">
        <f t="shared" si="148"/>
        <v>0</v>
      </c>
      <c r="LD48" s="435">
        <f t="shared" si="148"/>
        <v>0</v>
      </c>
      <c r="LE48" s="436">
        <f t="shared" si="148"/>
        <v>0</v>
      </c>
      <c r="LF48" s="149">
        <f t="shared" si="148"/>
        <v>0</v>
      </c>
      <c r="LG48" s="149">
        <f t="shared" si="148"/>
        <v>-1161</v>
      </c>
      <c r="LJ48" s="201"/>
    </row>
    <row r="49" spans="2:321">
      <c r="B49" s="363" t="s">
        <v>373</v>
      </c>
      <c r="C49" s="174">
        <v>-48951.521999999997</v>
      </c>
      <c r="D49" s="174">
        <v>-48951.521999999997</v>
      </c>
      <c r="AB49" s="174">
        <v>-48951.521999999997</v>
      </c>
      <c r="AC49" s="207"/>
      <c r="AD49" s="207"/>
      <c r="AE49" s="207"/>
      <c r="AF49" s="207"/>
      <c r="AG49" s="207"/>
      <c r="AH49" s="207"/>
      <c r="AI49" s="207"/>
      <c r="AJ49" s="207"/>
      <c r="AK49" s="207"/>
      <c r="AL49" s="207"/>
      <c r="AM49" s="207"/>
      <c r="AN49" s="207"/>
      <c r="AO49" s="207"/>
      <c r="AP49" s="207"/>
      <c r="AQ49" s="207"/>
      <c r="AR49" s="207"/>
      <c r="AS49" s="207"/>
      <c r="AT49" s="207"/>
      <c r="AU49" s="207"/>
      <c r="AV49" s="207"/>
      <c r="AW49" s="207"/>
      <c r="AX49" s="207"/>
      <c r="AY49" s="207"/>
      <c r="AZ49" s="207"/>
      <c r="BA49" s="201"/>
      <c r="BB49" s="201"/>
      <c r="BC49" s="201"/>
      <c r="BD49" s="201"/>
      <c r="BE49" s="201"/>
      <c r="BF49" s="201"/>
      <c r="BG49" s="201"/>
      <c r="BH49" s="201"/>
      <c r="BI49" s="201"/>
      <c r="BJ49" s="201"/>
      <c r="BK49" s="201"/>
      <c r="BL49" s="201"/>
      <c r="BM49" s="201"/>
      <c r="BN49" s="201"/>
      <c r="BO49" s="201"/>
      <c r="BP49" s="201"/>
      <c r="BQ49" s="201"/>
      <c r="BR49" s="201"/>
      <c r="BS49" s="201"/>
      <c r="BT49" s="201"/>
      <c r="BU49" s="201"/>
      <c r="BV49" s="201"/>
      <c r="BW49" s="201"/>
      <c r="BX49" s="201"/>
      <c r="BY49" s="201"/>
      <c r="BZ49" s="201"/>
      <c r="CA49" s="201"/>
      <c r="CB49" s="201"/>
      <c r="CC49" s="201"/>
      <c r="CD49" s="201"/>
      <c r="CE49" s="201"/>
      <c r="CF49" s="201"/>
      <c r="CG49" s="201"/>
      <c r="CH49" s="201"/>
      <c r="CI49" s="201"/>
      <c r="CJ49" s="201"/>
      <c r="CK49" s="201"/>
      <c r="CL49" s="201"/>
      <c r="CM49" s="201"/>
      <c r="CN49" s="201"/>
      <c r="CO49" s="201"/>
      <c r="CP49" s="201"/>
      <c r="CQ49" s="201"/>
      <c r="CR49" s="201"/>
      <c r="CS49" s="201"/>
      <c r="CT49" s="201"/>
      <c r="CU49" s="201"/>
      <c r="CV49" s="201"/>
      <c r="CW49" s="201"/>
      <c r="CX49" s="201"/>
      <c r="CY49" s="201"/>
      <c r="CZ49" s="201"/>
      <c r="DA49" s="201"/>
      <c r="DB49" s="201"/>
      <c r="DC49" s="201"/>
      <c r="DD49" s="201"/>
      <c r="DE49" s="201"/>
      <c r="DF49" s="201"/>
      <c r="DG49" s="201"/>
      <c r="DH49" s="201"/>
      <c r="DI49" s="201"/>
      <c r="DJ49" s="201"/>
      <c r="DK49" s="201"/>
      <c r="DL49" s="201"/>
      <c r="DM49" s="201"/>
      <c r="DN49" s="201"/>
      <c r="DO49" s="201"/>
      <c r="DP49" s="201"/>
      <c r="DQ49" s="201"/>
      <c r="DR49" s="201"/>
      <c r="DS49" s="201"/>
      <c r="DT49" s="201"/>
      <c r="DU49" s="201"/>
      <c r="DV49" s="201"/>
      <c r="DW49" s="201"/>
      <c r="DX49" s="201"/>
      <c r="DY49" s="201"/>
      <c r="DZ49" s="201"/>
      <c r="EA49" s="201"/>
      <c r="EB49" s="201"/>
      <c r="EC49" s="201"/>
      <c r="ED49" s="201"/>
      <c r="EE49" s="201"/>
      <c r="EF49" s="201"/>
      <c r="EG49" s="201"/>
      <c r="EH49" s="201"/>
      <c r="EI49" s="201"/>
      <c r="EJ49" s="201"/>
      <c r="EK49" s="201"/>
      <c r="EL49" s="201"/>
      <c r="EM49" s="201"/>
      <c r="EN49" s="201"/>
      <c r="EO49" s="201"/>
      <c r="EP49" s="201"/>
      <c r="EQ49" s="201"/>
      <c r="ER49" s="201"/>
      <c r="ES49" s="201"/>
      <c r="ET49" s="201"/>
      <c r="EU49" s="201"/>
      <c r="EV49" s="201"/>
      <c r="EW49" s="201"/>
      <c r="EX49" s="201"/>
      <c r="EY49" s="201"/>
      <c r="EZ49" s="201"/>
      <c r="FA49" s="201"/>
      <c r="FB49" s="201"/>
      <c r="FC49" s="201"/>
      <c r="FD49" s="201"/>
      <c r="FE49" s="201"/>
      <c r="FF49" s="201"/>
      <c r="FG49" s="201"/>
      <c r="FH49" s="201"/>
      <c r="FI49" s="201"/>
      <c r="FJ49" s="201"/>
      <c r="FK49" s="201"/>
      <c r="FL49" s="201"/>
      <c r="FM49" s="201"/>
      <c r="FN49" s="201"/>
      <c r="FO49" s="201"/>
      <c r="FP49" s="201"/>
      <c r="FQ49" s="201"/>
      <c r="FR49" s="201"/>
      <c r="FS49" s="201"/>
      <c r="FT49" s="201"/>
      <c r="FU49" s="201"/>
      <c r="FV49" s="201"/>
      <c r="FW49" s="201"/>
      <c r="FX49" s="201"/>
      <c r="FY49" s="201"/>
      <c r="FZ49" s="201"/>
      <c r="GA49" s="201"/>
      <c r="GB49" s="201"/>
      <c r="GC49" s="201"/>
      <c r="GD49" s="201"/>
      <c r="GE49" s="201"/>
      <c r="GF49" s="201"/>
      <c r="GG49" s="201"/>
      <c r="GH49" s="201"/>
      <c r="GI49" s="201"/>
      <c r="GJ49" s="201"/>
      <c r="GK49" s="201"/>
      <c r="GL49" s="201"/>
      <c r="GM49" s="201"/>
      <c r="GN49" s="201"/>
      <c r="GO49" s="201"/>
      <c r="GP49" s="201"/>
      <c r="GQ49" s="201"/>
      <c r="GR49" s="201"/>
      <c r="GS49" s="201"/>
      <c r="GT49" s="201"/>
      <c r="GU49" s="201"/>
      <c r="GV49" s="201"/>
      <c r="GW49" s="201"/>
      <c r="GX49" s="201"/>
      <c r="GY49" s="201"/>
      <c r="GZ49" s="201"/>
      <c r="HA49" s="201"/>
      <c r="HB49" s="201"/>
      <c r="HC49" s="201"/>
      <c r="HD49" s="201"/>
      <c r="HE49" s="201"/>
      <c r="HF49" s="201"/>
      <c r="HG49" s="201"/>
      <c r="HH49" s="201"/>
      <c r="HI49" s="201"/>
      <c r="HJ49" s="201"/>
      <c r="HK49" s="201"/>
      <c r="HL49" s="201"/>
      <c r="HM49" s="201"/>
      <c r="HN49" s="201"/>
      <c r="HO49" s="201"/>
      <c r="HP49" s="201"/>
      <c r="HQ49" s="201"/>
      <c r="HR49" s="201"/>
      <c r="HS49" s="201"/>
      <c r="HT49" s="201"/>
      <c r="HU49" s="201"/>
      <c r="HV49" s="201"/>
      <c r="HW49" s="201"/>
      <c r="HX49" s="201"/>
      <c r="HY49" s="201"/>
      <c r="HZ49" s="201"/>
      <c r="IA49" s="201"/>
      <c r="IB49" s="201"/>
      <c r="IC49" s="201"/>
      <c r="ID49" s="201"/>
      <c r="IE49" s="201"/>
      <c r="IF49" s="201"/>
      <c r="IG49" s="201"/>
      <c r="IH49" s="201"/>
      <c r="II49" s="201"/>
      <c r="IJ49" s="201"/>
      <c r="IK49" s="201"/>
      <c r="IL49" s="201"/>
      <c r="IM49" s="201"/>
      <c r="IN49" s="201"/>
      <c r="IO49" s="201"/>
      <c r="IP49" s="201"/>
      <c r="IQ49" s="201"/>
      <c r="IR49" s="201"/>
      <c r="IS49" s="201"/>
      <c r="IT49" s="201"/>
      <c r="IU49" s="201"/>
      <c r="IV49" s="201"/>
      <c r="IW49" s="201"/>
      <c r="IX49" s="201"/>
      <c r="IY49" s="201"/>
      <c r="IZ49" s="201"/>
      <c r="JA49" s="201"/>
      <c r="JB49" s="201"/>
      <c r="JC49" s="201"/>
      <c r="JD49" s="201"/>
      <c r="JE49" s="201"/>
      <c r="JF49" s="201"/>
      <c r="JG49" s="201"/>
      <c r="JH49" s="201"/>
      <c r="JI49" s="201"/>
      <c r="JJ49" s="201"/>
      <c r="JK49" s="201"/>
      <c r="JL49" s="201"/>
      <c r="JM49" s="201"/>
      <c r="JN49" s="201"/>
      <c r="JO49" s="201"/>
      <c r="JP49" s="201"/>
      <c r="JQ49" s="201"/>
      <c r="JR49" s="201"/>
      <c r="JS49" s="201"/>
      <c r="JT49" s="201"/>
      <c r="JU49" s="201"/>
      <c r="JV49" s="201"/>
      <c r="JW49" s="201"/>
      <c r="JX49" s="201"/>
      <c r="JY49" s="201"/>
      <c r="JZ49" s="201"/>
      <c r="KA49" s="201"/>
      <c r="KB49" s="201"/>
      <c r="KC49" s="201"/>
      <c r="KD49" s="201"/>
      <c r="KE49" s="201"/>
      <c r="KF49" s="201"/>
      <c r="KG49" s="201"/>
      <c r="KH49" s="201"/>
      <c r="KI49" s="201"/>
      <c r="KJ49" s="201"/>
      <c r="KK49" s="201"/>
      <c r="KL49" s="201"/>
      <c r="KM49" s="201"/>
      <c r="KN49" s="201"/>
      <c r="KO49" s="201"/>
      <c r="KP49" s="201"/>
      <c r="KQ49" s="201"/>
      <c r="KR49" s="201"/>
      <c r="KS49" s="201"/>
      <c r="KT49" s="201"/>
      <c r="KU49" s="201"/>
      <c r="KV49" s="201"/>
      <c r="KW49" s="201"/>
      <c r="KX49" s="201"/>
      <c r="KY49" s="201"/>
      <c r="KZ49" s="201"/>
      <c r="LA49" s="201"/>
      <c r="LB49" s="201"/>
      <c r="LC49" s="201"/>
      <c r="LD49" s="201"/>
      <c r="LE49" s="201"/>
      <c r="LF49" s="201"/>
      <c r="LG49" s="201"/>
    </row>
    <row r="50" spans="2:321">
      <c r="B50" s="364" t="s">
        <v>168</v>
      </c>
      <c r="C50" s="175">
        <f>C49+C48</f>
        <v>16273.410999999993</v>
      </c>
      <c r="D50" s="442">
        <f>+C49+D48</f>
        <v>16273.410999999993</v>
      </c>
      <c r="E50" s="175">
        <f>D50+E48</f>
        <v>182587.18399999998</v>
      </c>
      <c r="F50" s="175">
        <f>E50+F48</f>
        <v>53102.581999999995</v>
      </c>
      <c r="G50" s="175">
        <f>F50+G48</f>
        <v>89185.975999999995</v>
      </c>
      <c r="H50" s="175">
        <f>G50+H48</f>
        <v>135188.05099999998</v>
      </c>
      <c r="I50" s="175">
        <f>H50+I48</f>
        <v>165015.02799999999</v>
      </c>
      <c r="J50" s="175">
        <f>D50+J48</f>
        <v>165015.02799999996</v>
      </c>
      <c r="K50" s="175">
        <f>J50+K48</f>
        <v>194466.91499999998</v>
      </c>
      <c r="L50" s="175">
        <f>K50+L48</f>
        <v>68233.615999999951</v>
      </c>
      <c r="M50" s="175">
        <f>K50+M48</f>
        <v>210025.94299999997</v>
      </c>
      <c r="N50" s="175">
        <f>M50+N48</f>
        <v>219662.54199999996</v>
      </c>
      <c r="O50" s="175">
        <f>+J50+O48</f>
        <v>93429.243000000017</v>
      </c>
      <c r="P50" s="175">
        <f>O50+P48</f>
        <v>105038.77200000001</v>
      </c>
      <c r="Q50" s="175">
        <f>P50+Q48</f>
        <v>163633.80800000002</v>
      </c>
      <c r="R50" s="175">
        <f>Q50+R48</f>
        <v>56917.57100000004</v>
      </c>
      <c r="S50" s="175">
        <f>R50+S48</f>
        <v>130244.88200000004</v>
      </c>
      <c r="T50" s="175">
        <f>S50+T48</f>
        <v>444647.22000000009</v>
      </c>
      <c r="U50" s="175">
        <f>+O50+U48</f>
        <v>444647.22</v>
      </c>
      <c r="V50" s="175">
        <f>U50+V48</f>
        <v>111692.29600000003</v>
      </c>
      <c r="W50" s="175">
        <f>V50+W48</f>
        <v>-54658.170999999973</v>
      </c>
      <c r="X50" s="175">
        <f>W50+X48</f>
        <v>-87823.527999999962</v>
      </c>
      <c r="Y50" s="175">
        <f>X50+Y48</f>
        <v>-113532.54899999996</v>
      </c>
      <c r="Z50" s="175">
        <f>Y50+Z48</f>
        <v>-125178.13699999996</v>
      </c>
      <c r="AA50" s="175">
        <f>+U50+AA48</f>
        <v>-125178.1370000001</v>
      </c>
      <c r="AB50" s="175">
        <f>+D49+AB48</f>
        <v>-125178.13699999999</v>
      </c>
      <c r="AC50" s="175">
        <f>AB50+AC48</f>
        <v>-235597.09699999995</v>
      </c>
      <c r="AD50" s="175">
        <f>AC50+AD48</f>
        <v>-115825.68999999997</v>
      </c>
      <c r="AE50" s="175">
        <f>AD50+AE48</f>
        <v>56360.950000000012</v>
      </c>
      <c r="AF50" s="175">
        <f>AE50+AF48</f>
        <v>56282.119000000006</v>
      </c>
      <c r="AG50" s="175">
        <f>AF50+AG48</f>
        <v>78717.877999999997</v>
      </c>
      <c r="AH50" s="175">
        <f>AB50+AH48</f>
        <v>78717.878000000142</v>
      </c>
      <c r="AI50" s="175">
        <f>AH50+AI48</f>
        <v>152966.20200000014</v>
      </c>
      <c r="AJ50" s="175">
        <f>AI50+AJ48</f>
        <v>150382.54000000012</v>
      </c>
      <c r="AK50" s="175">
        <f>AJ50+AK48</f>
        <v>191020.41400000014</v>
      </c>
      <c r="AL50" s="175">
        <f>AK50+AL48</f>
        <v>-74269.944999999861</v>
      </c>
      <c r="AM50" s="175">
        <f>AL50+AM48</f>
        <v>-84206.621999999858</v>
      </c>
      <c r="AN50" s="175">
        <f>AH50+AN48</f>
        <v>-84252.916999999725</v>
      </c>
      <c r="AO50" s="175">
        <f>AN50+AO48</f>
        <v>-117316.93299999973</v>
      </c>
      <c r="AP50" s="175">
        <f>AO50+AP48</f>
        <v>-98055.865999999718</v>
      </c>
      <c r="AQ50" s="175">
        <f>AP50+AQ48</f>
        <v>35129.093000000285</v>
      </c>
      <c r="AR50" s="175">
        <f>AQ50+AR48</f>
        <v>-55537.281999999715</v>
      </c>
      <c r="AS50" s="175">
        <f>AR50+AS48</f>
        <v>120857.58500000028</v>
      </c>
      <c r="AT50" s="175">
        <f>AN50+AT48</f>
        <v>120857.58500000017</v>
      </c>
      <c r="AU50" s="175">
        <f>AT50+AU48</f>
        <v>-152307.82399999982</v>
      </c>
      <c r="AV50" s="175">
        <f>AU50+AV48</f>
        <v>-83330.156999999832</v>
      </c>
      <c r="AW50" s="175">
        <f>AV50+AW48</f>
        <v>-11065.427999999825</v>
      </c>
      <c r="AX50" s="175">
        <f>AW50+AX48</f>
        <v>6418.5530000001709</v>
      </c>
      <c r="AY50" s="175">
        <f>AX50+AY48</f>
        <v>84305.508000000176</v>
      </c>
      <c r="AZ50" s="175">
        <f>AT50+AZ48</f>
        <v>84305.508000000118</v>
      </c>
      <c r="BA50" s="175">
        <f>AB50+BA48</f>
        <v>84305.508000000264</v>
      </c>
      <c r="BB50" s="175">
        <f>BA50+BB48</f>
        <v>-163436.48799999978</v>
      </c>
      <c r="BC50" s="175">
        <f>BB50+BC48</f>
        <v>-142489.01799999981</v>
      </c>
      <c r="BD50" s="175">
        <f>BC50+BD48</f>
        <v>-185973.99199999977</v>
      </c>
      <c r="BE50" s="175">
        <f>BD50+BE48</f>
        <v>-166179.00099999976</v>
      </c>
      <c r="BF50" s="175">
        <f>BE50+BF48</f>
        <v>-146656.52699999977</v>
      </c>
      <c r="BG50" s="175">
        <f>BA50+BG48</f>
        <v>-146656.52699999959</v>
      </c>
      <c r="BH50" s="175">
        <f>BG50+BH48</f>
        <v>-275425.82899999962</v>
      </c>
      <c r="BI50" s="175">
        <f>BH50+BI48</f>
        <v>-118136.98199999964</v>
      </c>
      <c r="BJ50" s="175">
        <f>BI50+BJ48</f>
        <v>61700.556000000332</v>
      </c>
      <c r="BK50" s="175">
        <f>BJ50+BK48</f>
        <v>111676.49400000034</v>
      </c>
      <c r="BL50" s="175">
        <f>BK50+BL48</f>
        <v>-117329.24499999966</v>
      </c>
      <c r="BM50" s="175">
        <f>BG50+BM48</f>
        <v>-117329.24499999959</v>
      </c>
      <c r="BN50" s="175">
        <f>BM50+BN48</f>
        <v>-166503.54399999959</v>
      </c>
      <c r="BO50" s="175">
        <f>BN50+BO48</f>
        <v>-236164.38099999956</v>
      </c>
      <c r="BP50" s="175">
        <f>BO50+BP48</f>
        <v>-68547.725999999559</v>
      </c>
      <c r="BQ50" s="175">
        <f>BP50+BQ48</f>
        <v>-52255.426999999559</v>
      </c>
      <c r="BR50" s="175">
        <f>BM50+BR48</f>
        <v>-52255.426999999589</v>
      </c>
      <c r="BS50" s="175">
        <f>BR50+BS48</f>
        <v>-221045.32199999958</v>
      </c>
      <c r="BT50" s="175">
        <f>BS50+BT48</f>
        <v>-241470.02699999959</v>
      </c>
      <c r="BU50" s="175">
        <f>BT50+BU48</f>
        <v>-51119.94399999961</v>
      </c>
      <c r="BV50" s="175">
        <f>BU50+BV48</f>
        <v>-203099.30799999961</v>
      </c>
      <c r="BW50" s="175">
        <f>BV50+BW48</f>
        <v>-204204.6049999996</v>
      </c>
      <c r="BX50" s="175">
        <f>BR50+BX48</f>
        <v>-204204.60499999954</v>
      </c>
      <c r="BY50" s="175">
        <f>BX50+BY48</f>
        <v>-145677.76599999954</v>
      </c>
      <c r="BZ50" s="175">
        <f>BY50+BZ48</f>
        <v>-418004.79699999961</v>
      </c>
      <c r="CA50" s="175">
        <f>BX50+CA48</f>
        <v>-418004.79699999955</v>
      </c>
      <c r="CB50" s="175">
        <f>BA50+CB48</f>
        <v>-418004.79699999944</v>
      </c>
      <c r="CC50" s="175">
        <f>CB50+CC48</f>
        <v>-344191.44899999944</v>
      </c>
      <c r="CD50" s="175">
        <f>CC50+CD48</f>
        <v>-306799.53799999948</v>
      </c>
      <c r="CE50" s="175">
        <f>CD50+CE48</f>
        <v>-288344.46999999951</v>
      </c>
      <c r="CF50" s="175">
        <f>CB50+CF48</f>
        <v>-288344.46999999951</v>
      </c>
      <c r="CG50" s="175">
        <f>CF50+CG48</f>
        <v>-248007.92099999945</v>
      </c>
      <c r="CH50" s="175">
        <f>CG50+CH48</f>
        <v>-256078.49799999944</v>
      </c>
      <c r="CI50" s="175">
        <f>CH50+CI48</f>
        <v>-190699.29299999942</v>
      </c>
      <c r="CJ50" s="175">
        <f>CI50+CJ48</f>
        <v>-166138.53799999942</v>
      </c>
      <c r="CK50" s="175">
        <f>CF50+CK48</f>
        <v>-166138.53799999948</v>
      </c>
      <c r="CL50" s="175">
        <f>CK50+CL48</f>
        <v>-125169.67899999948</v>
      </c>
      <c r="CM50" s="175">
        <f>CL50+CM48</f>
        <v>-65710.540999999474</v>
      </c>
      <c r="CN50" s="175">
        <f>CM50+CN48</f>
        <v>-260551.65599999946</v>
      </c>
      <c r="CO50" s="175">
        <f>CN50+CO48</f>
        <v>-283359.64499999949</v>
      </c>
      <c r="CP50" s="175">
        <f>CO50+CP48</f>
        <v>-221991.70899999951</v>
      </c>
      <c r="CQ50" s="175">
        <f>CK50+CQ48</f>
        <v>-221991.70899999951</v>
      </c>
      <c r="CR50" s="175">
        <f>CQ50+CR48</f>
        <v>-205183.36399999951</v>
      </c>
      <c r="CS50" s="175">
        <f>CR50+CS48</f>
        <v>-304570.50499999954</v>
      </c>
      <c r="CT50" s="175">
        <f>CS50+CT48</f>
        <v>-185854.97199999951</v>
      </c>
      <c r="CU50" s="175">
        <f>CT50+CU48</f>
        <v>-170150.65699999951</v>
      </c>
      <c r="CV50" s="175">
        <f>CU50+CV48</f>
        <v>-281842.07499999949</v>
      </c>
      <c r="CW50" s="175">
        <f>CQ50+CW48</f>
        <v>-281842.07499999949</v>
      </c>
      <c r="CX50" s="175">
        <f>CW50+CX48</f>
        <v>-277964.24499999947</v>
      </c>
      <c r="CY50" s="175">
        <f>CX50+CY48</f>
        <v>-162295.82599999948</v>
      </c>
      <c r="CZ50" s="175">
        <f>CY50+CZ48</f>
        <v>-125429.38999999948</v>
      </c>
      <c r="DA50" s="175">
        <f>CZ50+DA48</f>
        <v>-392107.79399999947</v>
      </c>
      <c r="DB50" s="175">
        <f>CW50+DB48</f>
        <v>-392107.79399999953</v>
      </c>
      <c r="DC50" s="175">
        <f>CB50+DC48</f>
        <v>-392107.79399999848</v>
      </c>
      <c r="DD50" s="175">
        <f>DC50+DD48</f>
        <v>-399480.26899999846</v>
      </c>
      <c r="DE50" s="175">
        <f>DD50+DE48</f>
        <v>-195831.26499999844</v>
      </c>
      <c r="DF50" s="175">
        <f>DE50+DF48</f>
        <v>-216413.81899999845</v>
      </c>
      <c r="DG50" s="175">
        <f>DF50+DG48</f>
        <v>-263544.87599999842</v>
      </c>
      <c r="DH50" s="175">
        <f>DG50+DH48</f>
        <v>-220627.25599999842</v>
      </c>
      <c r="DI50" s="175">
        <f>DC50+DI48</f>
        <v>-220627.25599999854</v>
      </c>
      <c r="DJ50" s="175">
        <f>DI50+DJ48</f>
        <v>-236264.20999999851</v>
      </c>
      <c r="DK50" s="175">
        <f>DJ50+DK48</f>
        <v>-218400.31199999852</v>
      </c>
      <c r="DL50" s="175">
        <f>DK50+DL48</f>
        <v>-157488.91399999853</v>
      </c>
      <c r="DM50" s="175">
        <f>DL50+DM48</f>
        <v>-142666.15099999853</v>
      </c>
      <c r="DN50" s="175">
        <f>DM50+DN48</f>
        <v>-177800.97599999854</v>
      </c>
      <c r="DO50" s="175">
        <f>DI50+DO48</f>
        <v>-177800.97599999854</v>
      </c>
      <c r="DP50" s="175">
        <f>DO50+DP48</f>
        <v>-182261.67499999853</v>
      </c>
      <c r="DQ50" s="175">
        <f>DP50+DQ48</f>
        <v>-78783.252999998542</v>
      </c>
      <c r="DR50" s="175">
        <f>DQ50+DR48</f>
        <v>-368959.07299999858</v>
      </c>
      <c r="DS50" s="175">
        <f>DR50+DS48</f>
        <v>-349608.50299999857</v>
      </c>
      <c r="DT50" s="175">
        <f>DS50+DT48</f>
        <v>-300718.05399999855</v>
      </c>
      <c r="DU50" s="175">
        <f>DO50+DU48</f>
        <v>-300718.05399999861</v>
      </c>
      <c r="DV50" s="175">
        <f>DU50+DV48</f>
        <v>-268743.81799999857</v>
      </c>
      <c r="DW50" s="175">
        <f>DV50+DW48</f>
        <v>-244133.65599999856</v>
      </c>
      <c r="DX50" s="175">
        <f>DW50+DX48</f>
        <v>-249817.35299999855</v>
      </c>
      <c r="DY50" s="175">
        <f>DX50+DY48</f>
        <v>-227388.74999999854</v>
      </c>
      <c r="DZ50" s="175">
        <f>DY50+DZ48</f>
        <v>-197273.54999999853</v>
      </c>
      <c r="EA50" s="175">
        <f>DU50+EA48</f>
        <v>-197273.54999999862</v>
      </c>
      <c r="EB50" s="175">
        <f>DC50+EB48</f>
        <v>-197273.54999999877</v>
      </c>
      <c r="EC50" s="175">
        <f>EB50+EC48</f>
        <v>-271679.99999999878</v>
      </c>
      <c r="ED50" s="175">
        <f>EC50+ED48</f>
        <v>-169046.21899999876</v>
      </c>
      <c r="EE50" s="175">
        <f>ED50+EE48</f>
        <v>-204337.81399999876</v>
      </c>
      <c r="EF50" s="175">
        <f>EE50+EF48</f>
        <v>-210999.15899999876</v>
      </c>
      <c r="EG50" s="175">
        <f>EF50+EG48</f>
        <v>-185792.34199999875</v>
      </c>
      <c r="EH50" s="175">
        <f>EB50+EH48</f>
        <v>-185792.34199999872</v>
      </c>
      <c r="EI50" s="175">
        <f>EH50+EI48</f>
        <v>-68775.815999998726</v>
      </c>
      <c r="EJ50" s="175">
        <f>EI50+EJ48</f>
        <v>-181006.27999999872</v>
      </c>
      <c r="EK50" s="175">
        <f>EJ50+EK48</f>
        <v>-179081.32899999872</v>
      </c>
      <c r="EL50" s="175">
        <f>EK50+EL48</f>
        <v>-220701.38899999874</v>
      </c>
      <c r="EM50" s="175">
        <f>EL50+EM48</f>
        <v>-163413.21499999875</v>
      </c>
      <c r="EN50" s="175">
        <f>EH50+EN48</f>
        <v>-163413.21499999869</v>
      </c>
      <c r="EO50" s="175">
        <f>EN50+EO48</f>
        <v>-266086.17399999872</v>
      </c>
      <c r="EP50" s="175">
        <f>EO50+EP48</f>
        <v>-277229.6269999987</v>
      </c>
      <c r="EQ50" s="175">
        <f>EP50+EQ48</f>
        <v>-161452.05499999871</v>
      </c>
      <c r="ER50" s="175">
        <f>EQ50+ER48</f>
        <v>-202209.29699999871</v>
      </c>
      <c r="ES50" s="175">
        <f>ER50+ES48</f>
        <v>-188611.18499999872</v>
      </c>
      <c r="ET50" s="175">
        <f>EN50+ET48</f>
        <v>-188611.18499999866</v>
      </c>
      <c r="EU50" s="175">
        <f t="shared" ref="EU50:FA50" si="149">ET50+EU48</f>
        <v>-198101.65599999868</v>
      </c>
      <c r="EV50" s="175">
        <f t="shared" si="149"/>
        <v>-174939.19599999866</v>
      </c>
      <c r="EW50" s="175">
        <f t="shared" si="149"/>
        <v>-105286.77199999867</v>
      </c>
      <c r="EX50" s="175">
        <f t="shared" si="149"/>
        <v>-105892.61999999867</v>
      </c>
      <c r="EY50" s="175">
        <f t="shared" si="149"/>
        <v>-187101.37099999867</v>
      </c>
      <c r="EZ50" s="175">
        <f t="shared" si="149"/>
        <v>-201830.48199999868</v>
      </c>
      <c r="FA50" s="175">
        <f t="shared" si="149"/>
        <v>-248004.34599999868</v>
      </c>
      <c r="FB50" s="175">
        <f>ET50+FB48</f>
        <v>-248004.34599999868</v>
      </c>
      <c r="FC50" s="175">
        <f>EB50+FC48</f>
        <v>-248004.34599999839</v>
      </c>
      <c r="FD50" s="175">
        <f>FC50+FD48</f>
        <v>-357392.13399999833</v>
      </c>
      <c r="FE50" s="175">
        <f>FD50+FE48</f>
        <v>-374217.26799999835</v>
      </c>
      <c r="FF50" s="175">
        <f>FE50+FF48</f>
        <v>-194505.90599999833</v>
      </c>
      <c r="FG50" s="175">
        <f>FC50+FG48</f>
        <v>-194505.90599999836</v>
      </c>
      <c r="FH50" s="175">
        <f>FG50+FH48</f>
        <v>-341312.38599999837</v>
      </c>
      <c r="FI50" s="175">
        <f>FH50+FI48</f>
        <v>-226717.56099999839</v>
      </c>
      <c r="FJ50" s="175">
        <f>FI50+FJ48</f>
        <v>-192020.20599999838</v>
      </c>
      <c r="FK50" s="175">
        <f>FJ50+FK48</f>
        <v>-183345.67499999836</v>
      </c>
      <c r="FL50" s="175">
        <f>FK50+FL48</f>
        <v>-202988.14699999837</v>
      </c>
      <c r="FM50" s="175">
        <f>FG50+FM48</f>
        <v>-202988.14699999828</v>
      </c>
      <c r="FN50" s="175">
        <f>FM50+FN48</f>
        <v>-191044.99799999828</v>
      </c>
      <c r="FO50" s="175">
        <f>FN50+FO48</f>
        <v>-143770.99499999828</v>
      </c>
      <c r="FP50" s="175">
        <f>FO50+FP48</f>
        <v>-244707.87499999831</v>
      </c>
      <c r="FQ50" s="175">
        <f>FP50+FQ48</f>
        <v>-257139.41499999832</v>
      </c>
      <c r="FR50" s="175">
        <f>FM50+FR48</f>
        <v>-257139.41499999826</v>
      </c>
      <c r="FS50" s="175">
        <f>FR50+FS48</f>
        <v>-156530.99099999826</v>
      </c>
      <c r="FT50" s="175">
        <f>FS50+FT48</f>
        <v>-146866.55599999827</v>
      </c>
      <c r="FU50" s="175">
        <f>FT50+FU48</f>
        <v>-139096.85599999825</v>
      </c>
      <c r="FV50" s="175">
        <f>FU50+FV48</f>
        <v>-266675.50799999828</v>
      </c>
      <c r="FW50" s="175">
        <f>FV50+FW48</f>
        <v>-254349.52999999828</v>
      </c>
      <c r="FX50" s="175">
        <f>FR50+FX48</f>
        <v>-258001.47199999829</v>
      </c>
      <c r="FY50" s="175">
        <f>FX50+FY48</f>
        <v>-233120.3839999983</v>
      </c>
      <c r="FZ50" s="175">
        <f>FY50+FZ48</f>
        <v>-214796.05899999832</v>
      </c>
      <c r="GA50" s="175">
        <f>FZ50+GA48</f>
        <v>-172523.09999999835</v>
      </c>
      <c r="GB50" s="175">
        <f>GA50+GB48</f>
        <v>-225806.37299999833</v>
      </c>
      <c r="GC50" s="175">
        <f>GB50+GC48</f>
        <v>-371273.78299999831</v>
      </c>
      <c r="GD50" s="175">
        <f>FX50+GD48</f>
        <v>-371273.78299999831</v>
      </c>
      <c r="GE50" s="175">
        <f>FC50+GE48</f>
        <v>-371273.78299999854</v>
      </c>
      <c r="GF50" s="175">
        <f>GE50+GF48</f>
        <v>-348383.21399999852</v>
      </c>
      <c r="GG50" s="175">
        <f>GF50+GG48</f>
        <v>-266288.55599999853</v>
      </c>
      <c r="GH50" s="175">
        <f>GG50+GH48</f>
        <v>-111426.53599999854</v>
      </c>
      <c r="GI50" s="175">
        <f>GH50+GI48</f>
        <v>-96627.072999998534</v>
      </c>
      <c r="GJ50" s="175">
        <f>GI50+GJ48</f>
        <v>-179484.6019999985</v>
      </c>
      <c r="GK50" s="175">
        <f>GE50+GK48</f>
        <v>-179484.6019999985</v>
      </c>
      <c r="GL50" s="175">
        <f>GK50+GL48</f>
        <v>-91517.826999998506</v>
      </c>
      <c r="GM50" s="175">
        <f>GL50+GM48</f>
        <v>-232017.94399999853</v>
      </c>
      <c r="GN50" s="175">
        <f>GM50+GN48</f>
        <v>-192285.11899999855</v>
      </c>
      <c r="GO50" s="175">
        <f>GN50+GO48</f>
        <v>-111241.25899999856</v>
      </c>
      <c r="GP50" s="175">
        <f>GK50+GP48</f>
        <v>-111241.25899999851</v>
      </c>
      <c r="GQ50" s="175">
        <f>GP50+GQ48</f>
        <v>-440510.47299999854</v>
      </c>
      <c r="GR50" s="175">
        <f>GQ50+GR48</f>
        <v>-481605.34799999854</v>
      </c>
      <c r="GS50" s="175">
        <f>GR50+GS48</f>
        <v>-343837.37599999853</v>
      </c>
      <c r="GT50" s="175">
        <f>GS50+GT48</f>
        <v>-308271.3679999985</v>
      </c>
      <c r="GU50" s="175">
        <f>GT50+GU48</f>
        <v>-259856.89399999849</v>
      </c>
      <c r="GV50" s="175">
        <f>GP50+GV48</f>
        <v>-259856.89399999852</v>
      </c>
      <c r="GW50" s="175">
        <f t="shared" ref="GW50:HB50" si="150">GV50+GW48</f>
        <v>-209626.8789999985</v>
      </c>
      <c r="GX50" s="175">
        <f t="shared" si="150"/>
        <v>-201257.0309999985</v>
      </c>
      <c r="GY50" s="175">
        <f t="shared" si="150"/>
        <v>-167731.78299999851</v>
      </c>
      <c r="GZ50" s="175">
        <f t="shared" si="150"/>
        <v>-96935.003999998517</v>
      </c>
      <c r="HA50" s="175">
        <f t="shared" si="150"/>
        <v>-53176.318999998519</v>
      </c>
      <c r="HB50" s="175">
        <f t="shared" si="150"/>
        <v>-238036.0149999985</v>
      </c>
      <c r="HC50" s="175">
        <f>GV50+HC48</f>
        <v>-238036.01499999847</v>
      </c>
      <c r="HD50" s="175">
        <f>GE50+HD48</f>
        <v>-238036.01499999862</v>
      </c>
      <c r="HE50" s="175">
        <f>HD50+HE48</f>
        <v>-346330.88399999856</v>
      </c>
      <c r="HF50" s="175">
        <f>HE50+HF48</f>
        <v>-177798.70399999857</v>
      </c>
      <c r="HG50" s="175">
        <f>HF50+HG48</f>
        <v>-139650.34499999858</v>
      </c>
      <c r="HH50" s="175">
        <f>HG50+HH48</f>
        <v>-237598.28499999858</v>
      </c>
      <c r="HI50" s="175">
        <f>HD50+HI48</f>
        <v>-237598.28499999864</v>
      </c>
      <c r="HJ50" s="175">
        <f>HI50+HJ48</f>
        <v>-173603.53499999864</v>
      </c>
      <c r="HK50" s="175">
        <f>HJ50+HK48</f>
        <v>-250175.85099999863</v>
      </c>
      <c r="HL50" s="175">
        <f>HK50+HL48</f>
        <v>-186554.24599999862</v>
      </c>
      <c r="HM50" s="175">
        <f>HL50+HM48</f>
        <v>-82662.753999998604</v>
      </c>
      <c r="HN50" s="175">
        <f>HM50+HN48</f>
        <v>-59042.815999998609</v>
      </c>
      <c r="HO50" s="175">
        <f>HI50+HO48</f>
        <v>-59042.815999998624</v>
      </c>
      <c r="HP50" s="175">
        <f>HO50+HP48</f>
        <v>-9831.6799999986179</v>
      </c>
      <c r="HQ50" s="175">
        <f>HP50+HQ48</f>
        <v>-80505.481999998621</v>
      </c>
      <c r="HR50" s="175">
        <f>HQ50+HR48</f>
        <v>-358483.96199999866</v>
      </c>
      <c r="HS50" s="175">
        <f>HR50+HS48</f>
        <v>-253533.78099999868</v>
      </c>
      <c r="HT50" s="175">
        <f>HS50+HT48</f>
        <v>-228583.39399999869</v>
      </c>
      <c r="HU50" s="175">
        <f>HO50+HU48</f>
        <v>-228583.39399999866</v>
      </c>
      <c r="HV50" s="175">
        <f>HU50+HV48</f>
        <v>-159930.11199999868</v>
      </c>
      <c r="HW50" s="175">
        <f>HV50+HW48</f>
        <v>-131993.29899999869</v>
      </c>
      <c r="HX50" s="175">
        <f>HW50+HX48</f>
        <v>-75195.474999998696</v>
      </c>
      <c r="HY50" s="175">
        <f>HU50+HY48</f>
        <v>-75195.474999998667</v>
      </c>
      <c r="HZ50" s="175">
        <f>HY50+HZ48</f>
        <v>-194559.37899999868</v>
      </c>
      <c r="IA50" s="175">
        <f>HZ50+IA48</f>
        <v>-189584.49599999867</v>
      </c>
      <c r="IB50" s="175">
        <f>IA50+IB48</f>
        <v>-365542.87899999868</v>
      </c>
      <c r="IC50" s="175">
        <f>HY50+IC48</f>
        <v>-365542.87899999868</v>
      </c>
      <c r="ID50" s="175">
        <f>HD50+ID48</f>
        <v>-365542.87899999868</v>
      </c>
      <c r="IE50" s="175">
        <f>ID50+IE48</f>
        <v>-427906.59199999867</v>
      </c>
      <c r="IF50" s="175">
        <f>IE50+IF48</f>
        <v>-247928.07099999866</v>
      </c>
      <c r="IG50" s="175">
        <f>ID50+IG48</f>
        <v>-247928.07099999866</v>
      </c>
      <c r="IH50" s="175">
        <f>IG50+IH48</f>
        <v>-216416.16999999864</v>
      </c>
      <c r="II50" s="175">
        <f>IH50+II48</f>
        <v>-207353.09999999864</v>
      </c>
      <c r="IJ50" s="175">
        <f>II50+IJ48</f>
        <v>-177128.89799999865</v>
      </c>
      <c r="IK50" s="175">
        <f>IJ50+IK48</f>
        <v>-128232.31099999865</v>
      </c>
      <c r="IL50" s="175">
        <f>IK50+IL48</f>
        <v>-17504.317999998661</v>
      </c>
      <c r="IM50" s="175">
        <f>IG50+IM48</f>
        <v>-17504.317999998602</v>
      </c>
      <c r="IN50" s="175">
        <f>IM50+IN48</f>
        <v>-467326.39099999855</v>
      </c>
      <c r="IO50" s="175">
        <f>IN50+IO48</f>
        <v>-407167.99399999855</v>
      </c>
      <c r="IP50" s="175">
        <f>IO50+IP48</f>
        <v>-313395.89399999857</v>
      </c>
      <c r="IQ50" s="175">
        <f>IM50+IQ48</f>
        <v>-313395.89399999846</v>
      </c>
      <c r="IR50" s="175">
        <f>IQ50+IR48</f>
        <v>-248330.69999999844</v>
      </c>
      <c r="IS50" s="175">
        <f>IR50+IS48</f>
        <v>-166428.79599999846</v>
      </c>
      <c r="IT50" s="175">
        <f>IS50+IT48</f>
        <v>-189773.16699999844</v>
      </c>
      <c r="IU50" s="175">
        <f>IT50+IU48</f>
        <v>-329783.39799999841</v>
      </c>
      <c r="IV50" s="175">
        <f>IU50+IV48</f>
        <v>-292121.70299999841</v>
      </c>
      <c r="IW50" s="175">
        <f>IQ50+IW48</f>
        <v>-292121.70299999841</v>
      </c>
      <c r="IX50" s="175">
        <f>IW50+IX48</f>
        <v>-273711.68099999841</v>
      </c>
      <c r="IY50" s="175">
        <f>IX50+IY48</f>
        <v>-130219.49499999842</v>
      </c>
      <c r="IZ50" s="175">
        <f>IY50+IZ48</f>
        <v>-76279.071999998414</v>
      </c>
      <c r="JA50" s="175">
        <f>IZ50+JA48</f>
        <v>-45734.300999998421</v>
      </c>
      <c r="JB50" s="175">
        <f>JA50+JB48</f>
        <v>-353647.10799999844</v>
      </c>
      <c r="JC50" s="175">
        <f>IW50+JC48</f>
        <v>-353647.10799999838</v>
      </c>
      <c r="JD50" s="175">
        <f>ID50+JD48</f>
        <v>-353647.10799999849</v>
      </c>
      <c r="JE50" s="175">
        <f>JD50+JE48</f>
        <v>-391663.08999999851</v>
      </c>
      <c r="JF50" s="175">
        <f>JE50+JF48</f>
        <v>-180721.70599999852</v>
      </c>
      <c r="JG50" s="175">
        <f>JF50+JG48</f>
        <v>-175194.50799999852</v>
      </c>
      <c r="JH50" s="175">
        <f>JG50+JH48</f>
        <v>-119888.95499999853</v>
      </c>
      <c r="JI50" s="175">
        <f>JH50+JI48</f>
        <v>-97430.544999998529</v>
      </c>
      <c r="JJ50" s="175">
        <f>+JD50+JJ48</f>
        <v>-97430.544999998529</v>
      </c>
      <c r="JK50" s="175">
        <f>JJ50+JK48</f>
        <v>-97430.544999998529</v>
      </c>
      <c r="JL50" s="175">
        <f>JK50+JL48</f>
        <v>-97430.544999998529</v>
      </c>
      <c r="JM50" s="175">
        <f>JL50+JM48</f>
        <v>-97430.544999998529</v>
      </c>
      <c r="JN50" s="175">
        <f>JM50+JN48</f>
        <v>-97430.544999998529</v>
      </c>
      <c r="JO50" s="175">
        <f>JN50+JO48</f>
        <v>-97430.544999998529</v>
      </c>
      <c r="JP50" s="175">
        <f>+JJ50+JP48</f>
        <v>-97430.544999998529</v>
      </c>
      <c r="JQ50" s="175">
        <f>JP50+JQ48</f>
        <v>-97430.544999998529</v>
      </c>
      <c r="JR50" s="175">
        <f>JQ50+JR48</f>
        <v>-97430.544999998529</v>
      </c>
      <c r="JS50" s="175">
        <f>JR50+JS48</f>
        <v>-97430.544999998529</v>
      </c>
      <c r="JT50" s="175">
        <f>JS50+JT48</f>
        <v>-97430.544999998529</v>
      </c>
      <c r="JU50" s="175">
        <f>JT50+JU48</f>
        <v>-97430.544999998529</v>
      </c>
      <c r="JV50" s="175">
        <f>+JP50+JV48</f>
        <v>-97430.544999998529</v>
      </c>
      <c r="JW50" s="175">
        <f t="shared" ref="JW50:KB50" si="151">JV50+JW48</f>
        <v>-97430.544999998529</v>
      </c>
      <c r="JX50" s="175">
        <f t="shared" si="151"/>
        <v>-97430.544999998529</v>
      </c>
      <c r="JY50" s="175">
        <f t="shared" si="151"/>
        <v>-97430.544999998529</v>
      </c>
      <c r="JZ50" s="175">
        <f t="shared" si="151"/>
        <v>-97430.544999998529</v>
      </c>
      <c r="KA50" s="175">
        <f t="shared" si="151"/>
        <v>-97430.544999998529</v>
      </c>
      <c r="KB50" s="175">
        <f t="shared" si="151"/>
        <v>-97430.544999998529</v>
      </c>
      <c r="KC50" s="175">
        <f>+JV50+KC48</f>
        <v>-97430.544999998529</v>
      </c>
      <c r="KD50" s="175">
        <f>+JD50+KD48</f>
        <v>-97430.544999998529</v>
      </c>
      <c r="KE50" s="175">
        <f>KD50+KE48</f>
        <v>-97430.544999998529</v>
      </c>
      <c r="KF50" s="175">
        <f t="shared" ref="KF50:LE50" si="152">KE50+KF48</f>
        <v>-97430.544999998529</v>
      </c>
      <c r="KG50" s="175">
        <f t="shared" si="152"/>
        <v>-97430.544999998529</v>
      </c>
      <c r="KH50" s="175">
        <f t="shared" si="152"/>
        <v>-97430.544999998529</v>
      </c>
      <c r="KI50" s="175">
        <f t="shared" si="152"/>
        <v>-97430.544999998529</v>
      </c>
      <c r="KJ50" s="175">
        <f>KD50+KJ48</f>
        <v>-97430.544999998529</v>
      </c>
      <c r="KK50" s="175">
        <f t="shared" si="152"/>
        <v>-97430.544999998529</v>
      </c>
      <c r="KL50" s="175">
        <f t="shared" si="152"/>
        <v>-97430.544999998529</v>
      </c>
      <c r="KM50" s="175">
        <f t="shared" si="152"/>
        <v>-97430.544999998529</v>
      </c>
      <c r="KN50" s="175">
        <f t="shared" si="152"/>
        <v>-97430.544999998529</v>
      </c>
      <c r="KO50" s="175">
        <f t="shared" si="152"/>
        <v>-97430.544999998529</v>
      </c>
      <c r="KP50" s="175">
        <f>KJ50+KP48</f>
        <v>-97430.544999998529</v>
      </c>
      <c r="KQ50" s="175">
        <f t="shared" si="152"/>
        <v>-97430.544999998529</v>
      </c>
      <c r="KR50" s="175">
        <f t="shared" si="152"/>
        <v>-97430.544999998529</v>
      </c>
      <c r="KS50" s="175">
        <f t="shared" si="152"/>
        <v>-97430.544999998529</v>
      </c>
      <c r="KT50" s="175">
        <f t="shared" si="152"/>
        <v>-97430.544999998529</v>
      </c>
      <c r="KU50" s="175">
        <f t="shared" si="152"/>
        <v>-97430.544999998529</v>
      </c>
      <c r="KV50" s="175">
        <f>KP50+KV48</f>
        <v>-97430.544999998529</v>
      </c>
      <c r="KW50" s="175">
        <f t="shared" si="152"/>
        <v>-97430.544999998529</v>
      </c>
      <c r="KX50" s="175">
        <f t="shared" si="152"/>
        <v>-97430.544999998529</v>
      </c>
      <c r="KY50" s="175">
        <f t="shared" si="152"/>
        <v>-97430.544999998529</v>
      </c>
      <c r="KZ50" s="175">
        <f t="shared" si="152"/>
        <v>-97430.544999998529</v>
      </c>
      <c r="LA50" s="175">
        <f t="shared" si="152"/>
        <v>-97430.544999998529</v>
      </c>
      <c r="LB50" s="175">
        <f>KV50+LB48</f>
        <v>-97430.544999998529</v>
      </c>
      <c r="LC50" s="175">
        <f t="shared" si="152"/>
        <v>-97430.544999998529</v>
      </c>
      <c r="LD50" s="175">
        <f t="shared" si="152"/>
        <v>-97430.544999998529</v>
      </c>
      <c r="LE50" s="175">
        <f t="shared" si="152"/>
        <v>-97430.544999998529</v>
      </c>
      <c r="LF50" s="175">
        <f>LB50+LF48</f>
        <v>-97430.544999998529</v>
      </c>
      <c r="LG50" s="175">
        <f>KD50+LG48</f>
        <v>-98591.544999998529</v>
      </c>
    </row>
    <row r="51" spans="2:321" ht="15.75" thickBot="1">
      <c r="AB51" s="91"/>
      <c r="AC51" s="91"/>
      <c r="AD51" s="91"/>
      <c r="AE51" s="91"/>
      <c r="AF51" s="91"/>
      <c r="AG51" s="91"/>
      <c r="AH51" s="91"/>
      <c r="AI51" s="91"/>
      <c r="AJ51" s="91"/>
      <c r="AK51" s="91"/>
      <c r="AL51" s="91"/>
      <c r="AM51" s="91"/>
      <c r="AN51" s="91"/>
      <c r="AO51" s="91"/>
      <c r="AP51" s="91"/>
      <c r="AQ51" s="91"/>
      <c r="AR51" s="91"/>
      <c r="AS51" s="91"/>
      <c r="AT51" s="91"/>
      <c r="AU51" s="91"/>
      <c r="AV51" s="91"/>
      <c r="AW51" s="91"/>
      <c r="AX51" s="91"/>
      <c r="AY51" s="91"/>
      <c r="AZ51" s="91"/>
      <c r="BA51" s="201"/>
      <c r="BB51" s="201"/>
      <c r="BC51" s="201"/>
      <c r="BD51" s="201"/>
      <c r="BE51" s="201"/>
      <c r="BF51" s="201"/>
      <c r="BG51" s="201"/>
      <c r="BH51" s="201"/>
      <c r="BI51" s="201"/>
      <c r="BJ51" s="201"/>
      <c r="BK51" s="201"/>
      <c r="BL51" s="201"/>
      <c r="BM51" s="201"/>
      <c r="BN51" s="201"/>
      <c r="BO51" s="201"/>
      <c r="BP51" s="201"/>
      <c r="BQ51" s="201"/>
      <c r="BR51" s="201"/>
      <c r="BS51" s="201"/>
      <c r="BT51" s="201"/>
      <c r="BU51" s="201"/>
      <c r="BV51" s="201"/>
      <c r="BW51" s="201"/>
      <c r="BX51" s="201"/>
      <c r="BY51" s="201"/>
      <c r="BZ51" s="201"/>
      <c r="CA51" s="201"/>
      <c r="CB51" s="201"/>
      <c r="CC51" s="201"/>
      <c r="CD51" s="201"/>
      <c r="CE51" s="201"/>
      <c r="CF51" s="201"/>
      <c r="CG51" s="201"/>
      <c r="CH51" s="201"/>
      <c r="CI51" s="201"/>
      <c r="CJ51" s="201"/>
      <c r="CK51" s="201"/>
      <c r="CL51" s="201"/>
      <c r="CM51" s="201"/>
      <c r="CN51" s="201"/>
      <c r="CO51" s="201"/>
      <c r="CP51" s="201"/>
      <c r="CQ51" s="201"/>
      <c r="CR51" s="201"/>
      <c r="CS51" s="201"/>
      <c r="CT51" s="201"/>
      <c r="CU51" s="201"/>
      <c r="CV51" s="201"/>
      <c r="CW51" s="201"/>
      <c r="CX51" s="201"/>
      <c r="CY51" s="201"/>
      <c r="CZ51" s="201"/>
      <c r="DA51" s="201"/>
      <c r="DB51" s="201"/>
      <c r="DC51" s="201"/>
      <c r="DD51" s="201"/>
      <c r="DE51" s="201"/>
      <c r="DF51" s="201"/>
      <c r="DG51" s="201"/>
      <c r="DH51" s="201"/>
      <c r="DI51" s="201"/>
      <c r="DJ51" s="201"/>
      <c r="DK51" s="201"/>
      <c r="DL51" s="201"/>
      <c r="DM51" s="201"/>
      <c r="DN51" s="201"/>
      <c r="DO51" s="201"/>
      <c r="DP51" s="201"/>
      <c r="DQ51" s="201"/>
      <c r="DR51" s="201"/>
      <c r="DS51" s="201"/>
      <c r="DT51" s="201"/>
      <c r="DU51" s="201"/>
      <c r="DV51" s="201"/>
      <c r="DW51" s="201"/>
      <c r="DX51" s="201"/>
      <c r="DY51" s="201"/>
      <c r="DZ51" s="201"/>
      <c r="EA51" s="201"/>
      <c r="EB51" s="201"/>
      <c r="EC51" s="201"/>
      <c r="ED51" s="201"/>
      <c r="EE51" s="201"/>
      <c r="EF51" s="201"/>
      <c r="EG51" s="201"/>
      <c r="EH51" s="201"/>
      <c r="EI51" s="201"/>
      <c r="EJ51" s="201"/>
      <c r="EK51" s="201"/>
      <c r="EL51" s="201"/>
      <c r="EM51" s="201"/>
      <c r="EN51" s="201"/>
      <c r="EO51" s="201"/>
      <c r="EP51" s="201"/>
      <c r="EQ51" s="201"/>
      <c r="ER51" s="201"/>
      <c r="ES51" s="201"/>
      <c r="ET51" s="201"/>
      <c r="EU51" s="201"/>
      <c r="EV51" s="201"/>
      <c r="EW51" s="201"/>
      <c r="EX51" s="201"/>
      <c r="EY51" s="201"/>
      <c r="EZ51" s="201"/>
      <c r="FA51" s="201"/>
      <c r="FB51" s="201"/>
      <c r="FC51" s="201"/>
      <c r="FD51" s="201"/>
      <c r="FE51" s="201"/>
      <c r="FF51" s="201"/>
      <c r="FG51" s="201"/>
      <c r="FH51" s="201"/>
      <c r="FI51" s="201"/>
      <c r="FJ51" s="201"/>
      <c r="FK51" s="201"/>
      <c r="FL51" s="201"/>
      <c r="FM51" s="201"/>
      <c r="FN51" s="201"/>
      <c r="FO51" s="201"/>
      <c r="FP51" s="201"/>
      <c r="FQ51" s="201"/>
      <c r="FR51" s="201"/>
      <c r="FS51" s="201"/>
      <c r="FT51" s="201"/>
      <c r="FU51" s="201"/>
      <c r="FV51" s="201"/>
      <c r="FW51" s="201"/>
      <c r="FX51" s="201"/>
      <c r="FY51" s="201"/>
      <c r="FZ51" s="201"/>
      <c r="GA51" s="201"/>
      <c r="GB51" s="201"/>
      <c r="GC51" s="201"/>
      <c r="GD51" s="201"/>
      <c r="GE51" s="201"/>
      <c r="GF51" s="201"/>
      <c r="GG51" s="201"/>
      <c r="GH51" s="201"/>
      <c r="GI51" s="201"/>
      <c r="GJ51" s="201"/>
      <c r="GK51" s="201"/>
      <c r="GL51" s="201"/>
      <c r="GM51" s="201"/>
      <c r="GN51" s="201"/>
      <c r="GO51" s="201"/>
      <c r="GP51" s="201"/>
      <c r="GQ51" s="201"/>
      <c r="GR51" s="201"/>
      <c r="GS51" s="201"/>
      <c r="GT51" s="201"/>
      <c r="GU51" s="201"/>
      <c r="GV51" s="201"/>
      <c r="GW51" s="201"/>
      <c r="GX51" s="201"/>
      <c r="GY51" s="201"/>
      <c r="GZ51" s="201"/>
      <c r="HA51" s="201"/>
      <c r="HB51" s="201"/>
      <c r="HC51" s="201"/>
      <c r="HD51" s="201"/>
      <c r="HE51" s="201"/>
      <c r="HF51" s="201"/>
      <c r="HG51" s="201"/>
      <c r="HH51" s="201"/>
      <c r="HI51" s="201"/>
      <c r="HJ51" s="201"/>
      <c r="HK51" s="201"/>
      <c r="HL51" s="201"/>
      <c r="HM51" s="201"/>
      <c r="HN51" s="201"/>
      <c r="HO51" s="201"/>
      <c r="HP51" s="201"/>
      <c r="HQ51" s="201"/>
      <c r="HR51" s="201"/>
      <c r="HS51" s="201"/>
      <c r="HT51" s="201"/>
      <c r="HU51" s="201"/>
      <c r="HV51" s="201"/>
      <c r="HW51" s="201"/>
      <c r="HX51" s="201"/>
      <c r="HY51" s="201"/>
      <c r="HZ51" s="201"/>
      <c r="IA51" s="201"/>
      <c r="IB51" s="201"/>
      <c r="IC51" s="201"/>
      <c r="ID51" s="201"/>
      <c r="IE51" s="201"/>
      <c r="IF51" s="201"/>
      <c r="IG51" s="201"/>
      <c r="IH51" s="201"/>
      <c r="II51" s="201"/>
      <c r="IJ51" s="201"/>
      <c r="IK51" s="201"/>
      <c r="IL51" s="201"/>
      <c r="IM51" s="201"/>
      <c r="IN51" s="201"/>
      <c r="IO51" s="201"/>
      <c r="IP51" s="201"/>
      <c r="IQ51" s="201"/>
      <c r="IR51" s="201"/>
      <c r="IS51" s="201"/>
      <c r="IT51" s="201"/>
      <c r="IU51" s="201"/>
      <c r="IV51" s="201"/>
      <c r="IW51" s="201"/>
      <c r="IX51" s="201"/>
      <c r="IY51" s="201"/>
      <c r="IZ51" s="201"/>
      <c r="JA51" s="201"/>
      <c r="JB51" s="201"/>
      <c r="JC51" s="201"/>
      <c r="JD51" s="201"/>
      <c r="JE51" s="201"/>
      <c r="JF51" s="201"/>
      <c r="JG51" s="201"/>
      <c r="JH51" s="201"/>
      <c r="JI51" s="201"/>
      <c r="JJ51" s="201"/>
      <c r="JK51" s="201"/>
      <c r="JL51" s="201"/>
      <c r="JM51" s="201"/>
      <c r="JN51" s="201"/>
      <c r="JO51" s="201"/>
      <c r="JP51" s="201"/>
      <c r="JQ51" s="201"/>
      <c r="JR51" s="201"/>
      <c r="JS51" s="201"/>
      <c r="JT51" s="201"/>
      <c r="JU51" s="201"/>
      <c r="JV51" s="201"/>
      <c r="JW51" s="201"/>
      <c r="JX51" s="201"/>
      <c r="JY51" s="201"/>
      <c r="JZ51" s="201"/>
      <c r="KA51" s="201"/>
      <c r="KB51" s="201"/>
      <c r="KC51" s="201"/>
      <c r="KD51" s="201"/>
      <c r="KE51" s="201"/>
      <c r="KF51" s="201"/>
      <c r="KG51" s="201"/>
      <c r="KH51" s="201"/>
      <c r="KI51" s="201"/>
      <c r="KJ51" s="201"/>
      <c r="KK51" s="201"/>
      <c r="KL51" s="201"/>
      <c r="KM51" s="201"/>
      <c r="KN51" s="201"/>
      <c r="KO51" s="201"/>
      <c r="KP51" s="201"/>
      <c r="KQ51" s="201"/>
      <c r="KR51" s="201"/>
      <c r="KS51" s="201"/>
      <c r="KT51" s="201"/>
      <c r="KU51" s="201"/>
      <c r="KV51" s="201"/>
      <c r="KW51" s="201"/>
      <c r="KX51" s="201"/>
      <c r="KY51" s="201"/>
      <c r="KZ51" s="201"/>
      <c r="LA51" s="201"/>
      <c r="LB51" s="201"/>
      <c r="LC51" s="201"/>
      <c r="LD51" s="201"/>
      <c r="LE51" s="201"/>
      <c r="LF51" s="201"/>
      <c r="LG51" s="201"/>
    </row>
    <row r="52" spans="2:321" ht="16.5" thickBot="1">
      <c r="B52" s="974" t="s">
        <v>107</v>
      </c>
      <c r="C52" s="975"/>
      <c r="D52" s="975"/>
      <c r="E52" s="975"/>
      <c r="F52" s="975"/>
      <c r="G52" s="975"/>
      <c r="H52" s="975"/>
      <c r="I52" s="975"/>
      <c r="J52" s="975"/>
      <c r="K52" s="975"/>
      <c r="L52" s="975"/>
      <c r="M52" s="975"/>
      <c r="N52" s="975"/>
      <c r="O52" s="975"/>
      <c r="P52" s="975"/>
      <c r="Q52" s="975"/>
      <c r="R52" s="975"/>
      <c r="S52" s="975"/>
      <c r="T52" s="975"/>
      <c r="U52" s="975"/>
      <c r="V52" s="975"/>
      <c r="W52" s="975"/>
      <c r="X52" s="975"/>
      <c r="Y52" s="975"/>
      <c r="Z52" s="975"/>
      <c r="AA52" s="975"/>
      <c r="AB52" s="975"/>
      <c r="AC52" s="975"/>
      <c r="AD52" s="975"/>
      <c r="AE52" s="975"/>
      <c r="AF52" s="975"/>
      <c r="AG52" s="975"/>
      <c r="AH52" s="975"/>
      <c r="AI52" s="975"/>
      <c r="AJ52" s="975"/>
      <c r="AK52" s="975"/>
      <c r="AL52" s="975"/>
      <c r="AM52" s="975"/>
      <c r="AN52" s="975"/>
      <c r="AO52" s="975"/>
      <c r="AP52" s="975"/>
      <c r="AQ52" s="975"/>
      <c r="AR52" s="975"/>
      <c r="AS52" s="975"/>
      <c r="AT52" s="975"/>
      <c r="AU52" s="975"/>
      <c r="AV52" s="975"/>
      <c r="AW52" s="975"/>
      <c r="AX52" s="975"/>
      <c r="AY52" s="975"/>
      <c r="AZ52" s="975"/>
      <c r="BA52" s="975"/>
      <c r="BB52" s="975"/>
      <c r="BC52" s="975"/>
      <c r="BD52" s="975"/>
      <c r="BE52" s="975"/>
      <c r="BF52" s="975"/>
      <c r="BG52" s="975"/>
      <c r="BH52" s="975"/>
      <c r="BI52" s="975"/>
      <c r="BJ52" s="975"/>
      <c r="BK52" s="975"/>
      <c r="BL52" s="975"/>
      <c r="BM52" s="975"/>
      <c r="BN52" s="975"/>
      <c r="BO52" s="975"/>
      <c r="BP52" s="975"/>
      <c r="BQ52" s="975"/>
      <c r="BR52" s="975"/>
      <c r="BS52" s="975"/>
      <c r="BT52" s="975"/>
      <c r="BU52" s="975"/>
      <c r="BV52" s="975"/>
      <c r="BW52" s="975"/>
      <c r="BX52" s="975"/>
      <c r="BY52" s="975"/>
      <c r="BZ52" s="975"/>
      <c r="CA52" s="975"/>
      <c r="CB52" s="975"/>
      <c r="CC52" s="975"/>
      <c r="CD52" s="975"/>
      <c r="CE52" s="975"/>
      <c r="CF52" s="975"/>
      <c r="CG52" s="975"/>
      <c r="CH52" s="975"/>
      <c r="CI52" s="975"/>
      <c r="CJ52" s="975"/>
      <c r="CK52" s="975"/>
      <c r="CL52" s="975"/>
      <c r="CM52" s="975"/>
      <c r="CN52" s="975"/>
      <c r="CO52" s="975"/>
      <c r="CP52" s="975"/>
      <c r="CQ52" s="975"/>
      <c r="CR52" s="975"/>
      <c r="CS52" s="975"/>
      <c r="CT52" s="975"/>
      <c r="CU52" s="975"/>
      <c r="CV52" s="975"/>
      <c r="CW52" s="975"/>
      <c r="CX52" s="975"/>
      <c r="CY52" s="975"/>
      <c r="CZ52" s="975"/>
      <c r="DA52" s="975"/>
      <c r="DB52" s="975"/>
      <c r="DC52" s="975"/>
      <c r="DD52" s="975"/>
      <c r="DE52" s="975"/>
      <c r="DF52" s="975"/>
      <c r="DG52" s="975"/>
      <c r="DH52" s="975"/>
      <c r="DI52" s="975"/>
      <c r="DJ52" s="975"/>
      <c r="DK52" s="975"/>
      <c r="DL52" s="975"/>
      <c r="DM52" s="975"/>
      <c r="DN52" s="975"/>
      <c r="DO52" s="975"/>
      <c r="DP52" s="975"/>
      <c r="DQ52" s="975"/>
      <c r="DR52" s="975"/>
      <c r="DS52" s="975"/>
      <c r="DT52" s="975"/>
      <c r="DU52" s="975"/>
      <c r="DV52" s="975"/>
      <c r="DW52" s="975"/>
      <c r="DX52" s="975"/>
      <c r="DY52" s="975"/>
      <c r="DZ52" s="975"/>
      <c r="EA52" s="975"/>
      <c r="EB52" s="975"/>
      <c r="EC52" s="975"/>
      <c r="ED52" s="975"/>
      <c r="EE52" s="975"/>
      <c r="EF52" s="975"/>
      <c r="EG52" s="975"/>
      <c r="EH52" s="975"/>
      <c r="EI52" s="975"/>
      <c r="EJ52" s="975"/>
      <c r="EK52" s="975"/>
      <c r="EL52" s="975"/>
      <c r="EM52" s="975"/>
      <c r="EN52" s="975"/>
      <c r="EO52" s="975"/>
      <c r="EP52" s="975"/>
      <c r="EQ52" s="975"/>
      <c r="ER52" s="975"/>
      <c r="ES52" s="975"/>
      <c r="ET52" s="975"/>
      <c r="EU52" s="975"/>
      <c r="EV52" s="975"/>
      <c r="EW52" s="975"/>
      <c r="EX52" s="975"/>
      <c r="EY52" s="975"/>
      <c r="EZ52" s="975"/>
      <c r="FA52" s="975"/>
      <c r="FB52" s="975"/>
      <c r="FC52" s="975"/>
      <c r="FD52" s="975"/>
      <c r="FE52" s="975"/>
      <c r="FF52" s="975"/>
      <c r="FG52" s="975"/>
      <c r="FH52" s="975"/>
      <c r="FI52" s="975"/>
      <c r="FJ52" s="975"/>
      <c r="FK52" s="975"/>
      <c r="FL52" s="975"/>
      <c r="FM52" s="975"/>
      <c r="FN52" s="975"/>
      <c r="FO52" s="975"/>
      <c r="FP52" s="975"/>
      <c r="FQ52" s="975"/>
      <c r="FR52" s="975"/>
      <c r="FS52" s="975"/>
      <c r="FT52" s="975"/>
      <c r="FU52" s="975"/>
      <c r="FV52" s="975"/>
      <c r="FW52" s="975"/>
      <c r="FX52" s="975"/>
      <c r="FY52" s="975"/>
      <c r="FZ52" s="975"/>
      <c r="GA52" s="975"/>
      <c r="GB52" s="975"/>
      <c r="GC52" s="975"/>
      <c r="GD52" s="975"/>
      <c r="GE52" s="975"/>
      <c r="GF52" s="975"/>
      <c r="GG52" s="975"/>
      <c r="GH52" s="975"/>
      <c r="GI52" s="975"/>
      <c r="GJ52" s="975"/>
      <c r="GK52" s="975"/>
      <c r="GL52" s="975"/>
      <c r="GM52" s="975"/>
      <c r="GN52" s="975"/>
      <c r="GO52" s="975"/>
      <c r="GP52" s="975"/>
      <c r="GQ52" s="975"/>
      <c r="GR52" s="975"/>
      <c r="GS52" s="975"/>
      <c r="GT52" s="975"/>
      <c r="GU52" s="975"/>
      <c r="GV52" s="975"/>
      <c r="GW52" s="975"/>
      <c r="GX52" s="975"/>
      <c r="GY52" s="975"/>
      <c r="GZ52" s="975"/>
      <c r="HA52" s="975"/>
      <c r="HB52" s="975"/>
      <c r="HC52" s="975"/>
      <c r="HD52" s="975"/>
      <c r="HE52" s="975"/>
      <c r="HF52" s="975"/>
      <c r="HG52" s="975"/>
      <c r="HH52" s="975"/>
      <c r="HI52" s="975"/>
      <c r="HJ52" s="975"/>
      <c r="HK52" s="975"/>
      <c r="HL52" s="975"/>
      <c r="HM52" s="975"/>
      <c r="HN52" s="975"/>
      <c r="HO52" s="975"/>
      <c r="HP52" s="975"/>
      <c r="HQ52" s="975"/>
      <c r="HR52" s="975"/>
      <c r="HS52" s="975"/>
      <c r="HT52" s="975"/>
      <c r="HU52" s="975"/>
      <c r="HV52" s="975"/>
      <c r="HW52" s="975"/>
      <c r="HX52" s="975"/>
      <c r="HY52" s="975"/>
      <c r="HZ52" s="975"/>
      <c r="IA52" s="975"/>
      <c r="IB52" s="975"/>
      <c r="IC52" s="975"/>
      <c r="ID52" s="975"/>
      <c r="IE52" s="975"/>
      <c r="IF52" s="975"/>
      <c r="IG52" s="975"/>
      <c r="IH52" s="975"/>
      <c r="II52" s="975"/>
      <c r="IJ52" s="975"/>
      <c r="IK52" s="975"/>
      <c r="IL52" s="975"/>
      <c r="IM52" s="975"/>
      <c r="IN52" s="975"/>
      <c r="IO52" s="975"/>
      <c r="IP52" s="975"/>
      <c r="IQ52" s="975"/>
      <c r="IR52" s="975"/>
      <c r="IS52" s="975"/>
      <c r="IT52" s="975"/>
      <c r="IU52" s="975"/>
      <c r="IV52" s="975"/>
      <c r="IW52" s="975"/>
      <c r="IX52" s="975"/>
      <c r="IY52" s="975"/>
      <c r="IZ52" s="975"/>
      <c r="JA52" s="975"/>
      <c r="JB52" s="975"/>
      <c r="JC52" s="975"/>
      <c r="JD52" s="975"/>
      <c r="JE52" s="975"/>
      <c r="JF52" s="975"/>
      <c r="JG52" s="975"/>
      <c r="JH52" s="975"/>
      <c r="JI52" s="975"/>
      <c r="JJ52" s="975"/>
      <c r="JK52" s="975"/>
      <c r="JL52" s="975"/>
      <c r="JM52" s="975"/>
      <c r="JN52" s="975"/>
      <c r="JO52" s="975"/>
      <c r="JP52" s="975"/>
      <c r="JQ52" s="975"/>
      <c r="JR52" s="975"/>
      <c r="JS52" s="975"/>
      <c r="JT52" s="975"/>
      <c r="JU52" s="975"/>
      <c r="JV52" s="975"/>
      <c r="JW52" s="975"/>
      <c r="JX52" s="975"/>
      <c r="JY52" s="975"/>
      <c r="JZ52" s="975"/>
      <c r="KA52" s="975"/>
      <c r="KB52" s="975"/>
      <c r="KC52" s="975"/>
      <c r="KD52" s="975"/>
      <c r="KE52" s="975"/>
      <c r="KF52" s="975"/>
      <c r="KG52" s="975"/>
      <c r="KH52" s="975"/>
      <c r="KI52" s="975"/>
      <c r="KJ52" s="975"/>
      <c r="KK52" s="975"/>
      <c r="KL52" s="975"/>
      <c r="KM52" s="975"/>
      <c r="KN52" s="975"/>
      <c r="KO52" s="975"/>
      <c r="KP52" s="975"/>
      <c r="KQ52" s="975"/>
      <c r="KR52" s="975"/>
      <c r="KS52" s="975"/>
      <c r="KT52" s="975"/>
      <c r="KU52" s="975"/>
      <c r="KV52" s="975"/>
      <c r="KW52" s="975"/>
      <c r="KX52" s="975"/>
      <c r="KY52" s="975"/>
      <c r="KZ52" s="975"/>
      <c r="LA52" s="975"/>
      <c r="LB52" s="975"/>
      <c r="LC52" s="975"/>
      <c r="LD52" s="975"/>
      <c r="LE52" s="975"/>
      <c r="LF52" s="975"/>
      <c r="LG52" s="976"/>
    </row>
    <row r="53" spans="2:321" s="91" customFormat="1">
      <c r="B53" s="171" t="s">
        <v>77</v>
      </c>
      <c r="C53" s="171">
        <f>SUM(C54:C96)</f>
        <v>8142.9820000000009</v>
      </c>
      <c r="D53" s="171">
        <f t="shared" ref="D53:Z53" si="153">SUM(D54:D96)</f>
        <v>8142.9820000000009</v>
      </c>
      <c r="E53" s="171">
        <f t="shared" si="153"/>
        <v>5753.1880000000001</v>
      </c>
      <c r="F53" s="171">
        <f t="shared" si="153"/>
        <v>52372.650999999998</v>
      </c>
      <c r="G53" s="171">
        <f t="shared" si="153"/>
        <v>133919.91299999997</v>
      </c>
      <c r="H53" s="171">
        <f t="shared" si="153"/>
        <v>17672.519</v>
      </c>
      <c r="I53" s="171">
        <f t="shared" si="153"/>
        <v>86236.191000000006</v>
      </c>
      <c r="J53" s="171">
        <f t="shared" si="153"/>
        <v>295954.46199999994</v>
      </c>
      <c r="K53" s="171">
        <f t="shared" si="153"/>
        <v>74067.131999999998</v>
      </c>
      <c r="L53" s="171">
        <f t="shared" si="153"/>
        <v>104485.03899999999</v>
      </c>
      <c r="M53" s="171">
        <f t="shared" si="153"/>
        <v>14998.966999999999</v>
      </c>
      <c r="N53" s="171">
        <f t="shared" si="153"/>
        <v>5230.6690000000008</v>
      </c>
      <c r="O53" s="171">
        <f t="shared" si="153"/>
        <v>198781.80699999997</v>
      </c>
      <c r="P53" s="171">
        <f t="shared" si="153"/>
        <v>34466.004999999997</v>
      </c>
      <c r="Q53" s="171">
        <f t="shared" si="153"/>
        <v>71661.61</v>
      </c>
      <c r="R53" s="171">
        <f t="shared" si="153"/>
        <v>124038.54500000001</v>
      </c>
      <c r="S53" s="171">
        <f t="shared" si="153"/>
        <v>14916.279</v>
      </c>
      <c r="T53" s="171">
        <f t="shared" si="153"/>
        <v>5899.6620000000003</v>
      </c>
      <c r="U53" s="171">
        <f t="shared" si="153"/>
        <v>250982.101</v>
      </c>
      <c r="V53" s="171">
        <f t="shared" si="153"/>
        <v>152510.91199999998</v>
      </c>
      <c r="W53" s="171">
        <f t="shared" si="153"/>
        <v>2285.6969999999997</v>
      </c>
      <c r="X53" s="171">
        <f t="shared" si="153"/>
        <v>86007.490999999995</v>
      </c>
      <c r="Y53" s="171">
        <f t="shared" si="153"/>
        <v>21470.826999999997</v>
      </c>
      <c r="Z53" s="171">
        <f t="shared" si="153"/>
        <v>204240.90299999999</v>
      </c>
      <c r="AA53" s="197">
        <f t="shared" ref="AA53:AM53" si="154">SUM(AA54:AA96)</f>
        <v>466515.82999999996</v>
      </c>
      <c r="AB53" s="233">
        <f t="shared" si="154"/>
        <v>1220377.1819999998</v>
      </c>
      <c r="AC53" s="171">
        <f>SUM(AC54:AC96)</f>
        <v>10647.233</v>
      </c>
      <c r="AD53" s="240">
        <f t="shared" si="154"/>
        <v>10155.392</v>
      </c>
      <c r="AE53" s="240">
        <f t="shared" si="154"/>
        <v>54375.475999999995</v>
      </c>
      <c r="AF53" s="240">
        <f t="shared" si="154"/>
        <v>4640.8639999999996</v>
      </c>
      <c r="AG53" s="498">
        <f t="shared" si="154"/>
        <v>20460.900000000001</v>
      </c>
      <c r="AH53" s="197">
        <f t="shared" si="154"/>
        <v>100279.86499999999</v>
      </c>
      <c r="AI53" s="171">
        <f t="shared" si="154"/>
        <v>253963.47299999997</v>
      </c>
      <c r="AJ53" s="240">
        <f t="shared" si="154"/>
        <v>277090.81699999998</v>
      </c>
      <c r="AK53" s="240">
        <f t="shared" si="154"/>
        <v>10749.232</v>
      </c>
      <c r="AL53" s="240">
        <f t="shared" si="154"/>
        <v>125190.78099999999</v>
      </c>
      <c r="AM53" s="498">
        <f t="shared" si="154"/>
        <v>195.24199999999999</v>
      </c>
      <c r="AN53" s="197">
        <f t="shared" ref="AN53:AY53" si="155">SUM(AN54:AN96)</f>
        <v>667189.54499999993</v>
      </c>
      <c r="AO53" s="171">
        <f t="shared" si="155"/>
        <v>36115.152000000002</v>
      </c>
      <c r="AP53" s="240">
        <f t="shared" si="155"/>
        <v>22387.363000000005</v>
      </c>
      <c r="AQ53" s="240">
        <f t="shared" si="155"/>
        <v>147148.96400000001</v>
      </c>
      <c r="AR53" s="240">
        <f t="shared" si="155"/>
        <v>14801.212000000003</v>
      </c>
      <c r="AS53" s="498">
        <f t="shared" si="155"/>
        <v>280086.84999999998</v>
      </c>
      <c r="AT53" s="197">
        <f t="shared" si="155"/>
        <v>500539.54099999997</v>
      </c>
      <c r="AU53" s="171">
        <f>SUM(AU54:AU96)</f>
        <v>24411.555100000001</v>
      </c>
      <c r="AV53" s="240">
        <f t="shared" si="155"/>
        <v>238.80199999999999</v>
      </c>
      <c r="AW53" s="240">
        <f t="shared" si="155"/>
        <v>7693.4620000000004</v>
      </c>
      <c r="AX53" s="240">
        <f>SUM(AX54:AX96)</f>
        <v>13311.748999999998</v>
      </c>
      <c r="AY53" s="498">
        <f t="shared" si="155"/>
        <v>39108.351999999999</v>
      </c>
      <c r="AZ53" s="197">
        <f>SUM(AZ54:AZ96)</f>
        <v>84763.920100000003</v>
      </c>
      <c r="BA53" s="233">
        <f t="shared" ref="BA53:BX53" si="156">SUM(BA54:BA97)</f>
        <v>1352772.8710999996</v>
      </c>
      <c r="BB53" s="171">
        <f t="shared" si="156"/>
        <v>735449.81599999999</v>
      </c>
      <c r="BC53" s="240">
        <f t="shared" si="156"/>
        <v>662543.19700000004</v>
      </c>
      <c r="BD53" s="240">
        <f t="shared" si="156"/>
        <v>97602.015999999989</v>
      </c>
      <c r="BE53" s="240">
        <f t="shared" si="156"/>
        <v>1559.3110000000001</v>
      </c>
      <c r="BF53" s="498">
        <f t="shared" si="156"/>
        <v>4873.4940000000006</v>
      </c>
      <c r="BG53" s="197">
        <f t="shared" si="156"/>
        <v>1502027.8339999998</v>
      </c>
      <c r="BH53" s="171">
        <f t="shared" si="156"/>
        <v>13693.649000000001</v>
      </c>
      <c r="BI53" s="240">
        <f t="shared" si="156"/>
        <v>412460.70699999999</v>
      </c>
      <c r="BJ53" s="240">
        <f t="shared" si="156"/>
        <v>14937.767000000002</v>
      </c>
      <c r="BK53" s="240">
        <f t="shared" si="156"/>
        <v>9759.4609999999993</v>
      </c>
      <c r="BL53" s="498">
        <f t="shared" si="156"/>
        <v>184301.52299999999</v>
      </c>
      <c r="BM53" s="197">
        <f t="shared" si="156"/>
        <v>635153.10699999996</v>
      </c>
      <c r="BN53" s="171">
        <f t="shared" si="156"/>
        <v>178824.21399999998</v>
      </c>
      <c r="BO53" s="240">
        <f t="shared" si="156"/>
        <v>8805.5840000000007</v>
      </c>
      <c r="BP53" s="240">
        <f t="shared" si="156"/>
        <v>104697.25700000001</v>
      </c>
      <c r="BQ53" s="498">
        <f t="shared" si="156"/>
        <v>16539.73</v>
      </c>
      <c r="BR53" s="197">
        <f t="shared" si="156"/>
        <v>308866.78499999997</v>
      </c>
      <c r="BS53" s="171">
        <f t="shared" si="156"/>
        <v>180554.19</v>
      </c>
      <c r="BT53" s="240">
        <f t="shared" si="156"/>
        <v>5065.4580000000005</v>
      </c>
      <c r="BU53" s="240">
        <f t="shared" si="156"/>
        <v>12430.972000000002</v>
      </c>
      <c r="BV53" s="240">
        <f t="shared" si="156"/>
        <v>160272.31900000002</v>
      </c>
      <c r="BW53" s="498">
        <f t="shared" si="156"/>
        <v>43882</v>
      </c>
      <c r="BX53" s="197">
        <f t="shared" si="156"/>
        <v>402204.93899999995</v>
      </c>
      <c r="BY53" s="171">
        <f>SUM(BY54:BY97)</f>
        <v>8241.9869999999992</v>
      </c>
      <c r="BZ53" s="240">
        <f>SUM(BZ54:BZ97)</f>
        <v>85795.400999999998</v>
      </c>
      <c r="CA53" s="197">
        <f t="shared" ref="CA53:DF53" si="157">SUM(CA54:CA97)</f>
        <v>94037.388000000006</v>
      </c>
      <c r="CB53" s="233">
        <f t="shared" si="157"/>
        <v>2942290.0530000003</v>
      </c>
      <c r="CC53" s="171">
        <f t="shared" si="157"/>
        <v>71028.274999999994</v>
      </c>
      <c r="CD53" s="240">
        <f t="shared" si="157"/>
        <v>109192.147</v>
      </c>
      <c r="CE53" s="240">
        <f t="shared" si="157"/>
        <v>157959.55000000002</v>
      </c>
      <c r="CF53" s="197">
        <f t="shared" si="157"/>
        <v>338179.97199999995</v>
      </c>
      <c r="CG53" s="171">
        <f t="shared" si="157"/>
        <v>72698.409</v>
      </c>
      <c r="CH53" s="240">
        <f t="shared" si="157"/>
        <v>25019.298000000006</v>
      </c>
      <c r="CI53" s="240">
        <f t="shared" si="157"/>
        <v>8141.5560000000005</v>
      </c>
      <c r="CJ53" s="498">
        <f t="shared" si="157"/>
        <v>163451.375</v>
      </c>
      <c r="CK53" s="197">
        <f t="shared" si="157"/>
        <v>269310.63799999998</v>
      </c>
      <c r="CL53" s="171">
        <f t="shared" si="157"/>
        <v>11905.539999999999</v>
      </c>
      <c r="CM53" s="240">
        <f t="shared" si="157"/>
        <v>3744.3559999999998</v>
      </c>
      <c r="CN53" s="240">
        <f t="shared" si="157"/>
        <v>162812.05499999999</v>
      </c>
      <c r="CO53" s="240">
        <f t="shared" si="157"/>
        <v>133381.95200000002</v>
      </c>
      <c r="CP53" s="498">
        <f t="shared" si="157"/>
        <v>9509.4670000000024</v>
      </c>
      <c r="CQ53" s="197">
        <f t="shared" si="157"/>
        <v>321353.37000000005</v>
      </c>
      <c r="CR53" s="171">
        <f t="shared" si="157"/>
        <v>172262.33</v>
      </c>
      <c r="CS53" s="240">
        <f t="shared" si="157"/>
        <v>206641.94999999998</v>
      </c>
      <c r="CT53" s="240">
        <f t="shared" si="157"/>
        <v>2975.7389999999996</v>
      </c>
      <c r="CU53" s="240">
        <f t="shared" si="157"/>
        <v>9992.9430000000011</v>
      </c>
      <c r="CV53" s="498">
        <f t="shared" si="157"/>
        <v>138958.595</v>
      </c>
      <c r="CW53" s="197">
        <f t="shared" si="157"/>
        <v>530831.55700000015</v>
      </c>
      <c r="CX53" s="171">
        <f t="shared" si="157"/>
        <v>9024.0640000000003</v>
      </c>
      <c r="CY53" s="240">
        <f t="shared" si="157"/>
        <v>12006.762000000001</v>
      </c>
      <c r="CZ53" s="240">
        <f t="shared" si="157"/>
        <v>290.346</v>
      </c>
      <c r="DA53" s="498">
        <f t="shared" si="157"/>
        <v>218994.82399999999</v>
      </c>
      <c r="DB53" s="197">
        <f t="shared" si="157"/>
        <v>240315.99600000001</v>
      </c>
      <c r="DC53" s="233">
        <f t="shared" si="157"/>
        <v>1699991.5329999994</v>
      </c>
      <c r="DD53" s="171">
        <f t="shared" si="157"/>
        <v>180025.22</v>
      </c>
      <c r="DE53" s="240">
        <f t="shared" si="157"/>
        <v>136518.66699999999</v>
      </c>
      <c r="DF53" s="240">
        <f t="shared" si="157"/>
        <v>13438.332</v>
      </c>
      <c r="DG53" s="240">
        <f t="shared" ref="DG53:EK53" si="158">SUM(DG54:DG97)</f>
        <v>7535.4409999999989</v>
      </c>
      <c r="DH53" s="240">
        <f t="shared" si="158"/>
        <v>114171.804</v>
      </c>
      <c r="DI53" s="197">
        <f t="shared" si="158"/>
        <v>451689.46399999986</v>
      </c>
      <c r="DJ53" s="171">
        <f t="shared" si="158"/>
        <v>248946.43099999998</v>
      </c>
      <c r="DK53" s="240">
        <f t="shared" si="158"/>
        <v>101550.23499999999</v>
      </c>
      <c r="DL53" s="240">
        <f t="shared" si="158"/>
        <v>12033.984999999999</v>
      </c>
      <c r="DM53" s="240">
        <f t="shared" si="158"/>
        <v>81221.421999999991</v>
      </c>
      <c r="DN53" s="498">
        <f t="shared" si="158"/>
        <v>104936.056</v>
      </c>
      <c r="DO53" s="197">
        <f t="shared" si="158"/>
        <v>548688.12899999984</v>
      </c>
      <c r="DP53" s="171">
        <f t="shared" si="158"/>
        <v>15096.807000000001</v>
      </c>
      <c r="DQ53" s="240">
        <f t="shared" si="158"/>
        <v>17903.735000000001</v>
      </c>
      <c r="DR53" s="240">
        <f t="shared" si="158"/>
        <v>17207.601000000002</v>
      </c>
      <c r="DS53" s="240">
        <f t="shared" si="158"/>
        <v>215711.51799999998</v>
      </c>
      <c r="DT53" s="498">
        <f t="shared" si="158"/>
        <v>2605.5800000000004</v>
      </c>
      <c r="DU53" s="498">
        <f t="shared" si="158"/>
        <v>268525.24100000004</v>
      </c>
      <c r="DV53" s="171">
        <f t="shared" si="158"/>
        <v>146231.51</v>
      </c>
      <c r="DW53" s="240">
        <f t="shared" si="158"/>
        <v>114345.848</v>
      </c>
      <c r="DX53" s="240">
        <f t="shared" si="158"/>
        <v>4295.0380000000005</v>
      </c>
      <c r="DY53" s="240">
        <f t="shared" si="158"/>
        <v>1490.8389999999999</v>
      </c>
      <c r="DZ53" s="498">
        <f t="shared" si="158"/>
        <v>4.72</v>
      </c>
      <c r="EA53" s="197">
        <f t="shared" si="158"/>
        <v>266367.95500000002</v>
      </c>
      <c r="EB53" s="233">
        <f t="shared" si="158"/>
        <v>1535270.7890000001</v>
      </c>
      <c r="EC53" s="171">
        <f t="shared" si="158"/>
        <v>137988.01200000005</v>
      </c>
      <c r="ED53" s="240">
        <f t="shared" si="158"/>
        <v>149745.05499999996</v>
      </c>
      <c r="EE53" s="240">
        <f t="shared" si="158"/>
        <v>165120.78099999999</v>
      </c>
      <c r="EF53" s="240">
        <f t="shared" si="158"/>
        <v>14163.323000000002</v>
      </c>
      <c r="EG53" s="498">
        <f t="shared" si="158"/>
        <v>5884.924</v>
      </c>
      <c r="EH53" s="197">
        <f t="shared" si="158"/>
        <v>472902.09499999997</v>
      </c>
      <c r="EI53" s="171">
        <f t="shared" si="158"/>
        <v>6226.1510000000007</v>
      </c>
      <c r="EJ53" s="240">
        <f t="shared" si="158"/>
        <v>162978.89200000002</v>
      </c>
      <c r="EK53" s="240">
        <f t="shared" si="158"/>
        <v>2851.9229999999998</v>
      </c>
      <c r="EL53" s="240">
        <f t="shared" ref="EL53:FC53" si="159">SUM(EL54:EL97)</f>
        <v>130541.54</v>
      </c>
      <c r="EM53" s="498">
        <f t="shared" si="159"/>
        <v>105410</v>
      </c>
      <c r="EN53" s="197">
        <f t="shared" si="159"/>
        <v>408008.50600000005</v>
      </c>
      <c r="EO53" s="171">
        <f t="shared" si="159"/>
        <v>160965.696</v>
      </c>
      <c r="EP53" s="240">
        <f t="shared" si="159"/>
        <v>1123.058</v>
      </c>
      <c r="EQ53" s="240">
        <f t="shared" si="159"/>
        <v>7557.4250000000002</v>
      </c>
      <c r="ER53" s="240">
        <f t="shared" si="159"/>
        <v>0</v>
      </c>
      <c r="ES53" s="498">
        <f t="shared" si="159"/>
        <v>121175.09499999999</v>
      </c>
      <c r="ET53" s="240">
        <f t="shared" si="159"/>
        <v>290821.27399999998</v>
      </c>
      <c r="EU53" s="171">
        <f t="shared" si="159"/>
        <v>52277.122000000003</v>
      </c>
      <c r="EV53" s="240">
        <f t="shared" si="159"/>
        <v>22102.097000000002</v>
      </c>
      <c r="EW53" s="240">
        <f t="shared" si="159"/>
        <v>115970.9</v>
      </c>
      <c r="EX53" s="240">
        <f t="shared" si="159"/>
        <v>15574.903699999999</v>
      </c>
      <c r="EY53" s="240">
        <f t="shared" si="159"/>
        <v>12361.958999999999</v>
      </c>
      <c r="EZ53" s="240">
        <f>SUM(EZ54:EZ97)</f>
        <v>130557.03200000001</v>
      </c>
      <c r="FA53" s="498">
        <f t="shared" si="159"/>
        <v>87290.513999999996</v>
      </c>
      <c r="FB53" s="197">
        <f t="shared" si="159"/>
        <v>436134.52769999998</v>
      </c>
      <c r="FC53" s="233">
        <f t="shared" si="159"/>
        <v>1607866.4026999997</v>
      </c>
      <c r="FD53" s="171">
        <f t="shared" ref="FD53:FX53" si="160">SUM(FD54:FD97)</f>
        <v>100489.55</v>
      </c>
      <c r="FE53" s="240">
        <f t="shared" si="160"/>
        <v>165988.61299999998</v>
      </c>
      <c r="FF53" s="498">
        <f t="shared" si="160"/>
        <v>19071.789999999997</v>
      </c>
      <c r="FG53" s="197">
        <f t="shared" si="160"/>
        <v>285549.95299999992</v>
      </c>
      <c r="FH53" s="171">
        <f>SUM(FH54:FH97)</f>
        <v>176081.39700000006</v>
      </c>
      <c r="FI53" s="240">
        <f>SUM(FI54:FI97)</f>
        <v>1672.7040000000002</v>
      </c>
      <c r="FJ53" s="240">
        <f>SUM(FJ54:FJ97)</f>
        <v>5472.2860000000001</v>
      </c>
      <c r="FK53" s="240">
        <f>SUM(FK54:FK97)</f>
        <v>67417.270999999979</v>
      </c>
      <c r="FL53" s="498">
        <f>SUM(FL54:FL97)</f>
        <v>53075.282000000007</v>
      </c>
      <c r="FM53" s="197">
        <f t="shared" si="160"/>
        <v>303718.94</v>
      </c>
      <c r="FN53" s="171">
        <f t="shared" si="160"/>
        <v>22518.853999999999</v>
      </c>
      <c r="FO53" s="240">
        <f t="shared" si="160"/>
        <v>2792.31</v>
      </c>
      <c r="FP53" s="240">
        <f t="shared" si="160"/>
        <v>152046.91100000002</v>
      </c>
      <c r="FQ53" s="240">
        <f t="shared" si="160"/>
        <v>556.83899999999994</v>
      </c>
      <c r="FR53" s="197">
        <f t="shared" si="160"/>
        <v>177914.91400000002</v>
      </c>
      <c r="FS53" s="171">
        <f t="shared" si="160"/>
        <v>63924.224000000002</v>
      </c>
      <c r="FT53" s="240">
        <f t="shared" si="160"/>
        <v>2281.0519999999997</v>
      </c>
      <c r="FU53" s="240">
        <f t="shared" si="160"/>
        <v>5333.3710000000001</v>
      </c>
      <c r="FV53" s="240">
        <f t="shared" si="160"/>
        <v>40598.315000000002</v>
      </c>
      <c r="FW53" s="498">
        <f t="shared" si="160"/>
        <v>220303.85199999998</v>
      </c>
      <c r="FX53" s="197">
        <f t="shared" si="160"/>
        <v>332440.81400000001</v>
      </c>
      <c r="FY53" s="171">
        <f t="shared" ref="FY53:GD53" si="161">SUM(FY54:FY97)</f>
        <v>130966.931</v>
      </c>
      <c r="FZ53" s="240">
        <f t="shared" si="161"/>
        <v>154812.90100000001</v>
      </c>
      <c r="GA53" s="240">
        <f t="shared" si="161"/>
        <v>-94938.653000000006</v>
      </c>
      <c r="GB53" s="240">
        <f t="shared" si="161"/>
        <v>113492.383</v>
      </c>
      <c r="GC53" s="498">
        <f t="shared" si="161"/>
        <v>953034.46400000015</v>
      </c>
      <c r="GD53" s="197">
        <f t="shared" si="161"/>
        <v>1257368.0259999998</v>
      </c>
      <c r="GE53" s="233">
        <f t="shared" ref="GE53:LG53" si="162">SUM(GE54:GE97)</f>
        <v>2356992.6470000008</v>
      </c>
      <c r="GF53" s="171">
        <f t="shared" si="162"/>
        <v>92241.205000000002</v>
      </c>
      <c r="GG53" s="240">
        <f t="shared" si="162"/>
        <v>8408.9269999999979</v>
      </c>
      <c r="GH53" s="240">
        <f t="shared" si="162"/>
        <v>262179.989</v>
      </c>
      <c r="GI53" s="240">
        <f t="shared" si="162"/>
        <v>113982.478</v>
      </c>
      <c r="GJ53" s="240">
        <f t="shared" si="162"/>
        <v>26751.808999999997</v>
      </c>
      <c r="GK53" s="197">
        <f t="shared" si="162"/>
        <v>503564.408</v>
      </c>
      <c r="GL53" s="171">
        <f t="shared" si="162"/>
        <v>16842.587000000003</v>
      </c>
      <c r="GM53" s="240">
        <f t="shared" si="162"/>
        <v>6166.1590000000006</v>
      </c>
      <c r="GN53" s="240">
        <f t="shared" si="162"/>
        <v>260506.84699999998</v>
      </c>
      <c r="GO53" s="498">
        <f t="shared" si="162"/>
        <v>266331.86600000004</v>
      </c>
      <c r="GP53" s="197">
        <f t="shared" si="162"/>
        <v>549847.45899999992</v>
      </c>
      <c r="GQ53" s="171">
        <f t="shared" si="162"/>
        <v>77126.453999999983</v>
      </c>
      <c r="GR53" s="240">
        <f t="shared" si="162"/>
        <v>2369.3029999999999</v>
      </c>
      <c r="GS53" s="240">
        <f t="shared" si="162"/>
        <v>2606.09</v>
      </c>
      <c r="GT53" s="240">
        <f t="shared" si="162"/>
        <v>389367.40800000005</v>
      </c>
      <c r="GU53" s="498">
        <f t="shared" si="162"/>
        <v>5045.1810000000005</v>
      </c>
      <c r="GV53" s="197">
        <f t="shared" si="162"/>
        <v>476514.43599999999</v>
      </c>
      <c r="GW53" s="171">
        <f t="shared" si="162"/>
        <v>4267.4740000000002</v>
      </c>
      <c r="GX53" s="240">
        <f t="shared" si="162"/>
        <v>178572.91999999998</v>
      </c>
      <c r="GY53" s="240">
        <f t="shared" si="162"/>
        <v>27941.073</v>
      </c>
      <c r="GZ53" s="240">
        <f t="shared" si="162"/>
        <v>31862.885000000002</v>
      </c>
      <c r="HA53" s="240">
        <f t="shared" si="162"/>
        <v>62541.144</v>
      </c>
      <c r="HB53" s="498">
        <f t="shared" si="162"/>
        <v>103938.766</v>
      </c>
      <c r="HC53" s="197">
        <f t="shared" si="162"/>
        <v>409124.26199999999</v>
      </c>
      <c r="HD53" s="233">
        <f t="shared" si="162"/>
        <v>1939050.5649999999</v>
      </c>
      <c r="HE53" s="171">
        <f t="shared" si="162"/>
        <v>953030.68200000003</v>
      </c>
      <c r="HF53" s="240">
        <f t="shared" si="162"/>
        <v>5559.1900000000005</v>
      </c>
      <c r="HG53" s="240">
        <f t="shared" si="162"/>
        <v>61813.895000000004</v>
      </c>
      <c r="HH53" s="240">
        <f t="shared" si="162"/>
        <v>137401.83600000001</v>
      </c>
      <c r="HI53" s="197">
        <f t="shared" si="162"/>
        <v>1157805.6029999999</v>
      </c>
      <c r="HJ53" s="171">
        <f t="shared" si="162"/>
        <v>23583.304</v>
      </c>
      <c r="HK53" s="240">
        <f t="shared" si="162"/>
        <v>135730.37899999999</v>
      </c>
      <c r="HL53" s="240">
        <f t="shared" si="162"/>
        <v>15440.707000000002</v>
      </c>
      <c r="HM53" s="240">
        <f t="shared" si="162"/>
        <v>95451.088999999993</v>
      </c>
      <c r="HN53" s="498">
        <f t="shared" si="162"/>
        <v>290055.174</v>
      </c>
      <c r="HO53" s="498">
        <f t="shared" si="162"/>
        <v>560260.65300000005</v>
      </c>
      <c r="HP53" s="171">
        <f t="shared" si="162"/>
        <v>-1761289.318</v>
      </c>
      <c r="HQ53" s="240">
        <f t="shared" si="162"/>
        <v>132864.87900000002</v>
      </c>
      <c r="HR53" s="240">
        <f t="shared" si="162"/>
        <v>497291.60400000005</v>
      </c>
      <c r="HS53" s="240">
        <f t="shared" si="162"/>
        <v>20529.221999999998</v>
      </c>
      <c r="HT53" s="498">
        <f t="shared" si="162"/>
        <v>4762.6930000000002</v>
      </c>
      <c r="HU53" s="197">
        <f t="shared" si="162"/>
        <v>-1105840.92</v>
      </c>
      <c r="HV53" s="171">
        <f t="shared" si="162"/>
        <v>10075.767000000002</v>
      </c>
      <c r="HW53" s="240">
        <f t="shared" si="162"/>
        <v>1641.2090000000001</v>
      </c>
      <c r="HX53" s="240">
        <f t="shared" si="162"/>
        <v>3199.1339999999996</v>
      </c>
      <c r="HY53" s="197">
        <f t="shared" si="162"/>
        <v>14916.11</v>
      </c>
      <c r="HZ53" s="171">
        <f t="shared" si="162"/>
        <v>4849.3240000000005</v>
      </c>
      <c r="IA53" s="240">
        <f t="shared" si="162"/>
        <v>23183.881000000001</v>
      </c>
      <c r="IB53" s="498">
        <f t="shared" si="162"/>
        <v>226186.76</v>
      </c>
      <c r="IC53" s="197">
        <f t="shared" si="162"/>
        <v>254219.96500000003</v>
      </c>
      <c r="ID53" s="233">
        <f t="shared" si="162"/>
        <v>881361.41100000055</v>
      </c>
      <c r="IE53" s="171">
        <f t="shared" si="162"/>
        <v>80397.605999999985</v>
      </c>
      <c r="IF53" s="498">
        <f t="shared" si="162"/>
        <v>18043.386000000002</v>
      </c>
      <c r="IG53" s="197">
        <f t="shared" si="162"/>
        <v>98440.991999999998</v>
      </c>
      <c r="IH53" s="171">
        <f t="shared" si="162"/>
        <v>64399.881000000001</v>
      </c>
      <c r="II53" s="240">
        <f t="shared" si="162"/>
        <v>336018.08399999992</v>
      </c>
      <c r="IJ53" s="240">
        <f t="shared" si="162"/>
        <v>609826.96900000004</v>
      </c>
      <c r="IK53" s="240">
        <f t="shared" si="162"/>
        <v>39317.663999999997</v>
      </c>
      <c r="IL53" s="498">
        <f t="shared" si="162"/>
        <v>2546.0250000000001</v>
      </c>
      <c r="IM53" s="197">
        <f t="shared" si="162"/>
        <v>1052108.6229999999</v>
      </c>
      <c r="IN53" s="171">
        <f t="shared" si="162"/>
        <v>7914.5880000000006</v>
      </c>
      <c r="IO53" s="240">
        <f t="shared" si="162"/>
        <v>65404.115999999987</v>
      </c>
      <c r="IP53" s="498">
        <f t="shared" si="162"/>
        <v>80709.33</v>
      </c>
      <c r="IQ53" s="197">
        <f t="shared" si="162"/>
        <v>154028.03399999999</v>
      </c>
      <c r="IR53" s="171">
        <f t="shared" si="162"/>
        <v>78368.797000000006</v>
      </c>
      <c r="IS53" s="240">
        <f t="shared" si="162"/>
        <v>33834.882999999994</v>
      </c>
      <c r="IT53" s="240">
        <f t="shared" si="162"/>
        <v>3983.8789999999999</v>
      </c>
      <c r="IU53" s="240">
        <f t="shared" si="162"/>
        <v>280876.614</v>
      </c>
      <c r="IV53" s="498">
        <f t="shared" si="162"/>
        <v>6422.9160000000002</v>
      </c>
      <c r="IW53" s="197">
        <f t="shared" si="162"/>
        <v>403487.08900000009</v>
      </c>
      <c r="IX53" s="171">
        <f t="shared" si="162"/>
        <v>9219.7320000000018</v>
      </c>
      <c r="IY53" s="240">
        <f t="shared" si="162"/>
        <v>6462.6549999999997</v>
      </c>
      <c r="IZ53" s="240">
        <f t="shared" si="162"/>
        <v>119029.24500000001</v>
      </c>
      <c r="JA53" s="240">
        <f t="shared" si="162"/>
        <v>53283.31</v>
      </c>
      <c r="JB53" s="498">
        <f t="shared" si="162"/>
        <v>254565.07400000002</v>
      </c>
      <c r="JC53" s="197">
        <f t="shared" si="162"/>
        <v>442560.016</v>
      </c>
      <c r="JD53" s="233">
        <f t="shared" si="162"/>
        <v>2150624.7539999997</v>
      </c>
      <c r="JE53" s="171">
        <f t="shared" si="162"/>
        <v>419575.61099999998</v>
      </c>
      <c r="JF53" s="240">
        <f t="shared" si="162"/>
        <v>22518.635000000002</v>
      </c>
      <c r="JG53" s="240">
        <f t="shared" si="162"/>
        <v>26858.569000000003</v>
      </c>
      <c r="JH53" s="240">
        <f t="shared" si="162"/>
        <v>17450.594000000001</v>
      </c>
      <c r="JI53" s="498">
        <f t="shared" si="162"/>
        <v>10984.494999999999</v>
      </c>
      <c r="JJ53" s="197">
        <f>SUM(JJ54:JJ97)</f>
        <v>497387.90399999998</v>
      </c>
      <c r="JK53" s="428">
        <f t="shared" si="162"/>
        <v>0</v>
      </c>
      <c r="JL53" s="429">
        <f t="shared" si="162"/>
        <v>0</v>
      </c>
      <c r="JM53" s="429">
        <f t="shared" si="162"/>
        <v>0</v>
      </c>
      <c r="JN53" s="429">
        <f t="shared" si="162"/>
        <v>0</v>
      </c>
      <c r="JO53" s="430">
        <f t="shared" si="162"/>
        <v>0</v>
      </c>
      <c r="JP53" s="147">
        <f t="shared" si="162"/>
        <v>0</v>
      </c>
      <c r="JQ53" s="428">
        <f t="shared" si="162"/>
        <v>0</v>
      </c>
      <c r="JR53" s="429">
        <f t="shared" si="162"/>
        <v>0</v>
      </c>
      <c r="JS53" s="429">
        <f t="shared" si="162"/>
        <v>0</v>
      </c>
      <c r="JT53" s="429">
        <f t="shared" si="162"/>
        <v>0</v>
      </c>
      <c r="JU53" s="430">
        <f t="shared" si="162"/>
        <v>0</v>
      </c>
      <c r="JV53" s="147">
        <f t="shared" si="162"/>
        <v>0</v>
      </c>
      <c r="JW53" s="428">
        <f t="shared" si="162"/>
        <v>0</v>
      </c>
      <c r="JX53" s="429">
        <f t="shared" si="162"/>
        <v>0</v>
      </c>
      <c r="JY53" s="429">
        <f t="shared" si="162"/>
        <v>0</v>
      </c>
      <c r="JZ53" s="429">
        <f t="shared" si="162"/>
        <v>0</v>
      </c>
      <c r="KA53" s="429"/>
      <c r="KB53" s="430">
        <f t="shared" si="162"/>
        <v>0</v>
      </c>
      <c r="KC53" s="147">
        <f t="shared" si="162"/>
        <v>0</v>
      </c>
      <c r="KD53" s="147">
        <f t="shared" si="162"/>
        <v>1690343.2050000001</v>
      </c>
      <c r="KE53" s="428">
        <f t="shared" si="162"/>
        <v>0</v>
      </c>
      <c r="KF53" s="429">
        <f t="shared" si="162"/>
        <v>0</v>
      </c>
      <c r="KG53" s="429">
        <f t="shared" si="162"/>
        <v>0</v>
      </c>
      <c r="KH53" s="429">
        <f t="shared" si="162"/>
        <v>0</v>
      </c>
      <c r="KI53" s="430">
        <f t="shared" si="162"/>
        <v>0</v>
      </c>
      <c r="KJ53" s="147">
        <f t="shared" si="162"/>
        <v>0</v>
      </c>
      <c r="KK53" s="428">
        <f t="shared" si="162"/>
        <v>0</v>
      </c>
      <c r="KL53" s="429">
        <f t="shared" si="162"/>
        <v>0</v>
      </c>
      <c r="KM53" s="429">
        <f t="shared" si="162"/>
        <v>0</v>
      </c>
      <c r="KN53" s="429">
        <f t="shared" si="162"/>
        <v>0</v>
      </c>
      <c r="KO53" s="430">
        <f t="shared" si="162"/>
        <v>0</v>
      </c>
      <c r="KP53" s="147">
        <f t="shared" si="162"/>
        <v>0</v>
      </c>
      <c r="KQ53" s="428">
        <f t="shared" si="162"/>
        <v>0</v>
      </c>
      <c r="KR53" s="429">
        <f t="shared" si="162"/>
        <v>0</v>
      </c>
      <c r="KS53" s="429">
        <f t="shared" si="162"/>
        <v>0</v>
      </c>
      <c r="KT53" s="429">
        <f t="shared" si="162"/>
        <v>0</v>
      </c>
      <c r="KU53" s="430">
        <f t="shared" si="162"/>
        <v>0</v>
      </c>
      <c r="KV53" s="147">
        <f t="shared" si="162"/>
        <v>0</v>
      </c>
      <c r="KW53" s="428">
        <f t="shared" si="162"/>
        <v>0</v>
      </c>
      <c r="KX53" s="429">
        <f t="shared" si="162"/>
        <v>0</v>
      </c>
      <c r="KY53" s="429">
        <f t="shared" si="162"/>
        <v>0</v>
      </c>
      <c r="KZ53" s="429">
        <f t="shared" si="162"/>
        <v>0</v>
      </c>
      <c r="LA53" s="430">
        <f t="shared" si="162"/>
        <v>0</v>
      </c>
      <c r="LB53" s="147">
        <f t="shared" si="162"/>
        <v>0</v>
      </c>
      <c r="LC53" s="428">
        <f t="shared" si="162"/>
        <v>0</v>
      </c>
      <c r="LD53" s="429">
        <f t="shared" si="162"/>
        <v>0</v>
      </c>
      <c r="LE53" s="430">
        <f t="shared" si="162"/>
        <v>0</v>
      </c>
      <c r="LF53" s="147">
        <f t="shared" si="162"/>
        <v>0</v>
      </c>
      <c r="LG53" s="147">
        <f t="shared" si="162"/>
        <v>651401.14</v>
      </c>
    </row>
    <row r="54" spans="2:321" s="206" customFormat="1">
      <c r="B54" s="203" t="s">
        <v>98</v>
      </c>
      <c r="C54" s="203"/>
      <c r="D54" s="202">
        <f t="shared" ref="D54:D96" si="163">SUM(C54:C54)</f>
        <v>0</v>
      </c>
      <c r="E54" s="203"/>
      <c r="F54" s="205"/>
      <c r="G54" s="205"/>
      <c r="H54" s="205"/>
      <c r="I54" s="204"/>
      <c r="J54" s="202">
        <f>SUM(E54:I54)</f>
        <v>0</v>
      </c>
      <c r="K54" s="203"/>
      <c r="L54" s="205"/>
      <c r="M54" s="205"/>
      <c r="N54" s="204"/>
      <c r="O54" s="202">
        <f>SUM(K54:N54)</f>
        <v>0</v>
      </c>
      <c r="P54" s="203"/>
      <c r="Q54" s="205"/>
      <c r="R54" s="205"/>
      <c r="S54" s="205"/>
      <c r="T54" s="204"/>
      <c r="U54" s="202">
        <f>SUM(P54:T54)</f>
        <v>0</v>
      </c>
      <c r="V54" s="203"/>
      <c r="W54" s="205"/>
      <c r="X54" s="205"/>
      <c r="Y54" s="205"/>
      <c r="Z54" s="205"/>
      <c r="AA54" s="208">
        <f>SUM(V54:Z54)</f>
        <v>0</v>
      </c>
      <c r="AB54" s="208">
        <f>AA54+U54+O54+J54+D54</f>
        <v>0</v>
      </c>
      <c r="AC54" s="203"/>
      <c r="AD54" s="205"/>
      <c r="AE54" s="205"/>
      <c r="AF54" s="205"/>
      <c r="AG54" s="204"/>
      <c r="AH54" s="208">
        <f>SUM(AC54:AG54)</f>
        <v>0</v>
      </c>
      <c r="AI54" s="203"/>
      <c r="AJ54" s="205"/>
      <c r="AK54" s="205"/>
      <c r="AL54" s="205"/>
      <c r="AM54" s="204"/>
      <c r="AN54" s="208">
        <f>SUM(AI54:AM54)</f>
        <v>0</v>
      </c>
      <c r="AO54" s="203"/>
      <c r="AP54" s="205"/>
      <c r="AQ54" s="205"/>
      <c r="AR54" s="205"/>
      <c r="AS54" s="204"/>
      <c r="AT54" s="208">
        <f>SUM(AO54:AS54)</f>
        <v>0</v>
      </c>
      <c r="AU54" s="203"/>
      <c r="AV54" s="205"/>
      <c r="AW54" s="205"/>
      <c r="AX54" s="205"/>
      <c r="AY54" s="204"/>
      <c r="AZ54" s="208">
        <f>SUM(AU54:AY54)</f>
        <v>0</v>
      </c>
      <c r="BA54" s="208">
        <f>AZ54+AT54+AN54+AH54</f>
        <v>0</v>
      </c>
      <c r="BB54" s="203"/>
      <c r="BC54" s="205"/>
      <c r="BD54" s="205"/>
      <c r="BE54" s="205"/>
      <c r="BF54" s="204"/>
      <c r="BG54" s="208">
        <f>SUM(BB54:BF54)</f>
        <v>0</v>
      </c>
      <c r="BH54" s="203"/>
      <c r="BI54" s="205"/>
      <c r="BJ54" s="205"/>
      <c r="BK54" s="205"/>
      <c r="BL54" s="204"/>
      <c r="BM54" s="208">
        <f t="shared" ref="BM54:BM96" si="164">SUM(BH54:BL54)</f>
        <v>0</v>
      </c>
      <c r="BN54" s="203"/>
      <c r="BO54" s="205"/>
      <c r="BP54" s="205"/>
      <c r="BQ54" s="204"/>
      <c r="BR54" s="208">
        <f>SUM(BN54:BQ54)</f>
        <v>0</v>
      </c>
      <c r="BS54" s="203"/>
      <c r="BT54" s="205"/>
      <c r="BU54" s="205"/>
      <c r="BV54" s="205"/>
      <c r="BW54" s="204"/>
      <c r="BX54" s="208">
        <f>SUM(BS54:BW54)</f>
        <v>0</v>
      </c>
      <c r="BY54" s="203"/>
      <c r="BZ54" s="205"/>
      <c r="CA54" s="208">
        <f>SUM(BY54:BZ54)</f>
        <v>0</v>
      </c>
      <c r="CB54" s="208">
        <f>CA54+BX54+BR54+BM54+BG54</f>
        <v>0</v>
      </c>
      <c r="CC54" s="203"/>
      <c r="CD54" s="205"/>
      <c r="CE54" s="205"/>
      <c r="CF54" s="208">
        <f>SUM(CC54:CE54)</f>
        <v>0</v>
      </c>
      <c r="CG54" s="203"/>
      <c r="CH54" s="205"/>
      <c r="CI54" s="205"/>
      <c r="CJ54" s="204"/>
      <c r="CK54" s="208">
        <f>SUM(CG54:CJ54)</f>
        <v>0</v>
      </c>
      <c r="CL54" s="203"/>
      <c r="CM54" s="205"/>
      <c r="CN54" s="205"/>
      <c r="CO54" s="205"/>
      <c r="CP54" s="204"/>
      <c r="CQ54" s="208">
        <f>SUM(CL54:CP54)</f>
        <v>0</v>
      </c>
      <c r="CR54" s="203"/>
      <c r="CS54" s="205"/>
      <c r="CT54" s="205"/>
      <c r="CU54" s="205"/>
      <c r="CV54" s="204"/>
      <c r="CW54" s="208">
        <f>SUM(CR54:CV54)</f>
        <v>0</v>
      </c>
      <c r="CX54" s="203"/>
      <c r="CY54" s="205"/>
      <c r="CZ54" s="205"/>
      <c r="DA54" s="204"/>
      <c r="DB54" s="208">
        <f>SUM(CX54:DA54)</f>
        <v>0</v>
      </c>
      <c r="DC54" s="208">
        <f>DB54+CW54+CQ54+CK54+CF54</f>
        <v>0</v>
      </c>
      <c r="DD54" s="203"/>
      <c r="DE54" s="205"/>
      <c r="DF54" s="205"/>
      <c r="DG54" s="205"/>
      <c r="DH54" s="205"/>
      <c r="DI54" s="208">
        <f>SUM(DD54:DH54)</f>
        <v>0</v>
      </c>
      <c r="DJ54" s="203"/>
      <c r="DK54" s="205"/>
      <c r="DL54" s="205"/>
      <c r="DM54" s="205"/>
      <c r="DN54" s="204"/>
      <c r="DO54" s="208">
        <f>SUM(DJ54:DN54)</f>
        <v>0</v>
      </c>
      <c r="DP54" s="203"/>
      <c r="DQ54" s="205"/>
      <c r="DR54" s="205"/>
      <c r="DS54" s="205">
        <v>5568.8680000000004</v>
      </c>
      <c r="DT54" s="204"/>
      <c r="DU54" s="245">
        <f>SUM(DP54:DT54)</f>
        <v>5568.8680000000004</v>
      </c>
      <c r="DV54" s="203"/>
      <c r="DW54" s="205"/>
      <c r="DX54" s="205"/>
      <c r="DY54" s="205"/>
      <c r="DZ54" s="204"/>
      <c r="EA54" s="208">
        <f>SUM(DV54:DZ54)</f>
        <v>0</v>
      </c>
      <c r="EB54" s="208">
        <f>EA54+DU54+DO54+DI54</f>
        <v>5568.8680000000004</v>
      </c>
      <c r="EC54" s="203"/>
      <c r="ED54" s="205"/>
      <c r="EE54" s="205"/>
      <c r="EF54" s="205"/>
      <c r="EG54" s="204"/>
      <c r="EH54" s="208">
        <f>SUM(EC54:EG54)</f>
        <v>0</v>
      </c>
      <c r="EI54" s="203"/>
      <c r="EJ54" s="205"/>
      <c r="EK54" s="205"/>
      <c r="EL54" s="205"/>
      <c r="EM54" s="204"/>
      <c r="EN54" s="208">
        <f>SUM(EI54:EM54)</f>
        <v>0</v>
      </c>
      <c r="EO54" s="203"/>
      <c r="EP54" s="205"/>
      <c r="EQ54" s="205"/>
      <c r="ER54" s="205"/>
      <c r="ES54" s="204"/>
      <c r="ET54" s="308">
        <f>SUM(EO54:ES54)</f>
        <v>0</v>
      </c>
      <c r="EU54" s="203"/>
      <c r="EV54" s="205"/>
      <c r="EW54" s="205"/>
      <c r="EX54" s="205"/>
      <c r="EY54" s="205"/>
      <c r="EZ54" s="205"/>
      <c r="FA54" s="204"/>
      <c r="FB54" s="208">
        <f>SUM(EU54:FA54)</f>
        <v>0</v>
      </c>
      <c r="FC54" s="208">
        <f>ET54+FB54+EN54+EH54</f>
        <v>0</v>
      </c>
      <c r="FD54" s="203"/>
      <c r="FE54" s="205"/>
      <c r="FF54" s="204"/>
      <c r="FG54" s="208">
        <f>SUM(FD54:FF54)</f>
        <v>0</v>
      </c>
      <c r="FH54" s="203"/>
      <c r="FI54" s="205"/>
      <c r="FJ54" s="205"/>
      <c r="FK54" s="205"/>
      <c r="FL54" s="204"/>
      <c r="FM54" s="208">
        <f>SUM(FH54:FL54)</f>
        <v>0</v>
      </c>
      <c r="FN54" s="203"/>
      <c r="FO54" s="205"/>
      <c r="FP54" s="205"/>
      <c r="FQ54" s="205"/>
      <c r="FR54" s="208">
        <f t="shared" ref="FR54:FR96" si="165">SUM(FN54:FQ54)</f>
        <v>0</v>
      </c>
      <c r="FS54" s="203"/>
      <c r="FT54" s="205"/>
      <c r="FU54" s="205"/>
      <c r="FV54" s="205"/>
      <c r="FW54" s="204"/>
      <c r="FX54" s="208">
        <f t="shared" ref="FX54:FX96" si="166">SUM(FS54:FW54)</f>
        <v>0</v>
      </c>
      <c r="FY54" s="203"/>
      <c r="FZ54" s="205"/>
      <c r="GA54" s="205"/>
      <c r="GB54" s="205"/>
      <c r="GC54" s="204"/>
      <c r="GD54" s="208">
        <f t="shared" ref="GD54:GD95" si="167">SUM(FY54:GC54)</f>
        <v>0</v>
      </c>
      <c r="GE54" s="208">
        <f t="shared" ref="GE54:GE96" si="168">FG54+FM54+FR54+FX54+GD54</f>
        <v>0</v>
      </c>
      <c r="GF54" s="203"/>
      <c r="GG54" s="205">
        <v>2858.42</v>
      </c>
      <c r="GH54" s="205"/>
      <c r="GI54" s="205"/>
      <c r="GJ54" s="205"/>
      <c r="GK54" s="208">
        <f t="shared" ref="GK54:GK95" si="169">SUM(GF54:GJ54)</f>
        <v>2858.42</v>
      </c>
      <c r="GL54" s="203"/>
      <c r="GM54" s="205"/>
      <c r="GN54" s="205"/>
      <c r="GO54" s="204"/>
      <c r="GP54" s="208">
        <f t="shared" ref="GP54:GP95" si="170">SUM(GL54:GO54)</f>
        <v>0</v>
      </c>
      <c r="GQ54" s="203"/>
      <c r="GR54" s="205"/>
      <c r="GS54" s="205"/>
      <c r="GT54" s="205"/>
      <c r="GU54" s="204"/>
      <c r="GV54" s="208">
        <f>SUM(GQ54:GU54)</f>
        <v>0</v>
      </c>
      <c r="GW54" s="203"/>
      <c r="GX54" s="205"/>
      <c r="GY54" s="205"/>
      <c r="GZ54" s="205"/>
      <c r="HA54" s="205"/>
      <c r="HB54" s="204"/>
      <c r="HC54" s="208">
        <f>SUM(GW54:HB54)</f>
        <v>0</v>
      </c>
      <c r="HD54" s="208">
        <f>GK54+GP54+GV54+HC54</f>
        <v>2858.42</v>
      </c>
      <c r="HE54" s="203"/>
      <c r="HF54" s="205"/>
      <c r="HG54" s="205"/>
      <c r="HH54" s="205"/>
      <c r="HI54" s="208">
        <f>SUM(HE54:HH54)</f>
        <v>0</v>
      </c>
      <c r="HJ54" s="203"/>
      <c r="HK54" s="205"/>
      <c r="HL54" s="205"/>
      <c r="HM54" s="205"/>
      <c r="HN54" s="204"/>
      <c r="HO54" s="245">
        <f>SUM(HJ54:HN54)</f>
        <v>0</v>
      </c>
      <c r="HP54" s="203"/>
      <c r="HQ54" s="205"/>
      <c r="HR54" s="205"/>
      <c r="HS54" s="205"/>
      <c r="HT54" s="204"/>
      <c r="HU54" s="208">
        <f>SUM(HP54:HT54)</f>
        <v>0</v>
      </c>
      <c r="HV54" s="203"/>
      <c r="HW54" s="205"/>
      <c r="HX54" s="205"/>
      <c r="HY54" s="208">
        <f t="shared" ref="HY54:HY96" si="171">SUM(HV54:HX54)</f>
        <v>0</v>
      </c>
      <c r="HZ54" s="203"/>
      <c r="IA54" s="205"/>
      <c r="IB54" s="204"/>
      <c r="IC54" s="208">
        <f>SUM(HZ54:IB54)</f>
        <v>0</v>
      </c>
      <c r="ID54" s="208">
        <f t="shared" ref="ID54:ID96" si="172">IC54+HY54+HU54+HO54+HI54</f>
        <v>0</v>
      </c>
      <c r="IE54" s="203"/>
      <c r="IF54" s="204"/>
      <c r="IG54" s="208">
        <f>SUM(IE54:IF54)</f>
        <v>0</v>
      </c>
      <c r="IH54" s="203"/>
      <c r="II54" s="205"/>
      <c r="IJ54" s="205"/>
      <c r="IK54" s="205"/>
      <c r="IL54" s="204"/>
      <c r="IM54" s="208">
        <f>SUM(IH54:IL54)</f>
        <v>0</v>
      </c>
      <c r="IN54" s="203"/>
      <c r="IO54" s="205"/>
      <c r="IP54" s="204">
        <v>49703.144999999997</v>
      </c>
      <c r="IQ54" s="208">
        <f>SUM(IN54:IP54)</f>
        <v>49703.144999999997</v>
      </c>
      <c r="IR54" s="203"/>
      <c r="IS54" s="205"/>
      <c r="IT54" s="205"/>
      <c r="IU54" s="205"/>
      <c r="IV54" s="204"/>
      <c r="IW54" s="208">
        <f>SUM(IR54:IV54)</f>
        <v>0</v>
      </c>
      <c r="IX54" s="203"/>
      <c r="IY54" s="205"/>
      <c r="IZ54" s="205"/>
      <c r="JA54" s="205"/>
      <c r="JB54" s="204"/>
      <c r="JC54" s="208">
        <f>SUM(IX54:JB54)</f>
        <v>0</v>
      </c>
      <c r="JD54" s="208">
        <f>IG54+IM54+IQ54+IW54+JC54</f>
        <v>49703.144999999997</v>
      </c>
      <c r="JE54" s="203"/>
      <c r="JF54" s="205"/>
      <c r="JG54" s="205"/>
      <c r="JH54" s="205"/>
      <c r="JI54" s="204"/>
      <c r="JJ54" s="208">
        <f>SUM(JE54:JI54)</f>
        <v>0</v>
      </c>
      <c r="JK54" s="203"/>
      <c r="JL54" s="205"/>
      <c r="JM54" s="205"/>
      <c r="JN54" s="205"/>
      <c r="JO54" s="204"/>
      <c r="JP54" s="208">
        <f>SUM(JK54:JO54)</f>
        <v>0</v>
      </c>
      <c r="JQ54" s="203"/>
      <c r="JR54" s="205"/>
      <c r="JS54" s="205"/>
      <c r="JT54" s="205"/>
      <c r="JU54" s="204"/>
      <c r="JV54" s="208">
        <f>SUM(JQ54:JU54)</f>
        <v>0</v>
      </c>
      <c r="JW54" s="203"/>
      <c r="JX54" s="205"/>
      <c r="JY54" s="205"/>
      <c r="JZ54" s="205"/>
      <c r="KA54" s="205"/>
      <c r="KB54" s="204"/>
      <c r="KC54" s="208">
        <f>SUM(JW54:KB54)</f>
        <v>0</v>
      </c>
      <c r="KD54" s="208">
        <f>JJ54+JP54+JV54+KC54</f>
        <v>0</v>
      </c>
      <c r="KE54" s="203"/>
      <c r="KF54" s="205"/>
      <c r="KG54" s="205"/>
      <c r="KH54" s="205"/>
      <c r="KI54" s="204"/>
      <c r="KJ54" s="208">
        <f>SUM(KE54:KI54)</f>
        <v>0</v>
      </c>
      <c r="KK54" s="203"/>
      <c r="KL54" s="205"/>
      <c r="KM54" s="205"/>
      <c r="KN54" s="205"/>
      <c r="KO54" s="204"/>
      <c r="KP54" s="208">
        <f>SUM(KK54:KO54)</f>
        <v>0</v>
      </c>
      <c r="KQ54" s="203"/>
      <c r="KR54" s="205"/>
      <c r="KS54" s="205"/>
      <c r="KT54" s="205"/>
      <c r="KU54" s="204"/>
      <c r="KV54" s="208">
        <f>SUM(KQ54:KU54)</f>
        <v>0</v>
      </c>
      <c r="KW54" s="203"/>
      <c r="KX54" s="205"/>
      <c r="KY54" s="205"/>
      <c r="KZ54" s="205"/>
      <c r="LA54" s="204"/>
      <c r="LB54" s="208">
        <f>SUM(KW54:LA54)</f>
        <v>0</v>
      </c>
      <c r="LC54" s="202"/>
      <c r="LD54" s="244"/>
      <c r="LE54" s="245"/>
      <c r="LF54" s="208">
        <f>SUM(LC54:LE54)</f>
        <v>0</v>
      </c>
      <c r="LG54" s="208">
        <f>LF54+LB54+KV54+KP54+KJ54</f>
        <v>0</v>
      </c>
    </row>
    <row r="55" spans="2:321" s="206" customFormat="1">
      <c r="B55" s="203" t="s">
        <v>105</v>
      </c>
      <c r="C55" s="203"/>
      <c r="D55" s="202">
        <f t="shared" si="163"/>
        <v>0</v>
      </c>
      <c r="E55" s="203"/>
      <c r="F55" s="205"/>
      <c r="G55" s="205">
        <f>431632.649-437500</f>
        <v>-5867.3510000000242</v>
      </c>
      <c r="H55" s="205"/>
      <c r="I55" s="204"/>
      <c r="J55" s="202">
        <f>SUM(E55:I55)</f>
        <v>-5867.3510000000242</v>
      </c>
      <c r="K55" s="203"/>
      <c r="L55" s="205"/>
      <c r="M55" s="205"/>
      <c r="N55" s="204"/>
      <c r="O55" s="202">
        <f>SUM(K55:N55)</f>
        <v>0</v>
      </c>
      <c r="P55" s="203"/>
      <c r="Q55" s="205"/>
      <c r="R55" s="205"/>
      <c r="S55" s="205"/>
      <c r="T55" s="204"/>
      <c r="U55" s="202">
        <f t="shared" ref="U55:U96" si="173">SUM(P55:T55)</f>
        <v>0</v>
      </c>
      <c r="V55" s="203"/>
      <c r="W55" s="205"/>
      <c r="X55" s="205"/>
      <c r="Y55" s="205"/>
      <c r="Z55" s="205"/>
      <c r="AA55" s="208">
        <f t="shared" ref="AA55:AA96" si="174">SUM(V55:Z55)</f>
        <v>0</v>
      </c>
      <c r="AB55" s="208">
        <f>AA55+U55+O55+J55+D55</f>
        <v>-5867.3510000000242</v>
      </c>
      <c r="AC55" s="203"/>
      <c r="AD55" s="205"/>
      <c r="AE55" s="205"/>
      <c r="AF55" s="205"/>
      <c r="AG55" s="204"/>
      <c r="AH55" s="208">
        <f>SUM(AC55:AG55)</f>
        <v>0</v>
      </c>
      <c r="AI55" s="203"/>
      <c r="AJ55" s="205"/>
      <c r="AK55" s="205"/>
      <c r="AL55" s="205"/>
      <c r="AM55" s="204"/>
      <c r="AN55" s="208">
        <f t="shared" ref="AN55:AN88" si="175">SUM(AI55:AM55)</f>
        <v>0</v>
      </c>
      <c r="AO55" s="203"/>
      <c r="AP55" s="205"/>
      <c r="AQ55" s="205"/>
      <c r="AR55" s="205"/>
      <c r="AS55" s="204"/>
      <c r="AT55" s="208">
        <f t="shared" ref="AT55:AT96" si="176">SUM(AO55:AS55)</f>
        <v>0</v>
      </c>
      <c r="AU55" s="203"/>
      <c r="AV55" s="205"/>
      <c r="AW55" s="205"/>
      <c r="AX55" s="205"/>
      <c r="AY55" s="204"/>
      <c r="AZ55" s="208">
        <f t="shared" ref="AZ55:AZ96" si="177">SUM(AU55:AY55)</f>
        <v>0</v>
      </c>
      <c r="BA55" s="208">
        <f t="shared" ref="BA55:BA96" si="178">AZ55+AT55+AN55+AH55</f>
        <v>0</v>
      </c>
      <c r="BB55" s="203"/>
      <c r="BC55" s="205"/>
      <c r="BD55" s="205"/>
      <c r="BE55" s="205"/>
      <c r="BF55" s="204"/>
      <c r="BG55" s="208">
        <f t="shared" ref="BG55:BG96" si="179">SUM(BB55:BF55)</f>
        <v>0</v>
      </c>
      <c r="BH55" s="203"/>
      <c r="BI55" s="205"/>
      <c r="BJ55" s="205"/>
      <c r="BK55" s="205"/>
      <c r="BL55" s="204"/>
      <c r="BM55" s="208">
        <f t="shared" si="164"/>
        <v>0</v>
      </c>
      <c r="BN55" s="203"/>
      <c r="BO55" s="205"/>
      <c r="BP55" s="205"/>
      <c r="BQ55" s="204"/>
      <c r="BR55" s="208">
        <f t="shared" ref="BR55:BR96" si="180">SUM(BN55:BQ55)</f>
        <v>0</v>
      </c>
      <c r="BS55" s="203"/>
      <c r="BT55" s="205"/>
      <c r="BU55" s="205"/>
      <c r="BV55" s="205"/>
      <c r="BW55" s="204"/>
      <c r="BX55" s="208">
        <f t="shared" ref="BX55:BX96" si="181">SUM(BS55:BW55)</f>
        <v>0</v>
      </c>
      <c r="BY55" s="203"/>
      <c r="BZ55" s="205"/>
      <c r="CA55" s="208">
        <f t="shared" ref="CA55:CA96" si="182">SUM(BY55:BZ55)</f>
        <v>0</v>
      </c>
      <c r="CB55" s="208">
        <f t="shared" ref="CB55:CB96" si="183">CA55+BX55+BR55+BM55+BG55</f>
        <v>0</v>
      </c>
      <c r="CC55" s="203"/>
      <c r="CD55" s="205"/>
      <c r="CE55" s="205"/>
      <c r="CF55" s="208">
        <f>SUM(CC55:CE55)</f>
        <v>0</v>
      </c>
      <c r="CG55" s="203"/>
      <c r="CH55" s="205"/>
      <c r="CI55" s="205"/>
      <c r="CJ55" s="204"/>
      <c r="CK55" s="208">
        <f t="shared" ref="CK55:CK96" si="184">SUM(CG55:CJ55)</f>
        <v>0</v>
      </c>
      <c r="CL55" s="203"/>
      <c r="CM55" s="205"/>
      <c r="CN55" s="205"/>
      <c r="CO55" s="205"/>
      <c r="CP55" s="204"/>
      <c r="CQ55" s="208">
        <f t="shared" ref="CQ55:CQ96" si="185">SUM(CL55:CP55)</f>
        <v>0</v>
      </c>
      <c r="CR55" s="203"/>
      <c r="CS55" s="205"/>
      <c r="CT55" s="205"/>
      <c r="CU55" s="205"/>
      <c r="CV55" s="204"/>
      <c r="CW55" s="208">
        <f t="shared" ref="CW55:CW83" si="186">SUM(CR55:CV55)</f>
        <v>0</v>
      </c>
      <c r="CX55" s="203"/>
      <c r="CY55" s="205"/>
      <c r="CZ55" s="205"/>
      <c r="DA55" s="204"/>
      <c r="DB55" s="208">
        <f t="shared" ref="DB55:DB96" si="187">SUM(CX55:DA55)</f>
        <v>0</v>
      </c>
      <c r="DC55" s="208">
        <f>DB55+CW55+CQ55+CK55+CF55</f>
        <v>0</v>
      </c>
      <c r="DD55" s="203"/>
      <c r="DE55" s="205"/>
      <c r="DF55" s="205"/>
      <c r="DG55" s="205"/>
      <c r="DH55" s="205"/>
      <c r="DI55" s="208">
        <f t="shared" ref="DI55:DI96" si="188">SUM(DD55:DH55)</f>
        <v>0</v>
      </c>
      <c r="DJ55" s="203"/>
      <c r="DK55" s="205"/>
      <c r="DL55" s="205"/>
      <c r="DM55" s="205"/>
      <c r="DN55" s="204"/>
      <c r="DO55" s="208">
        <f t="shared" ref="DO55:DO96" si="189">SUM(DJ55:DN55)</f>
        <v>0</v>
      </c>
      <c r="DP55" s="203"/>
      <c r="DQ55" s="205"/>
      <c r="DR55" s="205"/>
      <c r="DS55" s="205"/>
      <c r="DT55" s="204"/>
      <c r="DU55" s="245">
        <f t="shared" ref="DU55:DU96" si="190">SUM(DP55:DT55)</f>
        <v>0</v>
      </c>
      <c r="DV55" s="203"/>
      <c r="DW55" s="205"/>
      <c r="DX55" s="205"/>
      <c r="DY55" s="205"/>
      <c r="DZ55" s="204"/>
      <c r="EA55" s="208">
        <f t="shared" ref="EA55:EA96" si="191">SUM(DV55:DZ55)</f>
        <v>0</v>
      </c>
      <c r="EB55" s="208">
        <f t="shared" ref="EB55:EB95" si="192">EA55+DU55+DO55+DI55</f>
        <v>0</v>
      </c>
      <c r="EC55" s="203"/>
      <c r="ED55" s="205"/>
      <c r="EE55" s="205"/>
      <c r="EF55" s="205"/>
      <c r="EG55" s="204"/>
      <c r="EH55" s="208">
        <f t="shared" ref="EH55:EH96" si="193">SUM(EC55:EG55)</f>
        <v>0</v>
      </c>
      <c r="EI55" s="203"/>
      <c r="EJ55" s="205"/>
      <c r="EK55" s="205"/>
      <c r="EL55" s="205"/>
      <c r="EM55" s="204"/>
      <c r="EN55" s="208">
        <f t="shared" ref="EN55:EN96" si="194">SUM(EI55:EM55)</f>
        <v>0</v>
      </c>
      <c r="EO55" s="203"/>
      <c r="EP55" s="205"/>
      <c r="EQ55" s="205"/>
      <c r="ER55" s="205"/>
      <c r="ES55" s="204"/>
      <c r="ET55" s="308">
        <f t="shared" ref="ET55:ET96" si="195">SUM(EO55:ES55)</f>
        <v>0</v>
      </c>
      <c r="EU55" s="203"/>
      <c r="EV55" s="205"/>
      <c r="EW55" s="205"/>
      <c r="EX55" s="205"/>
      <c r="EY55" s="205"/>
      <c r="EZ55" s="205"/>
      <c r="FA55" s="204"/>
      <c r="FB55" s="208">
        <f t="shared" ref="FB55:FB96" si="196">SUM(EU55:FA55)</f>
        <v>0</v>
      </c>
      <c r="FC55" s="208">
        <f t="shared" ref="FC55:FC96" si="197">ET55+FB55+EN55+EH55</f>
        <v>0</v>
      </c>
      <c r="FD55" s="203"/>
      <c r="FE55" s="205"/>
      <c r="FF55" s="204"/>
      <c r="FG55" s="208">
        <f t="shared" ref="FG55:FG96" si="198">SUM(FD55:FF55)</f>
        <v>0</v>
      </c>
      <c r="FH55" s="203"/>
      <c r="FI55" s="205"/>
      <c r="FJ55" s="205"/>
      <c r="FK55" s="205"/>
      <c r="FL55" s="204"/>
      <c r="FM55" s="208">
        <f t="shared" ref="FM55:FM96" si="199">SUM(FH55:FL55)</f>
        <v>0</v>
      </c>
      <c r="FN55" s="203"/>
      <c r="FO55" s="205"/>
      <c r="FP55" s="205"/>
      <c r="FQ55" s="205"/>
      <c r="FR55" s="208">
        <f t="shared" si="165"/>
        <v>0</v>
      </c>
      <c r="FS55" s="203"/>
      <c r="FT55" s="205"/>
      <c r="FU55" s="205"/>
      <c r="FV55" s="205"/>
      <c r="FW55" s="204"/>
      <c r="FX55" s="208">
        <f t="shared" si="166"/>
        <v>0</v>
      </c>
      <c r="FY55" s="203"/>
      <c r="FZ55" s="205"/>
      <c r="GA55" s="205"/>
      <c r="GB55" s="205"/>
      <c r="GC55" s="204"/>
      <c r="GD55" s="208">
        <f t="shared" si="167"/>
        <v>0</v>
      </c>
      <c r="GE55" s="208">
        <f t="shared" si="168"/>
        <v>0</v>
      </c>
      <c r="GF55" s="203"/>
      <c r="GG55" s="205"/>
      <c r="GH55" s="205"/>
      <c r="GI55" s="205"/>
      <c r="GJ55" s="205"/>
      <c r="GK55" s="208">
        <f t="shared" si="169"/>
        <v>0</v>
      </c>
      <c r="GL55" s="203"/>
      <c r="GM55" s="205"/>
      <c r="GN55" s="205"/>
      <c r="GO55" s="204"/>
      <c r="GP55" s="208">
        <f t="shared" si="170"/>
        <v>0</v>
      </c>
      <c r="GQ55" s="203"/>
      <c r="GR55" s="205"/>
      <c r="GS55" s="205"/>
      <c r="GT55" s="205">
        <v>289840.55800000002</v>
      </c>
      <c r="GU55" s="204"/>
      <c r="GV55" s="208">
        <f t="shared" ref="GV55:GV96" si="200">SUM(GQ55:GU55)</f>
        <v>289840.55800000002</v>
      </c>
      <c r="GW55" s="203"/>
      <c r="GX55" s="205"/>
      <c r="GY55" s="205"/>
      <c r="GZ55" s="205"/>
      <c r="HA55" s="205"/>
      <c r="HB55" s="204"/>
      <c r="HC55" s="208">
        <f t="shared" ref="HC55:HC96" si="201">SUM(GW55:HB55)</f>
        <v>0</v>
      </c>
      <c r="HD55" s="208">
        <f t="shared" ref="HD55:HD96" si="202">GK55+GP55+GV55+HC55</f>
        <v>289840.55800000002</v>
      </c>
      <c r="HE55" s="203">
        <v>860595.22499999998</v>
      </c>
      <c r="HF55" s="205"/>
      <c r="HG55" s="205"/>
      <c r="HH55" s="205"/>
      <c r="HI55" s="208">
        <f t="shared" ref="HI55:HI96" si="203">SUM(HE55:HH55)</f>
        <v>860595.22499999998</v>
      </c>
      <c r="HJ55" s="203"/>
      <c r="HK55" s="205"/>
      <c r="HL55" s="205"/>
      <c r="HM55" s="205"/>
      <c r="HN55" s="204"/>
      <c r="HO55" s="245">
        <f t="shared" ref="HO55:HO96" si="204">SUM(HJ55:HN55)</f>
        <v>0</v>
      </c>
      <c r="HP55" s="203"/>
      <c r="HQ55" s="205"/>
      <c r="HR55" s="205"/>
      <c r="HS55" s="205"/>
      <c r="HT55" s="204"/>
      <c r="HU55" s="208">
        <f t="shared" ref="HU55:HU96" si="205">SUM(HP55:HT55)</f>
        <v>0</v>
      </c>
      <c r="HV55" s="203"/>
      <c r="HW55" s="205"/>
      <c r="HX55" s="205"/>
      <c r="HY55" s="208">
        <f t="shared" si="171"/>
        <v>0</v>
      </c>
      <c r="HZ55" s="203"/>
      <c r="IA55" s="205"/>
      <c r="IB55" s="204"/>
      <c r="IC55" s="208">
        <f t="shared" ref="IC55:IC96" si="206">SUM(HZ55:IB55)</f>
        <v>0</v>
      </c>
      <c r="ID55" s="208">
        <f t="shared" si="172"/>
        <v>860595.22499999998</v>
      </c>
      <c r="IE55" s="203"/>
      <c r="IF55" s="204"/>
      <c r="IG55" s="208">
        <f t="shared" ref="IG55:IG96" si="207">SUM(IE55:IF55)</f>
        <v>0</v>
      </c>
      <c r="IH55" s="203"/>
      <c r="II55" s="205"/>
      <c r="IJ55" s="205"/>
      <c r="IK55" s="205"/>
      <c r="IL55" s="204"/>
      <c r="IM55" s="208">
        <f t="shared" ref="IM55:IM96" si="208">SUM(IH55:IL55)</f>
        <v>0</v>
      </c>
      <c r="IN55" s="203"/>
      <c r="IO55" s="205"/>
      <c r="IP55" s="204"/>
      <c r="IQ55" s="208">
        <f t="shared" ref="IQ55:IQ96" si="209">SUM(IN55:IP55)</f>
        <v>0</v>
      </c>
      <c r="IR55" s="203"/>
      <c r="IS55" s="205"/>
      <c r="IT55" s="205"/>
      <c r="IU55" s="205"/>
      <c r="IV55" s="204"/>
      <c r="IW55" s="208">
        <f t="shared" ref="IW55:IW96" si="210">SUM(IR55:IV55)</f>
        <v>0</v>
      </c>
      <c r="IX55" s="203"/>
      <c r="IY55" s="205"/>
      <c r="IZ55" s="205"/>
      <c r="JA55" s="205"/>
      <c r="JB55" s="204"/>
      <c r="JC55" s="208">
        <f t="shared" ref="JC55:JC96" si="211">SUM(IX55:JB55)</f>
        <v>0</v>
      </c>
      <c r="JD55" s="208">
        <f t="shared" ref="JD55:JD96" si="212">IG55+IM55+IQ55+IW55+JC55</f>
        <v>0</v>
      </c>
      <c r="JE55" s="203"/>
      <c r="JF55" s="205"/>
      <c r="JG55" s="205"/>
      <c r="JH55" s="205"/>
      <c r="JI55" s="204"/>
      <c r="JJ55" s="208">
        <f t="shared" ref="JJ55:JJ95" si="213">SUM(JE55:JI55)</f>
        <v>0</v>
      </c>
      <c r="JK55" s="203"/>
      <c r="JL55" s="205"/>
      <c r="JM55" s="205"/>
      <c r="JN55" s="205"/>
      <c r="JO55" s="204"/>
      <c r="JP55" s="208">
        <f t="shared" ref="JP55:JP96" si="214">SUM(JK55:JO55)</f>
        <v>0</v>
      </c>
      <c r="JQ55" s="203"/>
      <c r="JR55" s="205"/>
      <c r="JS55" s="205"/>
      <c r="JT55" s="205"/>
      <c r="JU55" s="204"/>
      <c r="JV55" s="208">
        <f t="shared" ref="JV55:JV96" si="215">SUM(JQ55:JU55)</f>
        <v>0</v>
      </c>
      <c r="JW55" s="203"/>
      <c r="JX55" s="205"/>
      <c r="JY55" s="205"/>
      <c r="JZ55" s="205"/>
      <c r="KA55" s="205"/>
      <c r="KB55" s="204"/>
      <c r="KC55" s="208">
        <f t="shared" ref="KC55:KC96" si="216">SUM(JW55:KB55)</f>
        <v>0</v>
      </c>
      <c r="KD55" s="208">
        <f t="shared" ref="KD55:KD96" si="217">JJ55+JP55+JV55+KC55</f>
        <v>0</v>
      </c>
      <c r="KE55" s="203"/>
      <c r="KF55" s="205"/>
      <c r="KG55" s="205"/>
      <c r="KH55" s="205"/>
      <c r="KI55" s="204"/>
      <c r="KJ55" s="208">
        <f t="shared" ref="KJ55:KJ96" si="218">SUM(KE55:KI55)</f>
        <v>0</v>
      </c>
      <c r="KK55" s="203"/>
      <c r="KL55" s="205"/>
      <c r="KM55" s="205"/>
      <c r="KN55" s="205"/>
      <c r="KO55" s="204"/>
      <c r="KP55" s="208">
        <f t="shared" ref="KP55:KP96" si="219">SUM(KK55:KO55)</f>
        <v>0</v>
      </c>
      <c r="KQ55" s="203"/>
      <c r="KR55" s="205"/>
      <c r="KS55" s="205"/>
      <c r="KT55" s="205"/>
      <c r="KU55" s="204"/>
      <c r="KV55" s="208">
        <f t="shared" ref="KV55:KV96" si="220">SUM(KQ55:KU55)</f>
        <v>0</v>
      </c>
      <c r="KW55" s="203"/>
      <c r="KX55" s="205"/>
      <c r="KY55" s="205"/>
      <c r="KZ55" s="205"/>
      <c r="LA55" s="204"/>
      <c r="LB55" s="208">
        <f t="shared" ref="LB55:LB96" si="221">SUM(KW55:LA55)</f>
        <v>0</v>
      </c>
      <c r="LC55" s="202"/>
      <c r="LD55" s="244"/>
      <c r="LE55" s="245"/>
      <c r="LF55" s="208">
        <f t="shared" ref="LF55:LF96" si="222">SUM(LC55:LE55)</f>
        <v>0</v>
      </c>
      <c r="LG55" s="208">
        <f t="shared" ref="LG55:LG96" si="223">LF55+LB55+KV55+KP55+KJ55</f>
        <v>0</v>
      </c>
      <c r="LI55" s="764"/>
    </row>
    <row r="56" spans="2:321" s="206" customFormat="1">
      <c r="B56" s="203" t="s">
        <v>401</v>
      </c>
      <c r="C56" s="203"/>
      <c r="D56" s="202">
        <f t="shared" si="163"/>
        <v>0</v>
      </c>
      <c r="E56" s="203"/>
      <c r="F56" s="205"/>
      <c r="G56" s="205">
        <v>133037.351</v>
      </c>
      <c r="H56" s="205"/>
      <c r="I56" s="204"/>
      <c r="J56" s="202">
        <f t="shared" ref="J56:J87" si="224">SUM(E56:I56)</f>
        <v>133037.351</v>
      </c>
      <c r="K56" s="203"/>
      <c r="L56" s="205"/>
      <c r="M56" s="205"/>
      <c r="N56" s="204"/>
      <c r="O56" s="202">
        <f t="shared" ref="O56:O63" si="225">SUM(K56:N56)</f>
        <v>0</v>
      </c>
      <c r="P56" s="203"/>
      <c r="Q56" s="205"/>
      <c r="R56" s="205"/>
      <c r="S56" s="205"/>
      <c r="T56" s="204"/>
      <c r="U56" s="202">
        <f t="shared" si="173"/>
        <v>0</v>
      </c>
      <c r="V56" s="203"/>
      <c r="W56" s="205"/>
      <c r="X56" s="205"/>
      <c r="Y56" s="205"/>
      <c r="Z56" s="205"/>
      <c r="AA56" s="208">
        <f t="shared" si="174"/>
        <v>0</v>
      </c>
      <c r="AB56" s="208">
        <f t="shared" ref="AB56:AB95" si="226">AA56+U56+O56+J56+D56</f>
        <v>133037.351</v>
      </c>
      <c r="AC56" s="203"/>
      <c r="AD56" s="205"/>
      <c r="AE56" s="205"/>
      <c r="AF56" s="205"/>
      <c r="AG56" s="204"/>
      <c r="AH56" s="208">
        <f t="shared" ref="AH56:AH96" si="227">SUM(AC56:AG56)</f>
        <v>0</v>
      </c>
      <c r="AI56" s="203">
        <f>118354.5+119050.5</f>
        <v>237405</v>
      </c>
      <c r="AJ56" s="205"/>
      <c r="AK56" s="205"/>
      <c r="AL56" s="205">
        <v>115500.08</v>
      </c>
      <c r="AM56" s="204"/>
      <c r="AN56" s="208">
        <f t="shared" si="175"/>
        <v>352905.08</v>
      </c>
      <c r="AO56" s="203"/>
      <c r="AP56" s="205"/>
      <c r="AQ56" s="205"/>
      <c r="AR56" s="205"/>
      <c r="AS56" s="204">
        <f>119607.66+120512.72</f>
        <v>240120.38</v>
      </c>
      <c r="AT56" s="208">
        <f t="shared" si="176"/>
        <v>240120.38</v>
      </c>
      <c r="AU56" s="203"/>
      <c r="AV56" s="205"/>
      <c r="AW56" s="205"/>
      <c r="AX56" s="205"/>
      <c r="AY56" s="204"/>
      <c r="AZ56" s="208">
        <f t="shared" si="177"/>
        <v>0</v>
      </c>
      <c r="BA56" s="208">
        <f t="shared" si="178"/>
        <v>593025.46</v>
      </c>
      <c r="BB56" s="203"/>
      <c r="BC56" s="205">
        <v>122949.42</v>
      </c>
      <c r="BD56" s="205"/>
      <c r="BE56" s="205"/>
      <c r="BF56" s="204"/>
      <c r="BG56" s="208">
        <f t="shared" si="179"/>
        <v>122949.42</v>
      </c>
      <c r="BH56" s="203"/>
      <c r="BI56" s="205">
        <v>110835.54</v>
      </c>
      <c r="BJ56" s="205"/>
      <c r="BK56" s="205"/>
      <c r="BL56" s="204"/>
      <c r="BM56" s="208">
        <f t="shared" si="164"/>
        <v>110835.54</v>
      </c>
      <c r="BN56" s="203">
        <v>98582.42</v>
      </c>
      <c r="BO56" s="205"/>
      <c r="BP56" s="205">
        <v>95449.52</v>
      </c>
      <c r="BQ56" s="204"/>
      <c r="BR56" s="208">
        <f t="shared" si="180"/>
        <v>194031.94</v>
      </c>
      <c r="BS56" s="203">
        <f>37780.324+97677.36</f>
        <v>135457.68400000001</v>
      </c>
      <c r="BT56" s="205"/>
      <c r="BU56" s="205"/>
      <c r="BV56" s="205">
        <v>133595.38</v>
      </c>
      <c r="BW56" s="204"/>
      <c r="BX56" s="208">
        <f t="shared" si="181"/>
        <v>269053.06400000001</v>
      </c>
      <c r="BY56" s="203"/>
      <c r="BZ56" s="205"/>
      <c r="CA56" s="208">
        <f t="shared" si="182"/>
        <v>0</v>
      </c>
      <c r="CB56" s="208">
        <f t="shared" si="183"/>
        <v>696869.96400000004</v>
      </c>
      <c r="CC56" s="203"/>
      <c r="CD56" s="205">
        <v>101780.22</v>
      </c>
      <c r="CE56" s="205">
        <v>117399.88</v>
      </c>
      <c r="CF56" s="208">
        <f t="shared" ref="CF56:CF96" si="228">SUM(CC56:CE56)</f>
        <v>219180.1</v>
      </c>
      <c r="CG56" s="203"/>
      <c r="CH56" s="205"/>
      <c r="CI56" s="205"/>
      <c r="CJ56" s="204">
        <v>153749.78</v>
      </c>
      <c r="CK56" s="208">
        <f t="shared" si="184"/>
        <v>153749.78</v>
      </c>
      <c r="CL56" s="203"/>
      <c r="CM56" s="205"/>
      <c r="CN56" s="205">
        <v>145472.07999999999</v>
      </c>
      <c r="CO56" s="205"/>
      <c r="CP56" s="204"/>
      <c r="CQ56" s="208">
        <f t="shared" si="185"/>
        <v>145472.07999999999</v>
      </c>
      <c r="CR56" s="203"/>
      <c r="CS56" s="205">
        <v>126109.46</v>
      </c>
      <c r="CT56" s="205"/>
      <c r="CU56" s="205"/>
      <c r="CV56" s="204">
        <f>65862.2+72268.42</f>
        <v>138130.62</v>
      </c>
      <c r="CW56" s="208">
        <f t="shared" si="186"/>
        <v>264240.08</v>
      </c>
      <c r="CX56" s="203"/>
      <c r="CY56" s="205"/>
      <c r="CZ56" s="205"/>
      <c r="DA56" s="204"/>
      <c r="DB56" s="208">
        <f t="shared" si="187"/>
        <v>0</v>
      </c>
      <c r="DC56" s="208">
        <f t="shared" ref="DC56:DC96" si="229">DB56+CW56+CQ56+CK56+CF56</f>
        <v>782642.04</v>
      </c>
      <c r="DD56" s="203">
        <v>129564.5</v>
      </c>
      <c r="DE56" s="205">
        <v>132947.56</v>
      </c>
      <c r="DF56" s="205"/>
      <c r="DG56" s="205"/>
      <c r="DH56" s="205">
        <v>111857.42</v>
      </c>
      <c r="DI56" s="208">
        <f t="shared" si="188"/>
        <v>374369.48</v>
      </c>
      <c r="DJ56" s="203">
        <v>127980.95</v>
      </c>
      <c r="DK56" s="205">
        <v>99476.86</v>
      </c>
      <c r="DL56" s="205"/>
      <c r="DM56" s="205"/>
      <c r="DN56" s="204">
        <v>99404.88</v>
      </c>
      <c r="DO56" s="208">
        <f t="shared" si="189"/>
        <v>326862.69</v>
      </c>
      <c r="DP56" s="203"/>
      <c r="DQ56" s="205"/>
      <c r="DR56" s="205"/>
      <c r="DS56" s="205">
        <f>57762.68+93743.24</f>
        <v>151505.92000000001</v>
      </c>
      <c r="DT56" s="204"/>
      <c r="DU56" s="245">
        <f t="shared" si="190"/>
        <v>151505.92000000001</v>
      </c>
      <c r="DV56" s="203">
        <v>132771.74</v>
      </c>
      <c r="DW56" s="205">
        <v>103258.76</v>
      </c>
      <c r="DX56" s="205"/>
      <c r="DY56" s="205"/>
      <c r="DZ56" s="204"/>
      <c r="EA56" s="208">
        <f t="shared" si="191"/>
        <v>236030.5</v>
      </c>
      <c r="EB56" s="208">
        <f t="shared" si="192"/>
        <v>1088768.5900000001</v>
      </c>
      <c r="EC56" s="203"/>
      <c r="ED56" s="205">
        <v>136842.50399999999</v>
      </c>
      <c r="EE56" s="205">
        <v>129798.14</v>
      </c>
      <c r="EF56" s="205"/>
      <c r="EG56" s="204"/>
      <c r="EH56" s="208">
        <f t="shared" si="193"/>
        <v>266640.64399999997</v>
      </c>
      <c r="EI56" s="203"/>
      <c r="EJ56" s="205">
        <v>144889.16</v>
      </c>
      <c r="EK56" s="205"/>
      <c r="EL56" s="205">
        <v>130541.54</v>
      </c>
      <c r="EM56" s="204"/>
      <c r="EN56" s="208">
        <f t="shared" si="194"/>
        <v>275430.7</v>
      </c>
      <c r="EO56" s="203">
        <v>144814.82</v>
      </c>
      <c r="EP56" s="205"/>
      <c r="EQ56" s="205"/>
      <c r="ER56" s="205"/>
      <c r="ES56" s="204">
        <v>115896.56</v>
      </c>
      <c r="ET56" s="308">
        <f t="shared" si="195"/>
        <v>260711.38</v>
      </c>
      <c r="EU56" s="203"/>
      <c r="EV56" s="205"/>
      <c r="EW56" s="205">
        <v>115970.9</v>
      </c>
      <c r="EX56" s="205"/>
      <c r="EY56" s="205"/>
      <c r="EZ56" s="205">
        <v>117680.72</v>
      </c>
      <c r="FA56" s="204"/>
      <c r="FB56" s="208">
        <f t="shared" si="196"/>
        <v>233651.62</v>
      </c>
      <c r="FC56" s="208">
        <f t="shared" si="197"/>
        <v>1036434.3439999999</v>
      </c>
      <c r="FD56" s="203"/>
      <c r="FE56" s="205">
        <v>161838.68</v>
      </c>
      <c r="FF56" s="204"/>
      <c r="FG56" s="208">
        <f t="shared" si="198"/>
        <v>161838.68</v>
      </c>
      <c r="FH56" s="203">
        <v>133961.18</v>
      </c>
      <c r="FI56" s="205"/>
      <c r="FJ56" s="205"/>
      <c r="FK56" s="205"/>
      <c r="FL56" s="204"/>
      <c r="FM56" s="208">
        <f t="shared" si="199"/>
        <v>133961.18</v>
      </c>
      <c r="FN56" s="203"/>
      <c r="FO56" s="205"/>
      <c r="FP56" s="205">
        <v>115822.22</v>
      </c>
      <c r="FQ56" s="205"/>
      <c r="FR56" s="208">
        <f t="shared" si="165"/>
        <v>115822.22</v>
      </c>
      <c r="FS56" s="203"/>
      <c r="FT56" s="205"/>
      <c r="FU56" s="205"/>
      <c r="FV56" s="205"/>
      <c r="FW56" s="204">
        <v>111436.16</v>
      </c>
      <c r="FX56" s="208">
        <f t="shared" si="166"/>
        <v>111436.16</v>
      </c>
      <c r="FY56" s="203"/>
      <c r="FZ56" s="205">
        <v>146227.28</v>
      </c>
      <c r="GA56" s="205"/>
      <c r="GB56" s="205"/>
      <c r="GC56" s="204">
        <f>112030.88+151579.76+205603.7+115078.82+149572.58</f>
        <v>733865.74</v>
      </c>
      <c r="GD56" s="208">
        <f t="shared" si="167"/>
        <v>880093.02</v>
      </c>
      <c r="GE56" s="208">
        <f t="shared" si="168"/>
        <v>1403151.26</v>
      </c>
      <c r="GF56" s="203"/>
      <c r="GG56" s="205"/>
      <c r="GH56" s="205">
        <f>145929.92+110990.12</f>
        <v>256920.04</v>
      </c>
      <c r="GI56" s="205"/>
      <c r="GJ56" s="205"/>
      <c r="GK56" s="208">
        <f t="shared" si="169"/>
        <v>256920.04</v>
      </c>
      <c r="GL56" s="203"/>
      <c r="GM56" s="205"/>
      <c r="GN56" s="205">
        <f>141395.18+103927.82</f>
        <v>245323</v>
      </c>
      <c r="GO56" s="204">
        <f>140505.46+125709.44</f>
        <v>266214.90000000002</v>
      </c>
      <c r="GP56" s="208">
        <f t="shared" si="170"/>
        <v>511537.9</v>
      </c>
      <c r="GQ56" s="203"/>
      <c r="GR56" s="205"/>
      <c r="GS56" s="205"/>
      <c r="GT56" s="205"/>
      <c r="GU56" s="204"/>
      <c r="GV56" s="208">
        <f t="shared" si="200"/>
        <v>0</v>
      </c>
      <c r="GW56" s="203"/>
      <c r="GX56" s="205">
        <v>140505.46</v>
      </c>
      <c r="GY56" s="205"/>
      <c r="GZ56" s="205"/>
      <c r="HA56" s="205"/>
      <c r="HB56" s="204"/>
      <c r="HC56" s="208">
        <f t="shared" si="201"/>
        <v>140505.46</v>
      </c>
      <c r="HD56" s="208">
        <f t="shared" si="202"/>
        <v>908963.4</v>
      </c>
      <c r="HE56" s="203"/>
      <c r="HF56" s="205"/>
      <c r="HG56" s="205"/>
      <c r="HH56" s="205">
        <v>135451.28400000001</v>
      </c>
      <c r="HI56" s="208">
        <f t="shared" si="203"/>
        <v>135451.28400000001</v>
      </c>
      <c r="HJ56" s="203"/>
      <c r="HK56" s="205">
        <v>133285.74799999999</v>
      </c>
      <c r="HL56" s="205"/>
      <c r="HM56" s="205"/>
      <c r="HN56" s="204">
        <f>125677.58+132443.7</f>
        <v>258121.28000000003</v>
      </c>
      <c r="HO56" s="245">
        <f t="shared" si="204"/>
        <v>391407.02800000005</v>
      </c>
      <c r="HP56" s="203"/>
      <c r="HQ56" s="205"/>
      <c r="HR56" s="205">
        <f>139921.068+139572.188+138524.948+78429.2</f>
        <v>496447.40400000004</v>
      </c>
      <c r="HS56" s="205"/>
      <c r="HT56" s="204"/>
      <c r="HU56" s="208">
        <f t="shared" si="205"/>
        <v>496447.40400000004</v>
      </c>
      <c r="HV56" s="203"/>
      <c r="HW56" s="205"/>
      <c r="HX56" s="205"/>
      <c r="HY56" s="208">
        <f t="shared" si="171"/>
        <v>0</v>
      </c>
      <c r="HZ56" s="203"/>
      <c r="IA56" s="205"/>
      <c r="IB56" s="204"/>
      <c r="IC56" s="208">
        <f t="shared" si="206"/>
        <v>0</v>
      </c>
      <c r="ID56" s="208">
        <f t="shared" si="172"/>
        <v>1023305.716</v>
      </c>
      <c r="IE56" s="203"/>
      <c r="IF56" s="204"/>
      <c r="IG56" s="208">
        <f t="shared" si="207"/>
        <v>0</v>
      </c>
      <c r="IH56" s="203"/>
      <c r="II56" s="205">
        <f>139293.364+136358.412</f>
        <v>275651.77600000001</v>
      </c>
      <c r="IJ56" s="205"/>
      <c r="IK56" s="205"/>
      <c r="IL56" s="204"/>
      <c r="IM56" s="208">
        <f t="shared" si="208"/>
        <v>275651.77600000001</v>
      </c>
      <c r="IN56" s="203"/>
      <c r="IO56" s="205"/>
      <c r="IP56" s="204"/>
      <c r="IQ56" s="208">
        <f t="shared" si="209"/>
        <v>0</v>
      </c>
      <c r="IR56" s="203"/>
      <c r="IS56" s="205"/>
      <c r="IT56" s="205"/>
      <c r="IU56" s="205">
        <f>142576.596+135870.42</f>
        <v>278447.016</v>
      </c>
      <c r="IV56" s="204"/>
      <c r="IW56" s="208">
        <f t="shared" si="210"/>
        <v>278447.016</v>
      </c>
      <c r="IX56" s="203"/>
      <c r="IY56" s="205"/>
      <c r="IZ56" s="205"/>
      <c r="JA56" s="205"/>
      <c r="JB56" s="204"/>
      <c r="JC56" s="208">
        <f t="shared" si="211"/>
        <v>0</v>
      </c>
      <c r="JD56" s="208">
        <f t="shared" si="212"/>
        <v>554098.79200000002</v>
      </c>
      <c r="JE56" s="203">
        <f>134124.02+113440.98</f>
        <v>247565</v>
      </c>
      <c r="JF56" s="205"/>
      <c r="JG56" s="205"/>
      <c r="JH56" s="205"/>
      <c r="JI56" s="204"/>
      <c r="JJ56" s="208">
        <f t="shared" si="213"/>
        <v>247565</v>
      </c>
      <c r="JK56" s="203"/>
      <c r="JL56" s="205"/>
      <c r="JM56" s="205"/>
      <c r="JN56" s="205"/>
      <c r="JO56" s="204"/>
      <c r="JP56" s="208">
        <f t="shared" si="214"/>
        <v>0</v>
      </c>
      <c r="JQ56" s="203"/>
      <c r="JR56" s="205"/>
      <c r="JS56" s="205"/>
      <c r="JT56" s="205"/>
      <c r="JU56" s="204"/>
      <c r="JV56" s="208">
        <f t="shared" si="215"/>
        <v>0</v>
      </c>
      <c r="JW56" s="203"/>
      <c r="JX56" s="205"/>
      <c r="JY56" s="205"/>
      <c r="JZ56" s="205"/>
      <c r="KA56" s="205"/>
      <c r="KB56" s="204"/>
      <c r="KC56" s="208">
        <f t="shared" si="216"/>
        <v>0</v>
      </c>
      <c r="KD56" s="208">
        <v>750000</v>
      </c>
      <c r="KE56" s="203"/>
      <c r="KF56" s="205"/>
      <c r="KG56" s="205"/>
      <c r="KH56" s="205"/>
      <c r="KI56" s="204"/>
      <c r="KJ56" s="208">
        <f t="shared" si="218"/>
        <v>0</v>
      </c>
      <c r="KK56" s="203"/>
      <c r="KL56" s="205"/>
      <c r="KM56" s="205"/>
      <c r="KN56" s="205"/>
      <c r="KO56" s="204"/>
      <c r="KP56" s="208">
        <f t="shared" si="219"/>
        <v>0</v>
      </c>
      <c r="KQ56" s="203"/>
      <c r="KR56" s="205"/>
      <c r="KS56" s="205"/>
      <c r="KT56" s="205"/>
      <c r="KU56" s="204"/>
      <c r="KV56" s="208">
        <f t="shared" si="220"/>
        <v>0</v>
      </c>
      <c r="KW56" s="203"/>
      <c r="KX56" s="205"/>
      <c r="KY56" s="205"/>
      <c r="KZ56" s="205"/>
      <c r="LA56" s="204"/>
      <c r="LB56" s="208">
        <f t="shared" si="221"/>
        <v>0</v>
      </c>
      <c r="LC56" s="202"/>
      <c r="LD56" s="244"/>
      <c r="LE56" s="245"/>
      <c r="LF56" s="208">
        <f t="shared" si="222"/>
        <v>0</v>
      </c>
      <c r="LG56" s="208">
        <f t="shared" si="223"/>
        <v>0</v>
      </c>
    </row>
    <row r="57" spans="2:321" s="91" customFormat="1">
      <c r="B57" s="167" t="s">
        <v>78</v>
      </c>
      <c r="C57" s="167"/>
      <c r="D57" s="202">
        <f t="shared" si="163"/>
        <v>0</v>
      </c>
      <c r="E57" s="167"/>
      <c r="F57" s="177"/>
      <c r="G57" s="177"/>
      <c r="H57" s="177"/>
      <c r="I57" s="178"/>
      <c r="J57" s="202">
        <f t="shared" si="224"/>
        <v>0</v>
      </c>
      <c r="K57" s="167"/>
      <c r="L57" s="177"/>
      <c r="M57" s="177"/>
      <c r="N57" s="178"/>
      <c r="O57" s="202">
        <f t="shared" si="225"/>
        <v>0</v>
      </c>
      <c r="P57" s="167"/>
      <c r="Q57" s="177"/>
      <c r="R57" s="177"/>
      <c r="S57" s="177"/>
      <c r="T57" s="178"/>
      <c r="U57" s="202">
        <f t="shared" si="173"/>
        <v>0</v>
      </c>
      <c r="V57" s="167"/>
      <c r="W57" s="177"/>
      <c r="X57" s="177"/>
      <c r="Y57" s="177"/>
      <c r="Z57" s="177"/>
      <c r="AA57" s="208">
        <f t="shared" si="174"/>
        <v>0</v>
      </c>
      <c r="AB57" s="208">
        <f t="shared" si="226"/>
        <v>0</v>
      </c>
      <c r="AC57" s="203"/>
      <c r="AD57" s="205"/>
      <c r="AE57" s="205"/>
      <c r="AF57" s="205"/>
      <c r="AG57" s="204"/>
      <c r="AH57" s="208">
        <f t="shared" si="227"/>
        <v>0</v>
      </c>
      <c r="AI57" s="203"/>
      <c r="AJ57" s="205"/>
      <c r="AK57" s="205"/>
      <c r="AL57" s="205"/>
      <c r="AM57" s="204"/>
      <c r="AN57" s="208">
        <f t="shared" si="175"/>
        <v>0</v>
      </c>
      <c r="AO57" s="203"/>
      <c r="AP57" s="205"/>
      <c r="AQ57" s="205"/>
      <c r="AR57" s="205"/>
      <c r="AS57" s="204"/>
      <c r="AT57" s="208">
        <f t="shared" si="176"/>
        <v>0</v>
      </c>
      <c r="AU57" s="203"/>
      <c r="AV57" s="205"/>
      <c r="AW57" s="205"/>
      <c r="AX57" s="205"/>
      <c r="AY57" s="204"/>
      <c r="AZ57" s="208">
        <f t="shared" si="177"/>
        <v>0</v>
      </c>
      <c r="BA57" s="208">
        <f t="shared" si="178"/>
        <v>0</v>
      </c>
      <c r="BB57" s="203"/>
      <c r="BC57" s="205"/>
      <c r="BD57" s="205"/>
      <c r="BE57" s="205"/>
      <c r="BF57" s="204"/>
      <c r="BG57" s="208">
        <f t="shared" si="179"/>
        <v>0</v>
      </c>
      <c r="BH57" s="203"/>
      <c r="BI57" s="205"/>
      <c r="BJ57" s="205"/>
      <c r="BK57" s="205"/>
      <c r="BL57" s="204"/>
      <c r="BM57" s="208">
        <f t="shared" si="164"/>
        <v>0</v>
      </c>
      <c r="BN57" s="203"/>
      <c r="BO57" s="205"/>
      <c r="BP57" s="205"/>
      <c r="BQ57" s="204"/>
      <c r="BR57" s="208">
        <f t="shared" si="180"/>
        <v>0</v>
      </c>
      <c r="BS57" s="203"/>
      <c r="BT57" s="205"/>
      <c r="BU57" s="205"/>
      <c r="BV57" s="205"/>
      <c r="BW57" s="204"/>
      <c r="BX57" s="208">
        <f t="shared" si="181"/>
        <v>0</v>
      </c>
      <c r="BY57" s="203"/>
      <c r="BZ57" s="205"/>
      <c r="CA57" s="208">
        <f t="shared" si="182"/>
        <v>0</v>
      </c>
      <c r="CB57" s="208">
        <f t="shared" si="183"/>
        <v>0</v>
      </c>
      <c r="CC57" s="203"/>
      <c r="CD57" s="205"/>
      <c r="CE57" s="205"/>
      <c r="CF57" s="208">
        <f t="shared" si="228"/>
        <v>0</v>
      </c>
      <c r="CG57" s="203"/>
      <c r="CH57" s="205"/>
      <c r="CI57" s="205"/>
      <c r="CJ57" s="204"/>
      <c r="CK57" s="208">
        <f t="shared" si="184"/>
        <v>0</v>
      </c>
      <c r="CL57" s="203"/>
      <c r="CM57" s="205"/>
      <c r="CN57" s="205"/>
      <c r="CO57" s="205"/>
      <c r="CP57" s="204"/>
      <c r="CQ57" s="208">
        <f t="shared" si="185"/>
        <v>0</v>
      </c>
      <c r="CR57" s="203"/>
      <c r="CS57" s="205"/>
      <c r="CT57" s="205"/>
      <c r="CU57" s="205"/>
      <c r="CV57" s="204"/>
      <c r="CW57" s="208">
        <f t="shared" si="186"/>
        <v>0</v>
      </c>
      <c r="CX57" s="203"/>
      <c r="CY57" s="205"/>
      <c r="CZ57" s="205"/>
      <c r="DA57" s="204"/>
      <c r="DB57" s="208">
        <f t="shared" si="187"/>
        <v>0</v>
      </c>
      <c r="DC57" s="208">
        <f t="shared" si="229"/>
        <v>0</v>
      </c>
      <c r="DD57" s="203"/>
      <c r="DE57" s="205"/>
      <c r="DF57" s="205"/>
      <c r="DG57" s="205"/>
      <c r="DH57" s="205"/>
      <c r="DI57" s="208">
        <f t="shared" si="188"/>
        <v>0</v>
      </c>
      <c r="DJ57" s="203"/>
      <c r="DK57" s="205"/>
      <c r="DL57" s="205"/>
      <c r="DM57" s="205"/>
      <c r="DN57" s="204"/>
      <c r="DO57" s="208">
        <f t="shared" si="189"/>
        <v>0</v>
      </c>
      <c r="DP57" s="203"/>
      <c r="DQ57" s="205"/>
      <c r="DR57" s="205"/>
      <c r="DS57" s="205"/>
      <c r="DT57" s="204"/>
      <c r="DU57" s="245">
        <f t="shared" si="190"/>
        <v>0</v>
      </c>
      <c r="DV57" s="203"/>
      <c r="DW57" s="205"/>
      <c r="DX57" s="205"/>
      <c r="DY57" s="205"/>
      <c r="DZ57" s="204"/>
      <c r="EA57" s="208">
        <f t="shared" si="191"/>
        <v>0</v>
      </c>
      <c r="EB57" s="208">
        <f t="shared" si="192"/>
        <v>0</v>
      </c>
      <c r="EC57" s="203"/>
      <c r="ED57" s="205"/>
      <c r="EE57" s="205"/>
      <c r="EF57" s="205"/>
      <c r="EG57" s="204"/>
      <c r="EH57" s="208">
        <f t="shared" si="193"/>
        <v>0</v>
      </c>
      <c r="EI57" s="203"/>
      <c r="EJ57" s="205"/>
      <c r="EK57" s="205"/>
      <c r="EL57" s="205"/>
      <c r="EM57" s="204"/>
      <c r="EN57" s="208">
        <f t="shared" si="194"/>
        <v>0</v>
      </c>
      <c r="EO57" s="203"/>
      <c r="EP57" s="205"/>
      <c r="EQ57" s="205"/>
      <c r="ER57" s="205"/>
      <c r="ES57" s="204"/>
      <c r="ET57" s="308">
        <f t="shared" si="195"/>
        <v>0</v>
      </c>
      <c r="EU57" s="203"/>
      <c r="EV57" s="205"/>
      <c r="EW57" s="205"/>
      <c r="EX57" s="205"/>
      <c r="EY57" s="205"/>
      <c r="EZ57" s="205"/>
      <c r="FA57" s="204"/>
      <c r="FB57" s="208">
        <f t="shared" si="196"/>
        <v>0</v>
      </c>
      <c r="FC57" s="208">
        <f t="shared" si="197"/>
        <v>0</v>
      </c>
      <c r="FD57" s="203"/>
      <c r="FE57" s="205"/>
      <c r="FF57" s="204"/>
      <c r="FG57" s="208">
        <f t="shared" si="198"/>
        <v>0</v>
      </c>
      <c r="FH57" s="203"/>
      <c r="FI57" s="205"/>
      <c r="FJ57" s="205"/>
      <c r="FK57" s="205"/>
      <c r="FL57" s="204"/>
      <c r="FM57" s="208">
        <f t="shared" si="199"/>
        <v>0</v>
      </c>
      <c r="FN57" s="203"/>
      <c r="FO57" s="205"/>
      <c r="FP57" s="205"/>
      <c r="FQ57" s="205"/>
      <c r="FR57" s="208">
        <f t="shared" si="165"/>
        <v>0</v>
      </c>
      <c r="FS57" s="203"/>
      <c r="FT57" s="205"/>
      <c r="FU57" s="205"/>
      <c r="FV57" s="205"/>
      <c r="FW57" s="204"/>
      <c r="FX57" s="208">
        <f t="shared" si="166"/>
        <v>0</v>
      </c>
      <c r="FY57" s="203"/>
      <c r="FZ57" s="205"/>
      <c r="GA57" s="205"/>
      <c r="GB57" s="205"/>
      <c r="GC57" s="204"/>
      <c r="GD57" s="208">
        <f t="shared" si="167"/>
        <v>0</v>
      </c>
      <c r="GE57" s="208">
        <f t="shared" si="168"/>
        <v>0</v>
      </c>
      <c r="GF57" s="203"/>
      <c r="GG57" s="205"/>
      <c r="GH57" s="205"/>
      <c r="GI57" s="205"/>
      <c r="GJ57" s="205"/>
      <c r="GK57" s="208">
        <f t="shared" si="169"/>
        <v>0</v>
      </c>
      <c r="GL57" s="203"/>
      <c r="GM57" s="205"/>
      <c r="GN57" s="205"/>
      <c r="GO57" s="204"/>
      <c r="GP57" s="208">
        <f t="shared" si="170"/>
        <v>0</v>
      </c>
      <c r="GQ57" s="203"/>
      <c r="GR57" s="205"/>
      <c r="GS57" s="205"/>
      <c r="GT57" s="205"/>
      <c r="GU57" s="204"/>
      <c r="GV57" s="208">
        <f t="shared" si="200"/>
        <v>0</v>
      </c>
      <c r="GW57" s="203"/>
      <c r="GX57" s="205"/>
      <c r="GY57" s="205"/>
      <c r="GZ57" s="205"/>
      <c r="HA57" s="205"/>
      <c r="HB57" s="204"/>
      <c r="HC57" s="208">
        <f t="shared" si="201"/>
        <v>0</v>
      </c>
      <c r="HD57" s="208">
        <f t="shared" si="202"/>
        <v>0</v>
      </c>
      <c r="HE57" s="203"/>
      <c r="HF57" s="205"/>
      <c r="HG57" s="205"/>
      <c r="HH57" s="205"/>
      <c r="HI57" s="208">
        <f t="shared" si="203"/>
        <v>0</v>
      </c>
      <c r="HJ57" s="203"/>
      <c r="HK57" s="205"/>
      <c r="HL57" s="205"/>
      <c r="HM57" s="205"/>
      <c r="HN57" s="204"/>
      <c r="HO57" s="245">
        <f t="shared" si="204"/>
        <v>0</v>
      </c>
      <c r="HP57" s="203"/>
      <c r="HQ57" s="205"/>
      <c r="HR57" s="205"/>
      <c r="HS57" s="205"/>
      <c r="HT57" s="204"/>
      <c r="HU57" s="208">
        <f t="shared" si="205"/>
        <v>0</v>
      </c>
      <c r="HV57" s="203"/>
      <c r="HW57" s="205"/>
      <c r="HX57" s="205"/>
      <c r="HY57" s="208">
        <f t="shared" si="171"/>
        <v>0</v>
      </c>
      <c r="HZ57" s="203"/>
      <c r="IA57" s="205"/>
      <c r="IB57" s="204"/>
      <c r="IC57" s="208">
        <f t="shared" si="206"/>
        <v>0</v>
      </c>
      <c r="ID57" s="208">
        <f t="shared" si="172"/>
        <v>0</v>
      </c>
      <c r="IE57" s="203"/>
      <c r="IF57" s="204"/>
      <c r="IG57" s="208">
        <f t="shared" si="207"/>
        <v>0</v>
      </c>
      <c r="IH57" s="203"/>
      <c r="II57" s="205"/>
      <c r="IJ57" s="205"/>
      <c r="IK57" s="205"/>
      <c r="IL57" s="204"/>
      <c r="IM57" s="208">
        <f t="shared" si="208"/>
        <v>0</v>
      </c>
      <c r="IN57" s="203"/>
      <c r="IO57" s="205"/>
      <c r="IP57" s="204"/>
      <c r="IQ57" s="208">
        <f t="shared" si="209"/>
        <v>0</v>
      </c>
      <c r="IR57" s="203"/>
      <c r="IS57" s="205"/>
      <c r="IT57" s="205"/>
      <c r="IU57" s="205"/>
      <c r="IV57" s="204"/>
      <c r="IW57" s="208">
        <f t="shared" si="210"/>
        <v>0</v>
      </c>
      <c r="IX57" s="203"/>
      <c r="IY57" s="205"/>
      <c r="IZ57" s="205"/>
      <c r="JA57" s="205"/>
      <c r="JB57" s="204"/>
      <c r="JC57" s="208">
        <f t="shared" si="211"/>
        <v>0</v>
      </c>
      <c r="JD57" s="208">
        <f t="shared" si="212"/>
        <v>0</v>
      </c>
      <c r="JE57" s="203"/>
      <c r="JF57" s="205"/>
      <c r="JG57" s="205"/>
      <c r="JH57" s="205"/>
      <c r="JI57" s="204"/>
      <c r="JJ57" s="208">
        <f t="shared" si="213"/>
        <v>0</v>
      </c>
      <c r="JK57" s="203"/>
      <c r="JL57" s="205"/>
      <c r="JM57" s="205"/>
      <c r="JN57" s="205"/>
      <c r="JO57" s="204"/>
      <c r="JP57" s="208">
        <f t="shared" si="214"/>
        <v>0</v>
      </c>
      <c r="JQ57" s="203"/>
      <c r="JR57" s="205"/>
      <c r="JS57" s="205"/>
      <c r="JT57" s="205"/>
      <c r="JU57" s="204"/>
      <c r="JV57" s="208">
        <f t="shared" si="215"/>
        <v>0</v>
      </c>
      <c r="JW57" s="203"/>
      <c r="JX57" s="205"/>
      <c r="JY57" s="205"/>
      <c r="JZ57" s="205"/>
      <c r="KA57" s="205"/>
      <c r="KB57" s="204"/>
      <c r="KC57" s="208">
        <f t="shared" si="216"/>
        <v>0</v>
      </c>
      <c r="KD57" s="208">
        <f t="shared" si="217"/>
        <v>0</v>
      </c>
      <c r="KE57" s="203"/>
      <c r="KF57" s="205"/>
      <c r="KG57" s="205"/>
      <c r="KH57" s="205"/>
      <c r="KI57" s="204"/>
      <c r="KJ57" s="208">
        <f t="shared" si="218"/>
        <v>0</v>
      </c>
      <c r="KK57" s="203"/>
      <c r="KL57" s="205"/>
      <c r="KM57" s="205"/>
      <c r="KN57" s="205"/>
      <c r="KO57" s="204"/>
      <c r="KP57" s="208">
        <f t="shared" si="219"/>
        <v>0</v>
      </c>
      <c r="KQ57" s="203"/>
      <c r="KR57" s="205"/>
      <c r="KS57" s="205"/>
      <c r="KT57" s="205"/>
      <c r="KU57" s="204"/>
      <c r="KV57" s="208">
        <f t="shared" si="220"/>
        <v>0</v>
      </c>
      <c r="KW57" s="203"/>
      <c r="KX57" s="205"/>
      <c r="KY57" s="205"/>
      <c r="KZ57" s="205"/>
      <c r="LA57" s="204"/>
      <c r="LB57" s="208">
        <f t="shared" si="221"/>
        <v>0</v>
      </c>
      <c r="LC57" s="202"/>
      <c r="LD57" s="244"/>
      <c r="LE57" s="245"/>
      <c r="LF57" s="208">
        <f t="shared" si="222"/>
        <v>0</v>
      </c>
      <c r="LG57" s="208">
        <f t="shared" si="223"/>
        <v>0</v>
      </c>
    </row>
    <row r="58" spans="2:321" s="91" customFormat="1">
      <c r="B58" s="203" t="s">
        <v>404</v>
      </c>
      <c r="C58" s="167"/>
      <c r="D58" s="202">
        <f t="shared" si="163"/>
        <v>0</v>
      </c>
      <c r="E58" s="167">
        <v>489.428</v>
      </c>
      <c r="F58" s="177"/>
      <c r="G58" s="177"/>
      <c r="H58" s="177"/>
      <c r="I58" s="178">
        <v>4668.6970000000001</v>
      </c>
      <c r="J58" s="202">
        <f t="shared" si="224"/>
        <v>5158.125</v>
      </c>
      <c r="K58" s="167">
        <f>7811.858+7917.214+3001.029</f>
        <v>18730.100999999999</v>
      </c>
      <c r="L58" s="177"/>
      <c r="M58" s="177"/>
      <c r="N58" s="178"/>
      <c r="O58" s="202">
        <f t="shared" si="225"/>
        <v>18730.100999999999</v>
      </c>
      <c r="P58" s="167">
        <v>7811.8580000000002</v>
      </c>
      <c r="Q58" s="177">
        <v>13087.875</v>
      </c>
      <c r="R58" s="177"/>
      <c r="S58" s="177">
        <f>570.94+7879.508</f>
        <v>8450.4480000000003</v>
      </c>
      <c r="T58" s="178"/>
      <c r="U58" s="202">
        <f t="shared" si="173"/>
        <v>29350.181</v>
      </c>
      <c r="V58" s="167"/>
      <c r="W58" s="177"/>
      <c r="X58" s="177"/>
      <c r="Y58" s="177">
        <v>7661.35</v>
      </c>
      <c r="Z58" s="177"/>
      <c r="AA58" s="208">
        <f t="shared" si="174"/>
        <v>7661.35</v>
      </c>
      <c r="AB58" s="208">
        <f t="shared" si="226"/>
        <v>60899.756999999998</v>
      </c>
      <c r="AC58" s="203">
        <f>715.58+524.792</f>
        <v>1240.3720000000001</v>
      </c>
      <c r="AD58" s="205"/>
      <c r="AE58" s="205"/>
      <c r="AF58" s="205"/>
      <c r="AG58" s="204">
        <v>6737.8320000000003</v>
      </c>
      <c r="AH58" s="208">
        <f t="shared" si="227"/>
        <v>7978.2040000000006</v>
      </c>
      <c r="AI58" s="203"/>
      <c r="AJ58" s="205">
        <v>12461.687</v>
      </c>
      <c r="AK58" s="205"/>
      <c r="AL58" s="205">
        <f>7382.91+478.79</f>
        <v>7861.7</v>
      </c>
      <c r="AM58" s="204"/>
      <c r="AN58" s="208">
        <f t="shared" si="175"/>
        <v>20323.386999999999</v>
      </c>
      <c r="AO58" s="203">
        <f>17972.385+4587.272</f>
        <v>22559.656999999999</v>
      </c>
      <c r="AP58" s="205"/>
      <c r="AQ58" s="205"/>
      <c r="AR58" s="205"/>
      <c r="AS58" s="204"/>
      <c r="AT58" s="208">
        <f t="shared" si="176"/>
        <v>22559.656999999999</v>
      </c>
      <c r="AU58" s="203">
        <f>81.92+8015.044+244.76</f>
        <v>8341.7240000000002</v>
      </c>
      <c r="AV58" s="205"/>
      <c r="AW58" s="205">
        <v>472.4</v>
      </c>
      <c r="AX58" s="205"/>
      <c r="AY58" s="204">
        <v>672.5</v>
      </c>
      <c r="AZ58" s="208">
        <f t="shared" si="177"/>
        <v>9486.6239999999998</v>
      </c>
      <c r="BA58" s="208">
        <f t="shared" si="178"/>
        <v>60347.871999999996</v>
      </c>
      <c r="BB58" s="203">
        <f>7646.299+1974.777</f>
        <v>9621.0760000000009</v>
      </c>
      <c r="BC58" s="205">
        <v>9816.9979999999996</v>
      </c>
      <c r="BD58" s="205"/>
      <c r="BE58" s="205"/>
      <c r="BF58" s="204">
        <v>2140.873</v>
      </c>
      <c r="BG58" s="208">
        <f t="shared" si="179"/>
        <v>21578.947</v>
      </c>
      <c r="BH58" s="203"/>
      <c r="BI58" s="205"/>
      <c r="BJ58" s="205"/>
      <c r="BK58" s="205"/>
      <c r="BL58" s="204"/>
      <c r="BM58" s="208">
        <f t="shared" si="164"/>
        <v>0</v>
      </c>
      <c r="BN58" s="203"/>
      <c r="BO58" s="205"/>
      <c r="BP58" s="205"/>
      <c r="BQ58" s="204">
        <v>7548.4690000000001</v>
      </c>
      <c r="BR58" s="208">
        <f t="shared" si="180"/>
        <v>7548.4690000000001</v>
      </c>
      <c r="BS58" s="203"/>
      <c r="BT58" s="205"/>
      <c r="BU58" s="205"/>
      <c r="BV58" s="205"/>
      <c r="BW58" s="204">
        <v>435</v>
      </c>
      <c r="BX58" s="208">
        <f t="shared" si="181"/>
        <v>435</v>
      </c>
      <c r="BY58" s="203">
        <v>7480.741</v>
      </c>
      <c r="BZ58" s="205"/>
      <c r="CA58" s="208">
        <f t="shared" si="182"/>
        <v>7480.741</v>
      </c>
      <c r="CB58" s="208">
        <f t="shared" si="183"/>
        <v>37043.156999999999</v>
      </c>
      <c r="CC58" s="203"/>
      <c r="CD58" s="205"/>
      <c r="CE58" s="205"/>
      <c r="CF58" s="208">
        <f t="shared" si="228"/>
        <v>0</v>
      </c>
      <c r="CG58" s="203">
        <f>7676.401+4031.525</f>
        <v>11707.925999999999</v>
      </c>
      <c r="CH58" s="205">
        <f>4555.996+363.48</f>
        <v>4919.4760000000006</v>
      </c>
      <c r="CI58" s="205"/>
      <c r="CJ58" s="204"/>
      <c r="CK58" s="208">
        <f t="shared" si="184"/>
        <v>16627.402000000002</v>
      </c>
      <c r="CL58" s="203">
        <v>7563.52</v>
      </c>
      <c r="CM58" s="205"/>
      <c r="CN58" s="205"/>
      <c r="CO58" s="205"/>
      <c r="CP58" s="204">
        <f>763.252+3208.61</f>
        <v>3971.8620000000001</v>
      </c>
      <c r="CQ58" s="208">
        <f t="shared" si="185"/>
        <v>11535.382000000001</v>
      </c>
      <c r="CR58" s="203">
        <f>6939.895</f>
        <v>6939.8950000000004</v>
      </c>
      <c r="CS58" s="205"/>
      <c r="CT58" s="205"/>
      <c r="CU58" s="205"/>
      <c r="CV58" s="204"/>
      <c r="CW58" s="208">
        <f t="shared" si="186"/>
        <v>6939.8950000000004</v>
      </c>
      <c r="CX58" s="203"/>
      <c r="CY58" s="205"/>
      <c r="CZ58" s="205"/>
      <c r="DA58" s="204"/>
      <c r="DB58" s="208">
        <f t="shared" si="187"/>
        <v>0</v>
      </c>
      <c r="DC58" s="208">
        <f t="shared" si="229"/>
        <v>35102.679000000004</v>
      </c>
      <c r="DD58" s="203">
        <v>8316.06</v>
      </c>
      <c r="DE58" s="205"/>
      <c r="DF58" s="205"/>
      <c r="DG58" s="205">
        <v>2466.6759999999999</v>
      </c>
      <c r="DH58" s="205"/>
      <c r="DI58" s="208">
        <f t="shared" si="188"/>
        <v>10782.735999999999</v>
      </c>
      <c r="DJ58" s="203">
        <v>3587.7579999999998</v>
      </c>
      <c r="DK58" s="205"/>
      <c r="DL58" s="205"/>
      <c r="DM58" s="205"/>
      <c r="DN58" s="204"/>
      <c r="DO58" s="208">
        <f t="shared" si="189"/>
        <v>3587.7579999999998</v>
      </c>
      <c r="DP58" s="203">
        <v>7796.8069999999998</v>
      </c>
      <c r="DQ58" s="205"/>
      <c r="DR58" s="205"/>
      <c r="DS58" s="205"/>
      <c r="DT58" s="204"/>
      <c r="DU58" s="245">
        <f t="shared" si="190"/>
        <v>7796.8069999999998</v>
      </c>
      <c r="DV58" s="203">
        <v>6392.04</v>
      </c>
      <c r="DW58" s="205">
        <v>4908.7169999999996</v>
      </c>
      <c r="DX58" s="205"/>
      <c r="DY58" s="205"/>
      <c r="DZ58" s="204"/>
      <c r="EA58" s="208">
        <f t="shared" si="191"/>
        <v>11300.757</v>
      </c>
      <c r="EB58" s="208">
        <f t="shared" si="192"/>
        <v>33468.057999999997</v>
      </c>
      <c r="EC58" s="203"/>
      <c r="ED58" s="205"/>
      <c r="EE58" s="205"/>
      <c r="EF58" s="205">
        <v>7518.3680000000004</v>
      </c>
      <c r="EG58" s="204"/>
      <c r="EH58" s="208">
        <f t="shared" si="193"/>
        <v>7518.3680000000004</v>
      </c>
      <c r="EI58" s="203"/>
      <c r="EJ58" s="205"/>
      <c r="EK58" s="205"/>
      <c r="EL58" s="205"/>
      <c r="EM58" s="204"/>
      <c r="EN58" s="208">
        <f t="shared" si="194"/>
        <v>0</v>
      </c>
      <c r="EO58" s="203"/>
      <c r="EP58" s="205"/>
      <c r="EQ58" s="205"/>
      <c r="ER58" s="205"/>
      <c r="ES58" s="204"/>
      <c r="ET58" s="308">
        <f t="shared" si="195"/>
        <v>0</v>
      </c>
      <c r="EU58" s="203">
        <v>2206.2379999999998</v>
      </c>
      <c r="EV58" s="205">
        <v>7601.1469999999999</v>
      </c>
      <c r="EW58" s="205"/>
      <c r="EX58" s="205"/>
      <c r="EY58" s="205">
        <v>7924.7389999999996</v>
      </c>
      <c r="EZ58" s="205"/>
      <c r="FA58" s="204"/>
      <c r="FB58" s="208">
        <f t="shared" si="196"/>
        <v>17732.124</v>
      </c>
      <c r="FC58" s="208">
        <f t="shared" si="197"/>
        <v>25250.491999999998</v>
      </c>
      <c r="FD58" s="203"/>
      <c r="FE58" s="205"/>
      <c r="FF58" s="204">
        <v>620.39700000000005</v>
      </c>
      <c r="FG58" s="208">
        <f t="shared" si="198"/>
        <v>620.39700000000005</v>
      </c>
      <c r="FH58" s="203"/>
      <c r="FI58" s="205"/>
      <c r="FJ58" s="205"/>
      <c r="FK58" s="205"/>
      <c r="FL58" s="204">
        <v>12209.189</v>
      </c>
      <c r="FM58" s="208">
        <f t="shared" si="199"/>
        <v>12209.189</v>
      </c>
      <c r="FN58" s="203">
        <v>7789.2820000000002</v>
      </c>
      <c r="FO58" s="205">
        <v>1734.3430000000001</v>
      </c>
      <c r="FP58" s="205"/>
      <c r="FQ58" s="205"/>
      <c r="FR58" s="208">
        <f t="shared" si="165"/>
        <v>9523.625</v>
      </c>
      <c r="FS58" s="203">
        <f>2268.689+5903.293</f>
        <v>8171.982</v>
      </c>
      <c r="FT58" s="205"/>
      <c r="FU58" s="205"/>
      <c r="FV58" s="205"/>
      <c r="FW58" s="204"/>
      <c r="FX58" s="208">
        <f t="shared" si="166"/>
        <v>8171.982</v>
      </c>
      <c r="FY58" s="203"/>
      <c r="FZ58" s="205">
        <f>7744.13+326.18</f>
        <v>8070.31</v>
      </c>
      <c r="GA58" s="205"/>
      <c r="GB58" s="205"/>
      <c r="GC58" s="204"/>
      <c r="GD58" s="208">
        <f t="shared" si="167"/>
        <v>8070.31</v>
      </c>
      <c r="GE58" s="208">
        <f t="shared" si="168"/>
        <v>38595.503000000004</v>
      </c>
      <c r="GF58" s="203"/>
      <c r="GG58" s="205"/>
      <c r="GH58" s="205">
        <v>1480.509</v>
      </c>
      <c r="GI58" s="205"/>
      <c r="GJ58" s="205"/>
      <c r="GK58" s="208">
        <f t="shared" si="169"/>
        <v>1480.509</v>
      </c>
      <c r="GL58" s="203">
        <v>6833.29</v>
      </c>
      <c r="GM58" s="205"/>
      <c r="GN58" s="205"/>
      <c r="GO58" s="204"/>
      <c r="GP58" s="208">
        <f t="shared" si="170"/>
        <v>6833.29</v>
      </c>
      <c r="GQ58" s="203">
        <v>8203.1790000000001</v>
      </c>
      <c r="GR58" s="205"/>
      <c r="GS58" s="205"/>
      <c r="GT58" s="205"/>
      <c r="GU58" s="204">
        <v>4202.1809999999996</v>
      </c>
      <c r="GV58" s="208">
        <f t="shared" si="200"/>
        <v>12405.36</v>
      </c>
      <c r="GW58" s="203"/>
      <c r="GX58" s="205"/>
      <c r="GY58" s="205"/>
      <c r="GZ58" s="205"/>
      <c r="HA58" s="205"/>
      <c r="HB58" s="204">
        <f>477.22</f>
        <v>477.22</v>
      </c>
      <c r="HC58" s="208">
        <f t="shared" si="201"/>
        <v>477.22</v>
      </c>
      <c r="HD58" s="208">
        <f t="shared" si="202"/>
        <v>21196.379000000001</v>
      </c>
      <c r="HE58" s="203">
        <f>7616.198+8023.901</f>
        <v>15640.099</v>
      </c>
      <c r="HF58" s="205"/>
      <c r="HG58" s="205"/>
      <c r="HH58" s="205"/>
      <c r="HI58" s="208">
        <f t="shared" si="203"/>
        <v>15640.099</v>
      </c>
      <c r="HJ58" s="203">
        <f>7759.18</f>
        <v>7759.18</v>
      </c>
      <c r="HK58" s="205"/>
      <c r="HL58" s="205"/>
      <c r="HM58" s="205"/>
      <c r="HN58" s="204"/>
      <c r="HO58" s="245">
        <f t="shared" si="204"/>
        <v>7759.18</v>
      </c>
      <c r="HP58" s="203"/>
      <c r="HQ58" s="205"/>
      <c r="HR58" s="205"/>
      <c r="HS58" s="205">
        <v>7774.2309999999998</v>
      </c>
      <c r="HT58" s="204"/>
      <c r="HU58" s="208">
        <f t="shared" si="205"/>
        <v>7774.2309999999998</v>
      </c>
      <c r="HV58" s="203"/>
      <c r="HW58" s="205"/>
      <c r="HX58" s="205"/>
      <c r="HY58" s="208">
        <f t="shared" si="171"/>
        <v>0</v>
      </c>
      <c r="HZ58" s="203"/>
      <c r="IA58" s="205"/>
      <c r="IB58" s="204">
        <f>6619.34</f>
        <v>6619.34</v>
      </c>
      <c r="IC58" s="208">
        <f t="shared" si="206"/>
        <v>6619.34</v>
      </c>
      <c r="ID58" s="208">
        <f t="shared" si="172"/>
        <v>37792.85</v>
      </c>
      <c r="IE58" s="203">
        <f>7872.061+7578.571</f>
        <v>15450.632</v>
      </c>
      <c r="IF58" s="204">
        <v>5188.4269999999997</v>
      </c>
      <c r="IG58" s="208">
        <f t="shared" si="207"/>
        <v>20639.059000000001</v>
      </c>
      <c r="IH58" s="203">
        <v>5865.8069999999998</v>
      </c>
      <c r="II58" s="205">
        <f>544.97+14910.873</f>
        <v>15455.842999999999</v>
      </c>
      <c r="IJ58" s="205"/>
      <c r="IK58" s="205">
        <f>7826.909+7751.655+7698.977</f>
        <v>23277.540999999997</v>
      </c>
      <c r="IL58" s="204"/>
      <c r="IM58" s="208">
        <f t="shared" si="208"/>
        <v>44599.190999999992</v>
      </c>
      <c r="IN58" s="203"/>
      <c r="IO58" s="205"/>
      <c r="IP58" s="204"/>
      <c r="IQ58" s="208">
        <f t="shared" si="209"/>
        <v>0</v>
      </c>
      <c r="IR58" s="203"/>
      <c r="IS58" s="205"/>
      <c r="IT58" s="205"/>
      <c r="IU58" s="205"/>
      <c r="IV58" s="204"/>
      <c r="IW58" s="208">
        <f t="shared" si="210"/>
        <v>0</v>
      </c>
      <c r="IX58" s="203"/>
      <c r="IY58" s="205"/>
      <c r="IZ58" s="205"/>
      <c r="JA58" s="205"/>
      <c r="JB58" s="204"/>
      <c r="JC58" s="208">
        <f t="shared" si="211"/>
        <v>0</v>
      </c>
      <c r="JD58" s="208">
        <f t="shared" si="212"/>
        <v>65238.249999999993</v>
      </c>
      <c r="JE58" s="203"/>
      <c r="JF58" s="205">
        <f>7826.909+7819.384</f>
        <v>15646.293</v>
      </c>
      <c r="JG58" s="205"/>
      <c r="JH58" s="205">
        <f>7826.909+5335.209+437.533</f>
        <v>13599.650999999998</v>
      </c>
      <c r="JI58" s="204"/>
      <c r="JJ58" s="208">
        <f t="shared" si="213"/>
        <v>29245.943999999996</v>
      </c>
      <c r="JK58" s="203"/>
      <c r="JL58" s="205"/>
      <c r="JM58" s="205"/>
      <c r="JN58" s="205"/>
      <c r="JO58" s="204"/>
      <c r="JP58" s="208">
        <f t="shared" si="214"/>
        <v>0</v>
      </c>
      <c r="JQ58" s="203"/>
      <c r="JR58" s="205"/>
      <c r="JS58" s="205"/>
      <c r="JT58" s="205"/>
      <c r="JU58" s="204"/>
      <c r="JV58" s="208">
        <f t="shared" si="215"/>
        <v>0</v>
      </c>
      <c r="JW58" s="203"/>
      <c r="JX58" s="205"/>
      <c r="JY58" s="205"/>
      <c r="JZ58" s="205"/>
      <c r="KA58" s="205"/>
      <c r="KB58" s="204"/>
      <c r="KC58" s="208">
        <f t="shared" si="216"/>
        <v>0</v>
      </c>
      <c r="KD58" s="208">
        <f t="shared" si="217"/>
        <v>29245.943999999996</v>
      </c>
      <c r="KE58" s="203"/>
      <c r="KF58" s="205"/>
      <c r="KG58" s="205"/>
      <c r="KH58" s="205"/>
      <c r="KI58" s="204"/>
      <c r="KJ58" s="208">
        <f t="shared" si="218"/>
        <v>0</v>
      </c>
      <c r="KK58" s="203"/>
      <c r="KL58" s="205"/>
      <c r="KM58" s="205"/>
      <c r="KN58" s="205"/>
      <c r="KO58" s="204"/>
      <c r="KP58" s="208">
        <f t="shared" si="219"/>
        <v>0</v>
      </c>
      <c r="KQ58" s="203"/>
      <c r="KR58" s="205"/>
      <c r="KS58" s="205"/>
      <c r="KT58" s="205"/>
      <c r="KU58" s="204"/>
      <c r="KV58" s="208">
        <f t="shared" si="220"/>
        <v>0</v>
      </c>
      <c r="KW58" s="203"/>
      <c r="KX58" s="205"/>
      <c r="KY58" s="205"/>
      <c r="KZ58" s="205"/>
      <c r="LA58" s="204"/>
      <c r="LB58" s="208">
        <f t="shared" si="221"/>
        <v>0</v>
      </c>
      <c r="LC58" s="202"/>
      <c r="LD58" s="244"/>
      <c r="LE58" s="245"/>
      <c r="LF58" s="208">
        <f t="shared" si="222"/>
        <v>0</v>
      </c>
      <c r="LG58" s="208">
        <f t="shared" si="223"/>
        <v>0</v>
      </c>
    </row>
    <row r="59" spans="2:321" s="91" customFormat="1">
      <c r="B59" s="203" t="s">
        <v>405</v>
      </c>
      <c r="C59" s="167"/>
      <c r="D59" s="202">
        <f t="shared" si="163"/>
        <v>0</v>
      </c>
      <c r="E59" s="167"/>
      <c r="F59" s="177"/>
      <c r="G59" s="177"/>
      <c r="H59" s="177"/>
      <c r="I59" s="178"/>
      <c r="J59" s="202">
        <f t="shared" si="224"/>
        <v>0</v>
      </c>
      <c r="K59" s="167"/>
      <c r="L59" s="177">
        <f>2807.25+4137</f>
        <v>6944.25</v>
      </c>
      <c r="M59" s="177">
        <f>6787.69+6894.335</f>
        <v>13682.025</v>
      </c>
      <c r="N59" s="178"/>
      <c r="O59" s="202">
        <f t="shared" si="225"/>
        <v>20626.275000000001</v>
      </c>
      <c r="P59" s="167"/>
      <c r="Q59" s="177">
        <f>355.645</f>
        <v>355.64499999999998</v>
      </c>
      <c r="R59" s="177"/>
      <c r="S59" s="177"/>
      <c r="T59" s="178"/>
      <c r="U59" s="202">
        <f t="shared" si="173"/>
        <v>355.64499999999998</v>
      </c>
      <c r="V59" s="167">
        <v>355.64499999999998</v>
      </c>
      <c r="W59" s="177"/>
      <c r="X59" s="177"/>
      <c r="Y59" s="177"/>
      <c r="Z59" s="177"/>
      <c r="AA59" s="208">
        <f t="shared" si="174"/>
        <v>355.64499999999998</v>
      </c>
      <c r="AB59" s="208">
        <f t="shared" si="226"/>
        <v>21337.565000000002</v>
      </c>
      <c r="AC59" s="203">
        <v>355.64499999999998</v>
      </c>
      <c r="AD59" s="205"/>
      <c r="AE59" s="205"/>
      <c r="AF59" s="205"/>
      <c r="AG59" s="204">
        <v>3583.9229999999998</v>
      </c>
      <c r="AH59" s="208">
        <f t="shared" si="227"/>
        <v>3939.5679999999998</v>
      </c>
      <c r="AI59" s="203">
        <v>355.64499999999998</v>
      </c>
      <c r="AJ59" s="205"/>
      <c r="AK59" s="205"/>
      <c r="AL59" s="205"/>
      <c r="AM59" s="204"/>
      <c r="AN59" s="208">
        <f t="shared" si="175"/>
        <v>355.64499999999998</v>
      </c>
      <c r="AO59" s="203"/>
      <c r="AP59" s="205"/>
      <c r="AQ59" s="205"/>
      <c r="AR59" s="205"/>
      <c r="AS59" s="204"/>
      <c r="AT59" s="208">
        <f t="shared" si="176"/>
        <v>0</v>
      </c>
      <c r="AU59" s="203">
        <f>355.6451+709.074</f>
        <v>1064.7191</v>
      </c>
      <c r="AV59" s="205"/>
      <c r="AW59" s="205">
        <v>198.74</v>
      </c>
      <c r="AX59" s="205"/>
      <c r="AY59" s="204"/>
      <c r="AZ59" s="208">
        <f t="shared" si="177"/>
        <v>1263.4591</v>
      </c>
      <c r="BA59" s="208">
        <f t="shared" si="178"/>
        <v>5558.6720999999998</v>
      </c>
      <c r="BB59" s="203"/>
      <c r="BC59" s="205">
        <v>355.64499999999998</v>
      </c>
      <c r="BD59" s="205"/>
      <c r="BE59" s="205"/>
      <c r="BF59" s="204"/>
      <c r="BG59" s="208">
        <f t="shared" si="179"/>
        <v>355.64499999999998</v>
      </c>
      <c r="BH59" s="203"/>
      <c r="BI59" s="205"/>
      <c r="BJ59" s="205">
        <v>3471.6329999999998</v>
      </c>
      <c r="BK59" s="205"/>
      <c r="BL59" s="204"/>
      <c r="BM59" s="208">
        <f t="shared" si="164"/>
        <v>3471.6329999999998</v>
      </c>
      <c r="BN59" s="203"/>
      <c r="BO59" s="205"/>
      <c r="BP59" s="205"/>
      <c r="BQ59" s="204"/>
      <c r="BR59" s="208">
        <f t="shared" si="180"/>
        <v>0</v>
      </c>
      <c r="BS59" s="203"/>
      <c r="BT59" s="205"/>
      <c r="BU59" s="205"/>
      <c r="BV59" s="205"/>
      <c r="BW59" s="204"/>
      <c r="BX59" s="208">
        <f t="shared" si="181"/>
        <v>0</v>
      </c>
      <c r="BY59" s="203"/>
      <c r="BZ59" s="205">
        <f>355.645+363.48</f>
        <v>719.125</v>
      </c>
      <c r="CA59" s="208">
        <f t="shared" si="182"/>
        <v>719.125</v>
      </c>
      <c r="CB59" s="208">
        <f t="shared" si="183"/>
        <v>4546.4030000000002</v>
      </c>
      <c r="CC59" s="203">
        <v>650</v>
      </c>
      <c r="CD59" s="205"/>
      <c r="CE59" s="205"/>
      <c r="CF59" s="208">
        <f t="shared" si="228"/>
        <v>650</v>
      </c>
      <c r="CG59" s="203"/>
      <c r="CH59" s="205"/>
      <c r="CI59" s="205">
        <f>1231.25+2526.525</f>
        <v>3757.7750000000001</v>
      </c>
      <c r="CJ59" s="204"/>
      <c r="CK59" s="208">
        <f t="shared" si="184"/>
        <v>3757.7750000000001</v>
      </c>
      <c r="CL59" s="203"/>
      <c r="CM59" s="205"/>
      <c r="CN59" s="205"/>
      <c r="CO59" s="205"/>
      <c r="CP59" s="204"/>
      <c r="CQ59" s="208">
        <f t="shared" si="185"/>
        <v>0</v>
      </c>
      <c r="CR59" s="203"/>
      <c r="CS59" s="205"/>
      <c r="CT59" s="205"/>
      <c r="CU59" s="205"/>
      <c r="CV59" s="204"/>
      <c r="CW59" s="208">
        <f t="shared" si="186"/>
        <v>0</v>
      </c>
      <c r="CX59" s="203"/>
      <c r="CY59" s="205"/>
      <c r="CZ59" s="205"/>
      <c r="DA59" s="204">
        <f>363.48+363.48+471.193+988.448</f>
        <v>2186.6010000000001</v>
      </c>
      <c r="DB59" s="208">
        <f t="shared" si="187"/>
        <v>2186.6010000000001</v>
      </c>
      <c r="DC59" s="208">
        <f t="shared" si="229"/>
        <v>6594.3760000000002</v>
      </c>
      <c r="DD59" s="203"/>
      <c r="DE59" s="205"/>
      <c r="DF59" s="205"/>
      <c r="DG59" s="205"/>
      <c r="DH59" s="205">
        <v>1216.4749999999999</v>
      </c>
      <c r="DI59" s="208">
        <f t="shared" si="188"/>
        <v>1216.4749999999999</v>
      </c>
      <c r="DJ59" s="203">
        <v>109694.299</v>
      </c>
      <c r="DK59" s="205">
        <v>363.48</v>
      </c>
      <c r="DL59" s="205"/>
      <c r="DM59" s="205"/>
      <c r="DN59" s="204"/>
      <c r="DO59" s="208">
        <f t="shared" si="189"/>
        <v>110057.77899999999</v>
      </c>
      <c r="DP59" s="203"/>
      <c r="DQ59" s="205">
        <v>363.48</v>
      </c>
      <c r="DR59" s="205"/>
      <c r="DS59" s="205"/>
      <c r="DT59" s="204"/>
      <c r="DU59" s="245">
        <f t="shared" si="190"/>
        <v>363.48</v>
      </c>
      <c r="DV59" s="203">
        <v>363.48</v>
      </c>
      <c r="DW59" s="205">
        <v>3693.732</v>
      </c>
      <c r="DX59" s="205"/>
      <c r="DY59" s="205"/>
      <c r="DZ59" s="204"/>
      <c r="EA59" s="208">
        <f t="shared" si="191"/>
        <v>4057.212</v>
      </c>
      <c r="EB59" s="208">
        <f t="shared" si="192"/>
        <v>115694.946</v>
      </c>
      <c r="EC59" s="203"/>
      <c r="ED59" s="205"/>
      <c r="EE59" s="205"/>
      <c r="EF59" s="205"/>
      <c r="EG59" s="204"/>
      <c r="EH59" s="208">
        <f t="shared" si="193"/>
        <v>0</v>
      </c>
      <c r="EI59" s="203"/>
      <c r="EJ59" s="205"/>
      <c r="EK59" s="205"/>
      <c r="EL59" s="205"/>
      <c r="EM59" s="204"/>
      <c r="EN59" s="208">
        <f t="shared" si="194"/>
        <v>0</v>
      </c>
      <c r="EO59" s="203"/>
      <c r="EP59" s="205">
        <v>544.97</v>
      </c>
      <c r="EQ59" s="205">
        <v>2994.4</v>
      </c>
      <c r="ER59" s="205"/>
      <c r="ES59" s="204"/>
      <c r="ET59" s="308">
        <f t="shared" si="195"/>
        <v>3539.37</v>
      </c>
      <c r="EU59" s="203"/>
      <c r="EV59" s="205"/>
      <c r="EW59" s="205"/>
      <c r="EX59" s="205"/>
      <c r="EY59" s="205">
        <v>4432.5</v>
      </c>
      <c r="EZ59" s="205"/>
      <c r="FA59" s="204"/>
      <c r="FB59" s="208">
        <f t="shared" si="196"/>
        <v>4432.5</v>
      </c>
      <c r="FC59" s="208">
        <f t="shared" si="197"/>
        <v>7971.87</v>
      </c>
      <c r="FD59" s="203"/>
      <c r="FE59" s="205"/>
      <c r="FF59" s="204"/>
      <c r="FG59" s="208">
        <f t="shared" si="198"/>
        <v>0</v>
      </c>
      <c r="FH59" s="203"/>
      <c r="FI59" s="205"/>
      <c r="FJ59" s="205"/>
      <c r="FK59" s="205"/>
      <c r="FL59" s="204">
        <v>1927.646</v>
      </c>
      <c r="FM59" s="208">
        <f t="shared" si="199"/>
        <v>1927.646</v>
      </c>
      <c r="FN59" s="203">
        <f>544.97+544.97</f>
        <v>1089.94</v>
      </c>
      <c r="FO59" s="205"/>
      <c r="FP59" s="205"/>
      <c r="FQ59" s="205"/>
      <c r="FR59" s="208">
        <f t="shared" si="165"/>
        <v>1089.94</v>
      </c>
      <c r="FS59" s="203"/>
      <c r="FT59" s="205"/>
      <c r="FU59" s="205"/>
      <c r="FV59" s="205"/>
      <c r="FW59" s="204"/>
      <c r="FX59" s="208">
        <f t="shared" si="166"/>
        <v>0</v>
      </c>
      <c r="FY59" s="203"/>
      <c r="FZ59" s="205"/>
      <c r="GA59" s="205"/>
      <c r="GB59" s="205"/>
      <c r="GC59" s="204">
        <v>522.14099999999996</v>
      </c>
      <c r="GD59" s="208">
        <f t="shared" si="167"/>
        <v>522.14099999999996</v>
      </c>
      <c r="GE59" s="208">
        <f t="shared" si="168"/>
        <v>3539.7270000000003</v>
      </c>
      <c r="GF59" s="203">
        <f>1216.475+3693.75</f>
        <v>4910.2250000000004</v>
      </c>
      <c r="GG59" s="205"/>
      <c r="GH59" s="205"/>
      <c r="GI59" s="205"/>
      <c r="GJ59" s="205"/>
      <c r="GK59" s="208">
        <f t="shared" si="169"/>
        <v>4910.2250000000004</v>
      </c>
      <c r="GL59" s="203"/>
      <c r="GM59" s="205"/>
      <c r="GN59" s="205">
        <v>544.97</v>
      </c>
      <c r="GO59" s="204"/>
      <c r="GP59" s="208">
        <f t="shared" si="170"/>
        <v>544.97</v>
      </c>
      <c r="GQ59" s="203"/>
      <c r="GR59" s="205"/>
      <c r="GS59" s="205"/>
      <c r="GT59" s="205">
        <f>988.448</f>
        <v>988.44799999999998</v>
      </c>
      <c r="GU59" s="204"/>
      <c r="GV59" s="208">
        <f t="shared" si="200"/>
        <v>988.44799999999998</v>
      </c>
      <c r="GW59" s="203">
        <f>544.97+1970.591</f>
        <v>2515.5609999999997</v>
      </c>
      <c r="GX59" s="205"/>
      <c r="GY59" s="205"/>
      <c r="GZ59" s="205"/>
      <c r="HA59" s="205"/>
      <c r="HB59" s="204">
        <f>1459.77+707.288</f>
        <v>2167.058</v>
      </c>
      <c r="HC59" s="208">
        <f t="shared" si="201"/>
        <v>4682.6189999999997</v>
      </c>
      <c r="HD59" s="208">
        <f t="shared" si="202"/>
        <v>11126.262000000001</v>
      </c>
      <c r="HE59" s="203"/>
      <c r="HF59" s="205">
        <v>544.97</v>
      </c>
      <c r="HG59" s="205"/>
      <c r="HH59" s="205"/>
      <c r="HI59" s="208">
        <f t="shared" si="203"/>
        <v>544.97</v>
      </c>
      <c r="HJ59" s="203"/>
      <c r="HK59" s="205"/>
      <c r="HL59" s="205"/>
      <c r="HM59" s="205"/>
      <c r="HN59" s="204"/>
      <c r="HO59" s="245">
        <f t="shared" si="204"/>
        <v>0</v>
      </c>
      <c r="HP59" s="203"/>
      <c r="HQ59" s="205"/>
      <c r="HR59" s="205"/>
      <c r="HS59" s="205"/>
      <c r="HT59" s="204">
        <f>544.97+544.97</f>
        <v>1089.94</v>
      </c>
      <c r="HU59" s="208">
        <f t="shared" si="205"/>
        <v>1089.94</v>
      </c>
      <c r="HV59" s="203"/>
      <c r="HW59" s="205"/>
      <c r="HX59" s="205"/>
      <c r="HY59" s="208">
        <f t="shared" si="171"/>
        <v>0</v>
      </c>
      <c r="HZ59" s="203"/>
      <c r="IA59" s="205"/>
      <c r="IB59" s="204">
        <v>646</v>
      </c>
      <c r="IC59" s="208">
        <f t="shared" si="206"/>
        <v>646</v>
      </c>
      <c r="ID59" s="208">
        <f t="shared" si="172"/>
        <v>2280.91</v>
      </c>
      <c r="IE59" s="203">
        <v>7141.3490000000002</v>
      </c>
      <c r="IF59" s="204"/>
      <c r="IG59" s="208">
        <f t="shared" si="207"/>
        <v>7141.3490000000002</v>
      </c>
      <c r="IH59" s="203"/>
      <c r="II59" s="205"/>
      <c r="IJ59" s="205">
        <v>114.616</v>
      </c>
      <c r="IK59" s="205">
        <f>2690.347+1889.145</f>
        <v>4579.4920000000002</v>
      </c>
      <c r="IL59" s="204"/>
      <c r="IM59" s="208">
        <f t="shared" si="208"/>
        <v>4694.1080000000002</v>
      </c>
      <c r="IN59" s="203"/>
      <c r="IO59" s="205"/>
      <c r="IP59" s="204"/>
      <c r="IQ59" s="208">
        <f t="shared" si="209"/>
        <v>0</v>
      </c>
      <c r="IR59" s="203"/>
      <c r="IS59" s="205">
        <v>1220.9079999999999</v>
      </c>
      <c r="IT59" s="205"/>
      <c r="IU59" s="205"/>
      <c r="IV59" s="204">
        <f>544.97+544.97+544.97</f>
        <v>1634.91</v>
      </c>
      <c r="IW59" s="208">
        <f t="shared" si="210"/>
        <v>2855.8180000000002</v>
      </c>
      <c r="IX59" s="203"/>
      <c r="IY59" s="205"/>
      <c r="IZ59" s="205"/>
      <c r="JA59" s="205">
        <f>303.013+807.5</f>
        <v>1110.5129999999999</v>
      </c>
      <c r="JB59" s="204">
        <f>4810.207+5245.662</f>
        <v>10055.869000000001</v>
      </c>
      <c r="JC59" s="208">
        <f t="shared" si="211"/>
        <v>11166.382000000001</v>
      </c>
      <c r="JD59" s="208">
        <f t="shared" si="212"/>
        <v>25857.657000000003</v>
      </c>
      <c r="JE59" s="203">
        <v>544.97</v>
      </c>
      <c r="JF59" s="205"/>
      <c r="JG59" s="205"/>
      <c r="JH59" s="205"/>
      <c r="JI59" s="204"/>
      <c r="JJ59" s="208">
        <f t="shared" si="213"/>
        <v>544.97</v>
      </c>
      <c r="JK59" s="203"/>
      <c r="JL59" s="205"/>
      <c r="JM59" s="205"/>
      <c r="JN59" s="205"/>
      <c r="JO59" s="204"/>
      <c r="JP59" s="208">
        <f t="shared" si="214"/>
        <v>0</v>
      </c>
      <c r="JQ59" s="203"/>
      <c r="JR59" s="205"/>
      <c r="JS59" s="205"/>
      <c r="JT59" s="205"/>
      <c r="JU59" s="204"/>
      <c r="JV59" s="208">
        <f t="shared" si="215"/>
        <v>0</v>
      </c>
      <c r="JW59" s="203"/>
      <c r="JX59" s="205"/>
      <c r="JY59" s="205"/>
      <c r="JZ59" s="205"/>
      <c r="KA59" s="205"/>
      <c r="KB59" s="204"/>
      <c r="KC59" s="208">
        <f t="shared" si="216"/>
        <v>0</v>
      </c>
      <c r="KD59" s="208">
        <f t="shared" si="217"/>
        <v>544.97</v>
      </c>
      <c r="KE59" s="203"/>
      <c r="KF59" s="205"/>
      <c r="KG59" s="205"/>
      <c r="KH59" s="205"/>
      <c r="KI59" s="204"/>
      <c r="KJ59" s="208">
        <f t="shared" si="218"/>
        <v>0</v>
      </c>
      <c r="KK59" s="203"/>
      <c r="KL59" s="205"/>
      <c r="KM59" s="205"/>
      <c r="KN59" s="205"/>
      <c r="KO59" s="204"/>
      <c r="KP59" s="208">
        <f t="shared" si="219"/>
        <v>0</v>
      </c>
      <c r="KQ59" s="203"/>
      <c r="KR59" s="205"/>
      <c r="KS59" s="205"/>
      <c r="KT59" s="205"/>
      <c r="KU59" s="204"/>
      <c r="KV59" s="208">
        <f t="shared" si="220"/>
        <v>0</v>
      </c>
      <c r="KW59" s="203"/>
      <c r="KX59" s="205"/>
      <c r="KY59" s="205"/>
      <c r="KZ59" s="205"/>
      <c r="LA59" s="204"/>
      <c r="LB59" s="208">
        <f t="shared" si="221"/>
        <v>0</v>
      </c>
      <c r="LC59" s="202"/>
      <c r="LD59" s="244"/>
      <c r="LE59" s="245"/>
      <c r="LF59" s="208">
        <f t="shared" si="222"/>
        <v>0</v>
      </c>
      <c r="LG59" s="208">
        <f t="shared" si="223"/>
        <v>0</v>
      </c>
    </row>
    <row r="60" spans="2:321" s="91" customFormat="1">
      <c r="B60" s="167" t="s">
        <v>109</v>
      </c>
      <c r="C60" s="167"/>
      <c r="D60" s="202">
        <f t="shared" si="163"/>
        <v>0</v>
      </c>
      <c r="E60" s="167"/>
      <c r="F60" s="177">
        <f>5356.733+5446.636+6158.082+7416.686</f>
        <v>24378.137000000002</v>
      </c>
      <c r="G60" s="177"/>
      <c r="H60" s="177">
        <f>6611.811+2184.664+7860.781</f>
        <v>16657.256000000001</v>
      </c>
      <c r="I60" s="178"/>
      <c r="J60" s="202">
        <f t="shared" si="224"/>
        <v>41035.393000000004</v>
      </c>
      <c r="K60" s="167"/>
      <c r="L60" s="177">
        <f>9289.973+2467.527</f>
        <v>11757.5</v>
      </c>
      <c r="M60" s="177"/>
      <c r="N60" s="178"/>
      <c r="O60" s="202">
        <f t="shared" si="225"/>
        <v>11757.5</v>
      </c>
      <c r="P60" s="167"/>
      <c r="Q60" s="177"/>
      <c r="R60" s="177"/>
      <c r="S60" s="177">
        <v>259.26799999999997</v>
      </c>
      <c r="T60" s="178"/>
      <c r="U60" s="202">
        <f t="shared" si="173"/>
        <v>259.26799999999997</v>
      </c>
      <c r="V60" s="167">
        <f>28369.019+5851.318</f>
        <v>34220.337</v>
      </c>
      <c r="W60" s="177"/>
      <c r="X60" s="177"/>
      <c r="Y60" s="177"/>
      <c r="Z60" s="177"/>
      <c r="AA60" s="208">
        <f t="shared" si="174"/>
        <v>34220.337</v>
      </c>
      <c r="AB60" s="208">
        <f t="shared" si="226"/>
        <v>87272.497999999992</v>
      </c>
      <c r="AC60" s="203"/>
      <c r="AD60" s="205">
        <v>8401.6769999999997</v>
      </c>
      <c r="AE60" s="205">
        <f>5690.95+5951.786</f>
        <v>11642.736000000001</v>
      </c>
      <c r="AF60" s="205"/>
      <c r="AG60" s="204"/>
      <c r="AH60" s="208">
        <f t="shared" si="227"/>
        <v>20044.413</v>
      </c>
      <c r="AI60" s="203">
        <f>1820.994+689.602</f>
        <v>2510.596</v>
      </c>
      <c r="AJ60" s="205">
        <v>1992.1489999999999</v>
      </c>
      <c r="AK60" s="205">
        <v>5281.6409999999996</v>
      </c>
      <c r="AL60" s="205"/>
      <c r="AM60" s="204"/>
      <c r="AN60" s="208">
        <f t="shared" si="175"/>
        <v>9784.3859999999986</v>
      </c>
      <c r="AO60" s="203"/>
      <c r="AP60" s="205">
        <f>6730.671+6578.322</f>
        <v>13308.993</v>
      </c>
      <c r="AQ60" s="205"/>
      <c r="AR60" s="205">
        <v>10124.18</v>
      </c>
      <c r="AS60" s="204"/>
      <c r="AT60" s="208">
        <f t="shared" si="176"/>
        <v>23433.173000000003</v>
      </c>
      <c r="AU60" s="203"/>
      <c r="AV60" s="205"/>
      <c r="AW60" s="205">
        <f>1857.034</f>
        <v>1857.0340000000001</v>
      </c>
      <c r="AX60" s="205"/>
      <c r="AY60" s="204"/>
      <c r="AZ60" s="208">
        <f t="shared" si="177"/>
        <v>1857.0340000000001</v>
      </c>
      <c r="BA60" s="208">
        <f t="shared" si="178"/>
        <v>55119.006000000001</v>
      </c>
      <c r="BB60" s="203">
        <f>5937.183</f>
        <v>5937.183</v>
      </c>
      <c r="BC60" s="205">
        <v>6681.5</v>
      </c>
      <c r="BD60" s="205">
        <v>35844.370999999999</v>
      </c>
      <c r="BE60" s="205"/>
      <c r="BF60" s="204"/>
      <c r="BG60" s="208">
        <f t="shared" si="179"/>
        <v>48463.054000000004</v>
      </c>
      <c r="BH60" s="203"/>
      <c r="BI60" s="205"/>
      <c r="BJ60" s="205">
        <v>5178.1980000000003</v>
      </c>
      <c r="BK60" s="205">
        <v>1701.0409999999999</v>
      </c>
      <c r="BL60" s="204">
        <f>12958.596+78696.985+59023.471</f>
        <v>150679.052</v>
      </c>
      <c r="BM60" s="208">
        <f t="shared" si="164"/>
        <v>157558.291</v>
      </c>
      <c r="BN60" s="203">
        <v>77793.820000000007</v>
      </c>
      <c r="BO60" s="205"/>
      <c r="BP60" s="205"/>
      <c r="BQ60" s="204"/>
      <c r="BR60" s="208">
        <f t="shared" si="180"/>
        <v>77793.820000000007</v>
      </c>
      <c r="BS60" s="203"/>
      <c r="BT60" s="205"/>
      <c r="BU60" s="205">
        <v>110.107</v>
      </c>
      <c r="BV60" s="205">
        <f>4533.929+5500.45+7094.944</f>
        <v>17129.323</v>
      </c>
      <c r="BW60" s="204"/>
      <c r="BX60" s="208">
        <f t="shared" si="181"/>
        <v>17239.43</v>
      </c>
      <c r="BY60" s="203"/>
      <c r="BZ60" s="205"/>
      <c r="CA60" s="208">
        <f t="shared" si="182"/>
        <v>0</v>
      </c>
      <c r="CB60" s="208">
        <f t="shared" si="183"/>
        <v>301054.59499999997</v>
      </c>
      <c r="CC60" s="203">
        <v>1747.4280000000001</v>
      </c>
      <c r="CD60" s="205">
        <v>4112.22</v>
      </c>
      <c r="CE60" s="205"/>
      <c r="CF60" s="208">
        <f t="shared" si="228"/>
        <v>5859.6480000000001</v>
      </c>
      <c r="CG60" s="203"/>
      <c r="CH60" s="205">
        <v>8377.0840000000007</v>
      </c>
      <c r="CI60" s="205"/>
      <c r="CJ60" s="204"/>
      <c r="CK60" s="208">
        <f t="shared" si="184"/>
        <v>8377.0840000000007</v>
      </c>
      <c r="CL60" s="203"/>
      <c r="CM60" s="205"/>
      <c r="CN60" s="205"/>
      <c r="CO60" s="205">
        <f>17234.351+6467.073</f>
        <v>23701.423999999999</v>
      </c>
      <c r="CP60" s="204"/>
      <c r="CQ60" s="208">
        <f t="shared" si="185"/>
        <v>23701.423999999999</v>
      </c>
      <c r="CR60" s="203">
        <v>82305.505999999994</v>
      </c>
      <c r="CS60" s="205">
        <f>36594.547+36567.832+7108.151</f>
        <v>80270.53</v>
      </c>
      <c r="CT60" s="205"/>
      <c r="CU60" s="205"/>
      <c r="CV60" s="204"/>
      <c r="CW60" s="208">
        <f t="shared" si="186"/>
        <v>162576.03599999999</v>
      </c>
      <c r="CX60" s="203"/>
      <c r="CY60" s="205">
        <v>3437.03</v>
      </c>
      <c r="CZ60" s="205"/>
      <c r="DA60" s="204"/>
      <c r="DB60" s="208">
        <f t="shared" si="187"/>
        <v>3437.03</v>
      </c>
      <c r="DC60" s="208">
        <f t="shared" si="229"/>
        <v>203951.22199999998</v>
      </c>
      <c r="DD60" s="203">
        <v>39820.262000000002</v>
      </c>
      <c r="DE60" s="205"/>
      <c r="DF60" s="205">
        <v>7960.018</v>
      </c>
      <c r="DG60" s="205"/>
      <c r="DH60" s="205"/>
      <c r="DI60" s="208">
        <f t="shared" si="188"/>
        <v>47780.28</v>
      </c>
      <c r="DJ60" s="203"/>
      <c r="DK60" s="205"/>
      <c r="DL60" s="205">
        <f>7551.123+3150.568</f>
        <v>10701.690999999999</v>
      </c>
      <c r="DM60" s="205">
        <v>78843.482000000004</v>
      </c>
      <c r="DN60" s="204"/>
      <c r="DO60" s="208">
        <f t="shared" si="189"/>
        <v>89545.17300000001</v>
      </c>
      <c r="DP60" s="203"/>
      <c r="DQ60" s="205"/>
      <c r="DR60" s="205">
        <f>8223.114+6178.734</f>
        <v>14401.848</v>
      </c>
      <c r="DS60" s="205"/>
      <c r="DT60" s="204"/>
      <c r="DU60" s="245">
        <f t="shared" si="190"/>
        <v>14401.848</v>
      </c>
      <c r="DV60" s="203"/>
      <c r="DW60" s="205"/>
      <c r="DX60" s="205"/>
      <c r="DY60" s="205"/>
      <c r="DZ60" s="204"/>
      <c r="EA60" s="208">
        <f t="shared" si="191"/>
        <v>0</v>
      </c>
      <c r="EB60" s="208">
        <f t="shared" si="192"/>
        <v>151727.30100000001</v>
      </c>
      <c r="EC60" s="203"/>
      <c r="ED60" s="205">
        <v>5385.9740000000002</v>
      </c>
      <c r="EE60" s="205"/>
      <c r="EF60" s="205">
        <v>5213.393</v>
      </c>
      <c r="EG60" s="204"/>
      <c r="EH60" s="208">
        <f t="shared" si="193"/>
        <v>10599.367</v>
      </c>
      <c r="EI60" s="203">
        <f>5263.962+962.189</f>
        <v>6226.1510000000007</v>
      </c>
      <c r="EJ60" s="205">
        <v>9262.4719999999998</v>
      </c>
      <c r="EK60" s="205"/>
      <c r="EL60" s="205"/>
      <c r="EM60" s="204"/>
      <c r="EN60" s="208">
        <f t="shared" si="194"/>
        <v>15488.623</v>
      </c>
      <c r="EO60" s="203"/>
      <c r="EP60" s="205"/>
      <c r="EQ60" s="205"/>
      <c r="ER60" s="205"/>
      <c r="ES60" s="204">
        <v>278.53199999999998</v>
      </c>
      <c r="ET60" s="308">
        <f t="shared" si="195"/>
        <v>278.53199999999998</v>
      </c>
      <c r="EU60" s="203"/>
      <c r="EV60" s="205"/>
      <c r="EW60" s="205"/>
      <c r="EX60" s="205"/>
      <c r="EY60" s="205"/>
      <c r="EZ60" s="205"/>
      <c r="FA60" s="204"/>
      <c r="FB60" s="208">
        <f t="shared" si="196"/>
        <v>0</v>
      </c>
      <c r="FC60" s="208">
        <f t="shared" si="197"/>
        <v>26366.521999999997</v>
      </c>
      <c r="FD60" s="203"/>
      <c r="FE60" s="205"/>
      <c r="FF60" s="204"/>
      <c r="FG60" s="208">
        <f t="shared" si="198"/>
        <v>0</v>
      </c>
      <c r="FH60" s="203"/>
      <c r="FI60" s="205"/>
      <c r="FJ60" s="205"/>
      <c r="FK60" s="205"/>
      <c r="FL60" s="204">
        <f>7520.287+18965.214</f>
        <v>26485.501</v>
      </c>
      <c r="FM60" s="208">
        <f t="shared" si="199"/>
        <v>26485.501</v>
      </c>
      <c r="FN60" s="203"/>
      <c r="FO60" s="205"/>
      <c r="FP60" s="205">
        <v>27961.197</v>
      </c>
      <c r="FQ60" s="205"/>
      <c r="FR60" s="208">
        <f t="shared" si="165"/>
        <v>27961.197</v>
      </c>
      <c r="FS60" s="203"/>
      <c r="FT60" s="205"/>
      <c r="FU60" s="205"/>
      <c r="FV60" s="205"/>
      <c r="FW60" s="204"/>
      <c r="FX60" s="208">
        <f t="shared" si="166"/>
        <v>0</v>
      </c>
      <c r="FY60" s="203"/>
      <c r="FZ60" s="205"/>
      <c r="GA60" s="205">
        <f>4745.628+5019.393+5632.048+8989.295</f>
        <v>24386.364000000001</v>
      </c>
      <c r="GB60" s="205">
        <v>496.03100000000001</v>
      </c>
      <c r="GC60" s="204">
        <f>6529.847+6467.895+10148.458+75312.111+6982.747+4566.509+5674.27+7288.086</f>
        <v>122969.92300000001</v>
      </c>
      <c r="GD60" s="208">
        <f t="shared" si="167"/>
        <v>147852.318</v>
      </c>
      <c r="GE60" s="208">
        <f t="shared" si="168"/>
        <v>202299.016</v>
      </c>
      <c r="GF60" s="203"/>
      <c r="GG60" s="205"/>
      <c r="GH60" s="205"/>
      <c r="GI60" s="205"/>
      <c r="GJ60" s="205"/>
      <c r="GK60" s="208">
        <f t="shared" si="169"/>
        <v>0</v>
      </c>
      <c r="GL60" s="203">
        <v>1849.1859999999999</v>
      </c>
      <c r="GM60" s="205">
        <v>2140.3510000000001</v>
      </c>
      <c r="GN60" s="205"/>
      <c r="GO60" s="204"/>
      <c r="GP60" s="208">
        <f t="shared" si="170"/>
        <v>3989.5370000000003</v>
      </c>
      <c r="GQ60" s="203"/>
      <c r="GR60" s="205"/>
      <c r="GS60" s="205"/>
      <c r="GT60" s="205">
        <v>20367.095000000001</v>
      </c>
      <c r="GU60" s="204"/>
      <c r="GV60" s="208">
        <f t="shared" si="200"/>
        <v>20367.095000000001</v>
      </c>
      <c r="GW60" s="203"/>
      <c r="GX60" s="205"/>
      <c r="GY60" s="205">
        <v>14195.428</v>
      </c>
      <c r="GZ60" s="205"/>
      <c r="HA60" s="205"/>
      <c r="HB60" s="204"/>
      <c r="HC60" s="208">
        <f t="shared" si="201"/>
        <v>14195.428</v>
      </c>
      <c r="HD60" s="208">
        <f t="shared" si="202"/>
        <v>38552.06</v>
      </c>
      <c r="HE60" s="203"/>
      <c r="HF60" s="205"/>
      <c r="HG60" s="205">
        <f>4359.277+3749.39+8366.118+6771.45</f>
        <v>23246.235000000001</v>
      </c>
      <c r="HH60" s="205"/>
      <c r="HI60" s="208">
        <f t="shared" si="203"/>
        <v>23246.235000000001</v>
      </c>
      <c r="HJ60" s="203"/>
      <c r="HK60" s="205"/>
      <c r="HL60" s="205">
        <v>382.85899999999998</v>
      </c>
      <c r="HM60" s="205">
        <f>7386.349+4427.169+71887.837</f>
        <v>83701.354999999996</v>
      </c>
      <c r="HN60" s="204"/>
      <c r="HO60" s="245">
        <f t="shared" si="204"/>
        <v>84084.213999999993</v>
      </c>
      <c r="HP60" s="203"/>
      <c r="HQ60" s="205"/>
      <c r="HR60" s="205"/>
      <c r="HS60" s="205"/>
      <c r="HT60" s="204"/>
      <c r="HU60" s="208">
        <f t="shared" si="205"/>
        <v>0</v>
      </c>
      <c r="HV60" s="203"/>
      <c r="HW60" s="205"/>
      <c r="HX60" s="205"/>
      <c r="HY60" s="208">
        <f t="shared" si="171"/>
        <v>0</v>
      </c>
      <c r="HZ60" s="203"/>
      <c r="IA60" s="205"/>
      <c r="IB60" s="204"/>
      <c r="IC60" s="208">
        <f t="shared" si="206"/>
        <v>0</v>
      </c>
      <c r="ID60" s="208">
        <f t="shared" si="172"/>
        <v>107330.44899999999</v>
      </c>
      <c r="IE60" s="203">
        <f>4322.587+8748.883+5717.625+2187.905+8449.932+5289.167+8379.542</f>
        <v>43095.641000000003</v>
      </c>
      <c r="IF60" s="204">
        <f>3245.681+1280.882</f>
        <v>4526.5630000000001</v>
      </c>
      <c r="IG60" s="208">
        <f t="shared" si="207"/>
        <v>47622.204000000005</v>
      </c>
      <c r="IH60" s="203"/>
      <c r="II60" s="205"/>
      <c r="IJ60" s="205"/>
      <c r="IK60" s="205">
        <v>1000</v>
      </c>
      <c r="IL60" s="204"/>
      <c r="IM60" s="208">
        <f t="shared" si="208"/>
        <v>1000</v>
      </c>
      <c r="IN60" s="203"/>
      <c r="IO60" s="205"/>
      <c r="IP60" s="204"/>
      <c r="IQ60" s="208">
        <f t="shared" si="209"/>
        <v>0</v>
      </c>
      <c r="IR60" s="203"/>
      <c r="IS60" s="205">
        <f>6811.274+5442.262+5911.607+4420.694+7237.746</f>
        <v>29823.582999999999</v>
      </c>
      <c r="IT60" s="205"/>
      <c r="IU60" s="205"/>
      <c r="IV60" s="204"/>
      <c r="IW60" s="208">
        <f t="shared" si="210"/>
        <v>29823.582999999999</v>
      </c>
      <c r="IX60" s="203"/>
      <c r="IY60" s="205"/>
      <c r="IZ60" s="205"/>
      <c r="JA60" s="205"/>
      <c r="JB60" s="204">
        <f>34688.524+33204.77</f>
        <v>67893.293999999994</v>
      </c>
      <c r="JC60" s="208">
        <f t="shared" si="211"/>
        <v>67893.293999999994</v>
      </c>
      <c r="JD60" s="208">
        <f t="shared" si="212"/>
        <v>146339.08100000001</v>
      </c>
      <c r="JE60" s="203">
        <v>162410.48000000001</v>
      </c>
      <c r="JF60" s="205"/>
      <c r="JG60" s="205">
        <f>5737.912+469.189+6560.526+2645.78+111.699+6814.735</f>
        <v>22339.841</v>
      </c>
      <c r="JH60" s="205"/>
      <c r="JI60" s="204"/>
      <c r="JJ60" s="208">
        <f t="shared" si="213"/>
        <v>184750.321</v>
      </c>
      <c r="JK60" s="203"/>
      <c r="JL60" s="205"/>
      <c r="JM60" s="205"/>
      <c r="JN60" s="205"/>
      <c r="JO60" s="204"/>
      <c r="JP60" s="208">
        <f t="shared" si="214"/>
        <v>0</v>
      </c>
      <c r="JQ60" s="203"/>
      <c r="JR60" s="205"/>
      <c r="JS60" s="205"/>
      <c r="JT60" s="205"/>
      <c r="JU60" s="204"/>
      <c r="JV60" s="208">
        <f t="shared" si="215"/>
        <v>0</v>
      </c>
      <c r="JW60" s="203"/>
      <c r="JX60" s="205"/>
      <c r="JY60" s="205"/>
      <c r="JZ60" s="205"/>
      <c r="KA60" s="205"/>
      <c r="KB60" s="204"/>
      <c r="KC60" s="208">
        <f t="shared" si="216"/>
        <v>0</v>
      </c>
      <c r="KD60" s="208">
        <f t="shared" si="217"/>
        <v>184750.321</v>
      </c>
      <c r="KE60" s="203"/>
      <c r="KF60" s="205"/>
      <c r="KG60" s="205"/>
      <c r="KH60" s="205"/>
      <c r="KI60" s="204"/>
      <c r="KJ60" s="208">
        <f t="shared" si="218"/>
        <v>0</v>
      </c>
      <c r="KK60" s="203"/>
      <c r="KL60" s="205"/>
      <c r="KM60" s="205"/>
      <c r="KN60" s="205"/>
      <c r="KO60" s="204"/>
      <c r="KP60" s="208">
        <f t="shared" si="219"/>
        <v>0</v>
      </c>
      <c r="KQ60" s="203"/>
      <c r="KR60" s="205"/>
      <c r="KS60" s="205"/>
      <c r="KT60" s="205"/>
      <c r="KU60" s="204"/>
      <c r="KV60" s="208">
        <f t="shared" si="220"/>
        <v>0</v>
      </c>
      <c r="KW60" s="203"/>
      <c r="KX60" s="205"/>
      <c r="KY60" s="205"/>
      <c r="KZ60" s="205"/>
      <c r="LA60" s="204"/>
      <c r="LB60" s="208">
        <f t="shared" si="221"/>
        <v>0</v>
      </c>
      <c r="LC60" s="202"/>
      <c r="LD60" s="244"/>
      <c r="LE60" s="245"/>
      <c r="LF60" s="208">
        <f t="shared" si="222"/>
        <v>0</v>
      </c>
      <c r="LG60" s="208">
        <f t="shared" si="223"/>
        <v>0</v>
      </c>
    </row>
    <row r="61" spans="2:321" s="91" customFormat="1">
      <c r="B61" s="167" t="s">
        <v>104</v>
      </c>
      <c r="C61" s="167"/>
      <c r="D61" s="202">
        <f t="shared" si="163"/>
        <v>0</v>
      </c>
      <c r="E61" s="167"/>
      <c r="F61" s="177"/>
      <c r="G61" s="177"/>
      <c r="H61" s="177"/>
      <c r="I61" s="178"/>
      <c r="J61" s="202">
        <f t="shared" si="224"/>
        <v>0</v>
      </c>
      <c r="K61" s="167"/>
      <c r="L61" s="177"/>
      <c r="M61" s="177"/>
      <c r="N61" s="178"/>
      <c r="O61" s="202">
        <f t="shared" si="225"/>
        <v>0</v>
      </c>
      <c r="P61" s="167"/>
      <c r="Q61" s="177"/>
      <c r="R61" s="177"/>
      <c r="S61" s="177"/>
      <c r="T61" s="178"/>
      <c r="U61" s="202">
        <f t="shared" si="173"/>
        <v>0</v>
      </c>
      <c r="V61" s="167"/>
      <c r="W61" s="177"/>
      <c r="X61" s="177"/>
      <c r="Y61" s="177"/>
      <c r="Z61" s="177">
        <v>45000</v>
      </c>
      <c r="AA61" s="208">
        <f t="shared" si="174"/>
        <v>45000</v>
      </c>
      <c r="AB61" s="208">
        <f t="shared" si="226"/>
        <v>45000</v>
      </c>
      <c r="AC61" s="203"/>
      <c r="AD61" s="205"/>
      <c r="AE61" s="205"/>
      <c r="AF61" s="205"/>
      <c r="AG61" s="204"/>
      <c r="AH61" s="208">
        <f t="shared" si="227"/>
        <v>0</v>
      </c>
      <c r="AI61" s="203"/>
      <c r="AJ61" s="205"/>
      <c r="AK61" s="205"/>
      <c r="AL61" s="205"/>
      <c r="AM61" s="204"/>
      <c r="AN61" s="208">
        <f t="shared" si="175"/>
        <v>0</v>
      </c>
      <c r="AO61" s="203"/>
      <c r="AP61" s="205"/>
      <c r="AQ61" s="205"/>
      <c r="AR61" s="205"/>
      <c r="AS61" s="204"/>
      <c r="AT61" s="208">
        <f t="shared" si="176"/>
        <v>0</v>
      </c>
      <c r="AU61" s="203"/>
      <c r="AV61" s="205"/>
      <c r="AW61" s="205"/>
      <c r="AX61" s="205"/>
      <c r="AY61" s="204"/>
      <c r="AZ61" s="208">
        <f t="shared" si="177"/>
        <v>0</v>
      </c>
      <c r="BA61" s="208">
        <f t="shared" si="178"/>
        <v>0</v>
      </c>
      <c r="BB61" s="203">
        <v>20000</v>
      </c>
      <c r="BC61" s="205"/>
      <c r="BD61" s="205"/>
      <c r="BE61" s="205"/>
      <c r="BF61" s="204"/>
      <c r="BG61" s="208">
        <f t="shared" si="179"/>
        <v>20000</v>
      </c>
      <c r="BH61" s="203"/>
      <c r="BI61" s="205"/>
      <c r="BJ61" s="205"/>
      <c r="BK61" s="205"/>
      <c r="BL61" s="204"/>
      <c r="BM61" s="208">
        <f t="shared" si="164"/>
        <v>0</v>
      </c>
      <c r="BN61" s="203"/>
      <c r="BO61" s="205"/>
      <c r="BP61" s="205"/>
      <c r="BQ61" s="204"/>
      <c r="BR61" s="208">
        <f t="shared" si="180"/>
        <v>0</v>
      </c>
      <c r="BS61" s="203"/>
      <c r="BT61" s="205"/>
      <c r="BU61" s="205"/>
      <c r="BV61" s="205"/>
      <c r="BW61" s="204"/>
      <c r="BX61" s="208">
        <f t="shared" si="181"/>
        <v>0</v>
      </c>
      <c r="BY61" s="203"/>
      <c r="BZ61" s="205"/>
      <c r="CA61" s="208">
        <f t="shared" si="182"/>
        <v>0</v>
      </c>
      <c r="CB61" s="208">
        <f t="shared" si="183"/>
        <v>20000</v>
      </c>
      <c r="CC61" s="203"/>
      <c r="CD61" s="205"/>
      <c r="CE61" s="205"/>
      <c r="CF61" s="208">
        <f t="shared" si="228"/>
        <v>0</v>
      </c>
      <c r="CG61" s="203"/>
      <c r="CH61" s="205"/>
      <c r="CI61" s="205"/>
      <c r="CJ61" s="204"/>
      <c r="CK61" s="208">
        <f t="shared" si="184"/>
        <v>0</v>
      </c>
      <c r="CL61" s="203"/>
      <c r="CM61" s="205"/>
      <c r="CN61" s="205"/>
      <c r="CO61" s="205"/>
      <c r="CP61" s="204"/>
      <c r="CQ61" s="208">
        <f t="shared" si="185"/>
        <v>0</v>
      </c>
      <c r="CR61" s="203"/>
      <c r="CS61" s="205"/>
      <c r="CT61" s="205"/>
      <c r="CU61" s="205"/>
      <c r="CV61" s="204"/>
      <c r="CW61" s="208">
        <f t="shared" si="186"/>
        <v>0</v>
      </c>
      <c r="CX61" s="203"/>
      <c r="CY61" s="205"/>
      <c r="CZ61" s="205"/>
      <c r="DA61" s="204"/>
      <c r="DB61" s="208">
        <f t="shared" si="187"/>
        <v>0</v>
      </c>
      <c r="DC61" s="208">
        <f t="shared" si="229"/>
        <v>0</v>
      </c>
      <c r="DD61" s="203"/>
      <c r="DE61" s="205"/>
      <c r="DF61" s="205"/>
      <c r="DG61" s="205"/>
      <c r="DH61" s="205"/>
      <c r="DI61" s="208">
        <f t="shared" si="188"/>
        <v>0</v>
      </c>
      <c r="DJ61" s="203"/>
      <c r="DK61" s="205"/>
      <c r="DL61" s="205"/>
      <c r="DM61" s="205"/>
      <c r="DN61" s="204"/>
      <c r="DO61" s="208">
        <f t="shared" si="189"/>
        <v>0</v>
      </c>
      <c r="DP61" s="203"/>
      <c r="DQ61" s="205"/>
      <c r="DR61" s="205"/>
      <c r="DS61" s="205"/>
      <c r="DT61" s="204"/>
      <c r="DU61" s="245">
        <f t="shared" si="190"/>
        <v>0</v>
      </c>
      <c r="DV61" s="203"/>
      <c r="DW61" s="205"/>
      <c r="DX61" s="205"/>
      <c r="DY61" s="205"/>
      <c r="DZ61" s="204"/>
      <c r="EA61" s="208">
        <f t="shared" si="191"/>
        <v>0</v>
      </c>
      <c r="EB61" s="208">
        <f t="shared" si="192"/>
        <v>0</v>
      </c>
      <c r="EC61" s="203"/>
      <c r="ED61" s="205"/>
      <c r="EE61" s="205"/>
      <c r="EF61" s="205"/>
      <c r="EG61" s="204"/>
      <c r="EH61" s="208">
        <f t="shared" si="193"/>
        <v>0</v>
      </c>
      <c r="EI61" s="203"/>
      <c r="EJ61" s="205"/>
      <c r="EK61" s="205"/>
      <c r="EL61" s="205"/>
      <c r="EM61" s="204"/>
      <c r="EN61" s="208">
        <f t="shared" si="194"/>
        <v>0</v>
      </c>
      <c r="EO61" s="203"/>
      <c r="EP61" s="205"/>
      <c r="EQ61" s="205"/>
      <c r="ER61" s="205"/>
      <c r="ES61" s="204"/>
      <c r="ET61" s="308">
        <f t="shared" si="195"/>
        <v>0</v>
      </c>
      <c r="EU61" s="203"/>
      <c r="EV61" s="205"/>
      <c r="EW61" s="205"/>
      <c r="EX61" s="205"/>
      <c r="EY61" s="205"/>
      <c r="EZ61" s="205"/>
      <c r="FA61" s="204"/>
      <c r="FB61" s="208">
        <f t="shared" si="196"/>
        <v>0</v>
      </c>
      <c r="FC61" s="208">
        <f t="shared" si="197"/>
        <v>0</v>
      </c>
      <c r="FD61" s="203">
        <v>15000</v>
      </c>
      <c r="FE61" s="205"/>
      <c r="FF61" s="204"/>
      <c r="FG61" s="208">
        <f t="shared" si="198"/>
        <v>15000</v>
      </c>
      <c r="FH61" s="203"/>
      <c r="FI61" s="205"/>
      <c r="FJ61" s="205"/>
      <c r="FK61" s="205"/>
      <c r="FL61" s="204"/>
      <c r="FM61" s="208">
        <f t="shared" si="199"/>
        <v>0</v>
      </c>
      <c r="FN61" s="203"/>
      <c r="FO61" s="205"/>
      <c r="FP61" s="205"/>
      <c r="FQ61" s="205"/>
      <c r="FR61" s="208">
        <f t="shared" si="165"/>
        <v>0</v>
      </c>
      <c r="FS61" s="203"/>
      <c r="FT61" s="205"/>
      <c r="FU61" s="205"/>
      <c r="FV61" s="205"/>
      <c r="FW61" s="204"/>
      <c r="FX61" s="208">
        <f t="shared" si="166"/>
        <v>0</v>
      </c>
      <c r="FY61" s="203"/>
      <c r="FZ61" s="205"/>
      <c r="GA61" s="205"/>
      <c r="GB61" s="205"/>
      <c r="GC61" s="204"/>
      <c r="GD61" s="208">
        <f t="shared" si="167"/>
        <v>0</v>
      </c>
      <c r="GE61" s="208">
        <f t="shared" si="168"/>
        <v>15000</v>
      </c>
      <c r="GF61" s="203">
        <v>80000</v>
      </c>
      <c r="GG61" s="205"/>
      <c r="GH61" s="205"/>
      <c r="GI61" s="205"/>
      <c r="GJ61" s="205"/>
      <c r="GK61" s="208">
        <f t="shared" si="169"/>
        <v>80000</v>
      </c>
      <c r="GL61" s="203"/>
      <c r="GM61" s="205"/>
      <c r="GN61" s="205"/>
      <c r="GO61" s="204"/>
      <c r="GP61" s="208">
        <f t="shared" si="170"/>
        <v>0</v>
      </c>
      <c r="GQ61" s="203"/>
      <c r="GR61" s="205"/>
      <c r="GS61" s="205"/>
      <c r="GT61" s="205"/>
      <c r="GU61" s="204"/>
      <c r="GV61" s="208">
        <f t="shared" si="200"/>
        <v>0</v>
      </c>
      <c r="GW61" s="203"/>
      <c r="GX61" s="205"/>
      <c r="GY61" s="205"/>
      <c r="GZ61" s="205"/>
      <c r="HA61" s="205"/>
      <c r="HB61" s="204"/>
      <c r="HC61" s="208">
        <f t="shared" si="201"/>
        <v>0</v>
      </c>
      <c r="HD61" s="208">
        <f t="shared" si="202"/>
        <v>80000</v>
      </c>
      <c r="HE61" s="203"/>
      <c r="HF61" s="205"/>
      <c r="HG61" s="205"/>
      <c r="HH61" s="205"/>
      <c r="HI61" s="208">
        <f t="shared" si="203"/>
        <v>0</v>
      </c>
      <c r="HJ61" s="203"/>
      <c r="HK61" s="205"/>
      <c r="HL61" s="205"/>
      <c r="HM61" s="205"/>
      <c r="HN61" s="204"/>
      <c r="HO61" s="245">
        <f t="shared" si="204"/>
        <v>0</v>
      </c>
      <c r="HP61" s="203"/>
      <c r="HQ61" s="205"/>
      <c r="HR61" s="205"/>
      <c r="HS61" s="205"/>
      <c r="HT61" s="204"/>
      <c r="HU61" s="208">
        <f t="shared" si="205"/>
        <v>0</v>
      </c>
      <c r="HV61" s="203"/>
      <c r="HW61" s="205"/>
      <c r="HX61" s="205"/>
      <c r="HY61" s="208">
        <f t="shared" si="171"/>
        <v>0</v>
      </c>
      <c r="HZ61" s="203"/>
      <c r="IA61" s="205"/>
      <c r="IB61" s="204"/>
      <c r="IC61" s="208">
        <f t="shared" si="206"/>
        <v>0</v>
      </c>
      <c r="ID61" s="208">
        <f t="shared" si="172"/>
        <v>0</v>
      </c>
      <c r="IE61" s="203"/>
      <c r="IF61" s="204"/>
      <c r="IG61" s="208">
        <f t="shared" si="207"/>
        <v>0</v>
      </c>
      <c r="IH61" s="203"/>
      <c r="II61" s="205"/>
      <c r="IJ61" s="205"/>
      <c r="IK61" s="205"/>
      <c r="IL61" s="204"/>
      <c r="IM61" s="208">
        <f t="shared" si="208"/>
        <v>0</v>
      </c>
      <c r="IN61" s="203"/>
      <c r="IO61" s="205"/>
      <c r="IP61" s="204"/>
      <c r="IQ61" s="208">
        <f t="shared" si="209"/>
        <v>0</v>
      </c>
      <c r="IR61" s="203"/>
      <c r="IS61" s="205"/>
      <c r="IT61" s="205"/>
      <c r="IU61" s="205"/>
      <c r="IV61" s="204"/>
      <c r="IW61" s="208">
        <f t="shared" si="210"/>
        <v>0</v>
      </c>
      <c r="IX61" s="203"/>
      <c r="IY61" s="205"/>
      <c r="IZ61" s="205"/>
      <c r="JA61" s="205"/>
      <c r="JB61" s="204"/>
      <c r="JC61" s="208">
        <f t="shared" si="211"/>
        <v>0</v>
      </c>
      <c r="JD61" s="208">
        <f t="shared" si="212"/>
        <v>0</v>
      </c>
      <c r="JE61" s="203"/>
      <c r="JF61" s="205"/>
      <c r="JG61" s="205"/>
      <c r="JH61" s="205"/>
      <c r="JI61" s="204"/>
      <c r="JJ61" s="208">
        <f t="shared" si="213"/>
        <v>0</v>
      </c>
      <c r="JK61" s="203"/>
      <c r="JL61" s="205"/>
      <c r="JM61" s="205"/>
      <c r="JN61" s="205"/>
      <c r="JO61" s="204"/>
      <c r="JP61" s="208">
        <f t="shared" si="214"/>
        <v>0</v>
      </c>
      <c r="JQ61" s="203"/>
      <c r="JR61" s="205"/>
      <c r="JS61" s="205"/>
      <c r="JT61" s="205"/>
      <c r="JU61" s="204"/>
      <c r="JV61" s="208">
        <f t="shared" si="215"/>
        <v>0</v>
      </c>
      <c r="JW61" s="203"/>
      <c r="JX61" s="205"/>
      <c r="JY61" s="205"/>
      <c r="JZ61" s="205"/>
      <c r="KA61" s="205"/>
      <c r="KB61" s="204"/>
      <c r="KC61" s="208">
        <f t="shared" si="216"/>
        <v>0</v>
      </c>
      <c r="KD61" s="208">
        <f t="shared" si="217"/>
        <v>0</v>
      </c>
      <c r="KE61" s="203"/>
      <c r="KF61" s="205"/>
      <c r="KG61" s="205"/>
      <c r="KH61" s="205"/>
      <c r="KI61" s="204"/>
      <c r="KJ61" s="208">
        <f t="shared" si="218"/>
        <v>0</v>
      </c>
      <c r="KK61" s="203"/>
      <c r="KL61" s="205"/>
      <c r="KM61" s="205"/>
      <c r="KN61" s="205"/>
      <c r="KO61" s="204"/>
      <c r="KP61" s="208">
        <f t="shared" si="219"/>
        <v>0</v>
      </c>
      <c r="KQ61" s="203"/>
      <c r="KR61" s="205"/>
      <c r="KS61" s="205"/>
      <c r="KT61" s="205"/>
      <c r="KU61" s="204"/>
      <c r="KV61" s="208">
        <f t="shared" si="220"/>
        <v>0</v>
      </c>
      <c r="KW61" s="203"/>
      <c r="KX61" s="205"/>
      <c r="KY61" s="205"/>
      <c r="KZ61" s="205"/>
      <c r="LA61" s="204"/>
      <c r="LB61" s="208">
        <f t="shared" si="221"/>
        <v>0</v>
      </c>
      <c r="LC61" s="202"/>
      <c r="LD61" s="244"/>
      <c r="LE61" s="245"/>
      <c r="LF61" s="208">
        <f t="shared" si="222"/>
        <v>0</v>
      </c>
      <c r="LG61" s="208">
        <f t="shared" si="223"/>
        <v>0</v>
      </c>
    </row>
    <row r="62" spans="2:321" s="91" customFormat="1">
      <c r="B62" s="167" t="s">
        <v>117</v>
      </c>
      <c r="C62" s="167"/>
      <c r="D62" s="202">
        <f t="shared" si="163"/>
        <v>0</v>
      </c>
      <c r="E62" s="167"/>
      <c r="F62" s="177"/>
      <c r="G62" s="177"/>
      <c r="H62" s="177"/>
      <c r="I62" s="178"/>
      <c r="J62" s="202">
        <f t="shared" si="224"/>
        <v>0</v>
      </c>
      <c r="K62" s="167">
        <f>1130.391+1165.39</f>
        <v>2295.7809999999999</v>
      </c>
      <c r="L62" s="177"/>
      <c r="M62" s="177"/>
      <c r="N62" s="178"/>
      <c r="O62" s="202">
        <f t="shared" si="225"/>
        <v>2295.7809999999999</v>
      </c>
      <c r="P62" s="167"/>
      <c r="Q62" s="177"/>
      <c r="R62" s="177"/>
      <c r="S62" s="177"/>
      <c r="T62" s="178"/>
      <c r="U62" s="202">
        <f t="shared" si="173"/>
        <v>0</v>
      </c>
      <c r="V62" s="167">
        <v>3238.06</v>
      </c>
      <c r="W62" s="177"/>
      <c r="X62" s="177"/>
      <c r="Y62" s="177"/>
      <c r="Z62" s="177"/>
      <c r="AA62" s="208">
        <f t="shared" si="174"/>
        <v>3238.06</v>
      </c>
      <c r="AB62" s="208">
        <f t="shared" si="226"/>
        <v>5533.8410000000003</v>
      </c>
      <c r="AC62" s="203"/>
      <c r="AD62" s="205"/>
      <c r="AE62" s="205"/>
      <c r="AF62" s="205"/>
      <c r="AG62" s="204"/>
      <c r="AH62" s="208">
        <f t="shared" si="227"/>
        <v>0</v>
      </c>
      <c r="AI62" s="203"/>
      <c r="AJ62" s="205">
        <f>1165.39+1130.391</f>
        <v>2295.7809999999999</v>
      </c>
      <c r="AK62" s="205"/>
      <c r="AL62" s="205"/>
      <c r="AM62" s="204"/>
      <c r="AN62" s="208">
        <f t="shared" si="175"/>
        <v>2295.7809999999999</v>
      </c>
      <c r="AO62" s="203"/>
      <c r="AP62" s="205"/>
      <c r="AQ62" s="205"/>
      <c r="AR62" s="205"/>
      <c r="AS62" s="204"/>
      <c r="AT62" s="208">
        <f t="shared" si="176"/>
        <v>0</v>
      </c>
      <c r="AU62" s="203"/>
      <c r="AV62" s="205"/>
      <c r="AW62" s="205">
        <v>3238.06</v>
      </c>
      <c r="AX62" s="205"/>
      <c r="AY62" s="204"/>
      <c r="AZ62" s="208">
        <f t="shared" si="177"/>
        <v>3238.06</v>
      </c>
      <c r="BA62" s="208">
        <f t="shared" si="178"/>
        <v>5533.8410000000003</v>
      </c>
      <c r="BB62" s="203"/>
      <c r="BC62" s="205"/>
      <c r="BD62" s="205"/>
      <c r="BE62" s="205"/>
      <c r="BF62" s="204"/>
      <c r="BG62" s="208">
        <f t="shared" si="179"/>
        <v>0</v>
      </c>
      <c r="BH62" s="203"/>
      <c r="BI62" s="205">
        <f>1130.391+1165.39</f>
        <v>2295.7809999999999</v>
      </c>
      <c r="BJ62" s="205"/>
      <c r="BK62" s="205"/>
      <c r="BL62" s="204"/>
      <c r="BM62" s="208">
        <f t="shared" si="164"/>
        <v>2295.7809999999999</v>
      </c>
      <c r="BN62" s="203"/>
      <c r="BO62" s="205"/>
      <c r="BP62" s="205"/>
      <c r="BQ62" s="204"/>
      <c r="BR62" s="208">
        <f t="shared" si="180"/>
        <v>0</v>
      </c>
      <c r="BS62" s="203"/>
      <c r="BT62" s="205"/>
      <c r="BU62" s="205">
        <v>3238.06</v>
      </c>
      <c r="BV62" s="205"/>
      <c r="BW62" s="204"/>
      <c r="BX62" s="208">
        <f t="shared" si="181"/>
        <v>3238.06</v>
      </c>
      <c r="BY62" s="203"/>
      <c r="BZ62" s="205"/>
      <c r="CA62" s="208">
        <f t="shared" si="182"/>
        <v>0</v>
      </c>
      <c r="CB62" s="208">
        <f t="shared" si="183"/>
        <v>5533.8410000000003</v>
      </c>
      <c r="CC62" s="203"/>
      <c r="CD62" s="205"/>
      <c r="CE62" s="205"/>
      <c r="CF62" s="208">
        <f t="shared" si="228"/>
        <v>0</v>
      </c>
      <c r="CG62" s="203"/>
      <c r="CH62" s="205"/>
      <c r="CI62" s="205"/>
      <c r="CJ62" s="204">
        <f>1130.391+1165.39</f>
        <v>2295.7809999999999</v>
      </c>
      <c r="CK62" s="208">
        <f t="shared" si="184"/>
        <v>2295.7809999999999</v>
      </c>
      <c r="CL62" s="203"/>
      <c r="CM62" s="205"/>
      <c r="CN62" s="205"/>
      <c r="CO62" s="205"/>
      <c r="CP62" s="204"/>
      <c r="CQ62" s="208">
        <f t="shared" si="185"/>
        <v>0</v>
      </c>
      <c r="CR62" s="203"/>
      <c r="CS62" s="205"/>
      <c r="CT62" s="205"/>
      <c r="CU62" s="205"/>
      <c r="CV62" s="204"/>
      <c r="CW62" s="208">
        <f t="shared" si="186"/>
        <v>0</v>
      </c>
      <c r="CX62" s="203">
        <v>3238.06</v>
      </c>
      <c r="CY62" s="205"/>
      <c r="CZ62" s="205"/>
      <c r="DA62" s="204"/>
      <c r="DB62" s="208">
        <f t="shared" si="187"/>
        <v>3238.06</v>
      </c>
      <c r="DC62" s="208">
        <f t="shared" si="229"/>
        <v>5533.8410000000003</v>
      </c>
      <c r="DD62" s="203"/>
      <c r="DE62" s="205"/>
      <c r="DF62" s="205"/>
      <c r="DG62" s="205"/>
      <c r="DH62" s="205"/>
      <c r="DI62" s="208">
        <f t="shared" si="188"/>
        <v>0</v>
      </c>
      <c r="DJ62" s="203">
        <f>1165.39+1130.391</f>
        <v>2295.7809999999999</v>
      </c>
      <c r="DK62" s="205"/>
      <c r="DL62" s="205"/>
      <c r="DM62" s="205"/>
      <c r="DN62" s="204"/>
      <c r="DO62" s="208">
        <f t="shared" si="189"/>
        <v>2295.7809999999999</v>
      </c>
      <c r="DP62" s="203"/>
      <c r="DQ62" s="205"/>
      <c r="DR62" s="205"/>
      <c r="DS62" s="205"/>
      <c r="DT62" s="204"/>
      <c r="DU62" s="245">
        <f t="shared" si="190"/>
        <v>0</v>
      </c>
      <c r="DV62" s="203">
        <v>3238.06</v>
      </c>
      <c r="DW62" s="205"/>
      <c r="DX62" s="205"/>
      <c r="DY62" s="205">
        <v>878.86599999999999</v>
      </c>
      <c r="DZ62" s="204"/>
      <c r="EA62" s="208">
        <f t="shared" si="191"/>
        <v>4116.9259999999995</v>
      </c>
      <c r="EB62" s="208">
        <f t="shared" si="192"/>
        <v>6412.7069999999994</v>
      </c>
      <c r="EC62" s="203"/>
      <c r="ED62" s="205"/>
      <c r="EE62" s="205"/>
      <c r="EF62" s="205"/>
      <c r="EG62" s="204"/>
      <c r="EH62" s="208">
        <f t="shared" si="193"/>
        <v>0</v>
      </c>
      <c r="EI62" s="203"/>
      <c r="EJ62" s="205"/>
      <c r="EK62" s="205">
        <f>1130.391+1165.39</f>
        <v>2295.7809999999999</v>
      </c>
      <c r="EL62" s="205"/>
      <c r="EM62" s="204"/>
      <c r="EN62" s="208">
        <f t="shared" si="194"/>
        <v>2295.7809999999999</v>
      </c>
      <c r="EO62" s="203"/>
      <c r="EP62" s="205"/>
      <c r="EQ62" s="205"/>
      <c r="ER62" s="205"/>
      <c r="ES62" s="204"/>
      <c r="ET62" s="308">
        <f t="shared" si="195"/>
        <v>0</v>
      </c>
      <c r="EU62" s="203"/>
      <c r="EV62" s="205"/>
      <c r="EW62" s="205"/>
      <c r="EX62" s="205">
        <f>879.964+3238.06</f>
        <v>4118.0240000000003</v>
      </c>
      <c r="EY62" s="205"/>
      <c r="EZ62" s="205"/>
      <c r="FA62" s="204"/>
      <c r="FB62" s="208">
        <f t="shared" si="196"/>
        <v>4118.0240000000003</v>
      </c>
      <c r="FC62" s="208">
        <f t="shared" si="197"/>
        <v>6413.8050000000003</v>
      </c>
      <c r="FD62" s="203"/>
      <c r="FE62" s="205"/>
      <c r="FF62" s="204"/>
      <c r="FG62" s="208">
        <f t="shared" si="198"/>
        <v>0</v>
      </c>
      <c r="FH62" s="203"/>
      <c r="FI62" s="205"/>
      <c r="FJ62" s="205"/>
      <c r="FK62" s="205"/>
      <c r="FL62" s="204">
        <f>1130.391+1165.39</f>
        <v>2295.7809999999999</v>
      </c>
      <c r="FM62" s="208">
        <f t="shared" si="199"/>
        <v>2295.7809999999999</v>
      </c>
      <c r="FN62" s="203"/>
      <c r="FO62" s="205"/>
      <c r="FP62" s="205"/>
      <c r="FQ62" s="205"/>
      <c r="FR62" s="208">
        <f t="shared" si="165"/>
        <v>0</v>
      </c>
      <c r="FS62" s="203"/>
      <c r="FT62" s="205"/>
      <c r="FU62" s="205"/>
      <c r="FV62" s="205"/>
      <c r="FW62" s="204"/>
      <c r="FX62" s="208">
        <f t="shared" si="166"/>
        <v>0</v>
      </c>
      <c r="FY62" s="203">
        <f>3238.06+879.964</f>
        <v>4118.0240000000003</v>
      </c>
      <c r="FZ62" s="205"/>
      <c r="GA62" s="205"/>
      <c r="GB62" s="205"/>
      <c r="GC62" s="204"/>
      <c r="GD62" s="208">
        <f t="shared" si="167"/>
        <v>4118.0240000000003</v>
      </c>
      <c r="GE62" s="208">
        <f t="shared" si="168"/>
        <v>6413.8050000000003</v>
      </c>
      <c r="GF62" s="203"/>
      <c r="GG62" s="205"/>
      <c r="GH62" s="205"/>
      <c r="GI62" s="205"/>
      <c r="GJ62" s="205"/>
      <c r="GK62" s="208">
        <f t="shared" si="169"/>
        <v>0</v>
      </c>
      <c r="GL62" s="203">
        <f>1130.391+1165.39</f>
        <v>2295.7809999999999</v>
      </c>
      <c r="GM62" s="205"/>
      <c r="GN62" s="205"/>
      <c r="GO62" s="204"/>
      <c r="GP62" s="208">
        <f t="shared" si="170"/>
        <v>2295.7809999999999</v>
      </c>
      <c r="GQ62" s="203"/>
      <c r="GR62" s="205"/>
      <c r="GS62" s="205"/>
      <c r="GT62" s="205"/>
      <c r="GU62" s="204"/>
      <c r="GV62" s="208">
        <f t="shared" si="200"/>
        <v>0</v>
      </c>
      <c r="GW62" s="203"/>
      <c r="GX62" s="205">
        <f>3238.06+879.964</f>
        <v>4118.0240000000003</v>
      </c>
      <c r="GY62" s="205"/>
      <c r="GZ62" s="205"/>
      <c r="HA62" s="205"/>
      <c r="HB62" s="204"/>
      <c r="HC62" s="208">
        <f t="shared" si="201"/>
        <v>4118.0240000000003</v>
      </c>
      <c r="HD62" s="208">
        <f t="shared" si="202"/>
        <v>6413.8050000000003</v>
      </c>
      <c r="HE62" s="203"/>
      <c r="HF62" s="205"/>
      <c r="HG62" s="205"/>
      <c r="HH62" s="205"/>
      <c r="HI62" s="208">
        <f t="shared" si="203"/>
        <v>0</v>
      </c>
      <c r="HJ62" s="203"/>
      <c r="HK62" s="205"/>
      <c r="HL62" s="205"/>
      <c r="HM62" s="205">
        <f>1130.391+1165.39</f>
        <v>2295.7809999999999</v>
      </c>
      <c r="HN62" s="204"/>
      <c r="HO62" s="245">
        <f t="shared" si="204"/>
        <v>2295.7809999999999</v>
      </c>
      <c r="HP62" s="203"/>
      <c r="HQ62" s="205"/>
      <c r="HR62" s="205"/>
      <c r="HS62" s="205"/>
      <c r="HT62" s="204"/>
      <c r="HU62" s="208">
        <f t="shared" si="205"/>
        <v>0</v>
      </c>
      <c r="HV62" s="203"/>
      <c r="HW62" s="205"/>
      <c r="HX62" s="205"/>
      <c r="HY62" s="208">
        <f t="shared" si="171"/>
        <v>0</v>
      </c>
      <c r="HZ62" s="203">
        <f>879.964+3238.06</f>
        <v>4118.0240000000003</v>
      </c>
      <c r="IA62" s="205"/>
      <c r="IB62" s="204"/>
      <c r="IC62" s="208">
        <f t="shared" si="206"/>
        <v>4118.0240000000003</v>
      </c>
      <c r="ID62" s="208">
        <f t="shared" si="172"/>
        <v>6413.8050000000003</v>
      </c>
      <c r="IE62" s="203"/>
      <c r="IF62" s="204"/>
      <c r="IG62" s="208">
        <f t="shared" si="207"/>
        <v>0</v>
      </c>
      <c r="IH62" s="203"/>
      <c r="II62" s="205"/>
      <c r="IJ62" s="205"/>
      <c r="IK62" s="205"/>
      <c r="IL62" s="204"/>
      <c r="IM62" s="208">
        <f t="shared" si="208"/>
        <v>0</v>
      </c>
      <c r="IN62" s="203">
        <f>1165.39+1130.391</f>
        <v>2295.7809999999999</v>
      </c>
      <c r="IO62" s="205"/>
      <c r="IP62" s="204"/>
      <c r="IQ62" s="208">
        <f t="shared" si="209"/>
        <v>2295.7809999999999</v>
      </c>
      <c r="IR62" s="203"/>
      <c r="IS62" s="205"/>
      <c r="IT62" s="205"/>
      <c r="IU62" s="205"/>
      <c r="IV62" s="204"/>
      <c r="IW62" s="208">
        <f t="shared" si="210"/>
        <v>0</v>
      </c>
      <c r="IX62" s="203">
        <f>3238.06+879.964</f>
        <v>4118.0240000000003</v>
      </c>
      <c r="IY62" s="205"/>
      <c r="IZ62" s="205"/>
      <c r="JA62" s="205"/>
      <c r="JB62" s="204"/>
      <c r="JC62" s="208">
        <f t="shared" si="211"/>
        <v>4118.0240000000003</v>
      </c>
      <c r="JD62" s="208">
        <f t="shared" si="212"/>
        <v>6413.8050000000003</v>
      </c>
      <c r="JE62" s="203"/>
      <c r="JF62" s="205"/>
      <c r="JG62" s="205"/>
      <c r="JH62" s="205"/>
      <c r="JI62" s="204"/>
      <c r="JJ62" s="208">
        <f t="shared" si="213"/>
        <v>0</v>
      </c>
      <c r="JK62" s="203"/>
      <c r="JL62" s="205"/>
      <c r="JM62" s="205"/>
      <c r="JN62" s="205"/>
      <c r="JO62" s="204"/>
      <c r="JP62" s="208">
        <f t="shared" si="214"/>
        <v>0</v>
      </c>
      <c r="JQ62" s="203"/>
      <c r="JR62" s="205"/>
      <c r="JS62" s="205"/>
      <c r="JT62" s="205"/>
      <c r="JU62" s="204"/>
      <c r="JV62" s="208">
        <f t="shared" si="215"/>
        <v>0</v>
      </c>
      <c r="JW62" s="203"/>
      <c r="JX62" s="205"/>
      <c r="JY62" s="205"/>
      <c r="JZ62" s="205"/>
      <c r="KA62" s="205"/>
      <c r="KB62" s="204"/>
      <c r="KC62" s="208">
        <f t="shared" si="216"/>
        <v>0</v>
      </c>
      <c r="KD62" s="208">
        <v>6415</v>
      </c>
      <c r="KE62" s="203"/>
      <c r="KF62" s="205"/>
      <c r="KG62" s="205"/>
      <c r="KH62" s="205"/>
      <c r="KI62" s="204"/>
      <c r="KJ62" s="208">
        <f t="shared" si="218"/>
        <v>0</v>
      </c>
      <c r="KK62" s="203"/>
      <c r="KL62" s="205"/>
      <c r="KM62" s="205"/>
      <c r="KN62" s="205"/>
      <c r="KO62" s="204"/>
      <c r="KP62" s="208">
        <f t="shared" si="219"/>
        <v>0</v>
      </c>
      <c r="KQ62" s="203"/>
      <c r="KR62" s="205"/>
      <c r="KS62" s="205"/>
      <c r="KT62" s="205"/>
      <c r="KU62" s="204"/>
      <c r="KV62" s="208">
        <f t="shared" si="220"/>
        <v>0</v>
      </c>
      <c r="KW62" s="203"/>
      <c r="KX62" s="205"/>
      <c r="KY62" s="205"/>
      <c r="KZ62" s="205"/>
      <c r="LA62" s="204"/>
      <c r="LB62" s="208">
        <f t="shared" si="221"/>
        <v>0</v>
      </c>
      <c r="LC62" s="202"/>
      <c r="LD62" s="244"/>
      <c r="LE62" s="245"/>
      <c r="LF62" s="208">
        <f t="shared" si="222"/>
        <v>0</v>
      </c>
      <c r="LG62" s="208">
        <v>6415</v>
      </c>
    </row>
    <row r="63" spans="2:321" s="91" customFormat="1">
      <c r="B63" s="167" t="s">
        <v>80</v>
      </c>
      <c r="C63" s="167">
        <v>3873</v>
      </c>
      <c r="D63" s="202">
        <f t="shared" si="163"/>
        <v>3873</v>
      </c>
      <c r="E63" s="167">
        <v>5121.66</v>
      </c>
      <c r="F63" s="177">
        <v>5594.6440000000002</v>
      </c>
      <c r="G63" s="177">
        <f>3872.66+2192.353</f>
        <v>6065.0129999999999</v>
      </c>
      <c r="H63" s="177"/>
      <c r="I63" s="178"/>
      <c r="J63" s="202">
        <f t="shared" si="224"/>
        <v>16781.316999999999</v>
      </c>
      <c r="K63" s="167">
        <v>1000</v>
      </c>
      <c r="L63" s="177">
        <v>3301.6</v>
      </c>
      <c r="M63" s="177"/>
      <c r="N63" s="178"/>
      <c r="O63" s="202">
        <f t="shared" si="225"/>
        <v>4301.6000000000004</v>
      </c>
      <c r="P63" s="167">
        <f>4420.58+3859.57+3859.57+3955.688+3859.57+1929.985+4131.284</f>
        <v>26016.246999999999</v>
      </c>
      <c r="Q63" s="177"/>
      <c r="R63" s="177">
        <f>1974.806+3880.083+597.536</f>
        <v>6452.4250000000002</v>
      </c>
      <c r="S63" s="177">
        <v>106.26300000000001</v>
      </c>
      <c r="T63" s="178"/>
      <c r="U63" s="202">
        <f t="shared" si="173"/>
        <v>32574.934999999998</v>
      </c>
      <c r="V63" s="167">
        <v>5000</v>
      </c>
      <c r="W63" s="177"/>
      <c r="X63" s="177"/>
      <c r="Y63" s="177">
        <f>3862.008+4977.7</f>
        <v>8839.7079999999987</v>
      </c>
      <c r="Z63" s="177"/>
      <c r="AA63" s="208">
        <f t="shared" si="174"/>
        <v>13839.707999999999</v>
      </c>
      <c r="AB63" s="208">
        <f t="shared" si="226"/>
        <v>71370.559999999998</v>
      </c>
      <c r="AC63" s="203">
        <f>637.7+1176.54</f>
        <v>1814.24</v>
      </c>
      <c r="AD63" s="205"/>
      <c r="AE63" s="205"/>
      <c r="AF63" s="205"/>
      <c r="AG63" s="204">
        <f>3850.218+500</f>
        <v>4350.2179999999998</v>
      </c>
      <c r="AH63" s="208">
        <f t="shared" si="227"/>
        <v>6164.4579999999996</v>
      </c>
      <c r="AI63" s="203"/>
      <c r="AJ63" s="205">
        <f>3424.85+3712.01</f>
        <v>7136.8600000000006</v>
      </c>
      <c r="AK63" s="205">
        <v>2356.7240000000002</v>
      </c>
      <c r="AL63" s="205"/>
      <c r="AM63" s="204">
        <v>114.426</v>
      </c>
      <c r="AN63" s="208">
        <f t="shared" si="175"/>
        <v>9608.01</v>
      </c>
      <c r="AO63" s="203">
        <v>3367.65</v>
      </c>
      <c r="AP63" s="205">
        <f>1465.77</f>
        <v>1465.77</v>
      </c>
      <c r="AQ63" s="205"/>
      <c r="AR63" s="205">
        <v>3725.27</v>
      </c>
      <c r="AS63" s="204"/>
      <c r="AT63" s="208">
        <f t="shared" si="176"/>
        <v>8558.69</v>
      </c>
      <c r="AU63" s="203">
        <f>490.228+199.7+1849.88+377.7+1096.601</f>
        <v>4014.1089999999999</v>
      </c>
      <c r="AV63" s="205"/>
      <c r="AW63" s="205"/>
      <c r="AX63" s="205">
        <f>283.7+3849.528</f>
        <v>4133.2280000000001</v>
      </c>
      <c r="AY63" s="204"/>
      <c r="AZ63" s="208">
        <f t="shared" si="177"/>
        <v>8147.3369999999995</v>
      </c>
      <c r="BA63" s="208">
        <f t="shared" si="178"/>
        <v>32478.495000000003</v>
      </c>
      <c r="BB63" s="203">
        <f>3811.41+1314.22</f>
        <v>5125.63</v>
      </c>
      <c r="BC63" s="205"/>
      <c r="BD63" s="205"/>
      <c r="BE63" s="205"/>
      <c r="BF63" s="204"/>
      <c r="BG63" s="208">
        <f t="shared" si="179"/>
        <v>5125.63</v>
      </c>
      <c r="BH63" s="203">
        <f>591.13+2600</f>
        <v>3191.13</v>
      </c>
      <c r="BI63" s="205"/>
      <c r="BJ63" s="205">
        <v>3801.806</v>
      </c>
      <c r="BK63" s="205"/>
      <c r="BL63" s="204"/>
      <c r="BM63" s="208">
        <f t="shared" si="164"/>
        <v>6992.9359999999997</v>
      </c>
      <c r="BN63" s="203">
        <v>1083.74</v>
      </c>
      <c r="BO63" s="205">
        <f>48.644+692.5</f>
        <v>741.14400000000001</v>
      </c>
      <c r="BP63" s="205">
        <f>328.14+4101.54+351.264</f>
        <v>4780.9440000000004</v>
      </c>
      <c r="BQ63" s="204"/>
      <c r="BR63" s="208">
        <f t="shared" si="180"/>
        <v>6605.8280000000004</v>
      </c>
      <c r="BS63" s="203"/>
      <c r="BT63" s="205">
        <v>3270.1350000000002</v>
      </c>
      <c r="BU63" s="205">
        <v>127.822</v>
      </c>
      <c r="BV63" s="205">
        <v>650.1</v>
      </c>
      <c r="BW63" s="204"/>
      <c r="BX63" s="208">
        <f t="shared" si="181"/>
        <v>4048.0570000000002</v>
      </c>
      <c r="BY63" s="203"/>
      <c r="BZ63" s="205">
        <f>836.272+3657.912</f>
        <v>4494.1840000000002</v>
      </c>
      <c r="CA63" s="208">
        <f t="shared" si="182"/>
        <v>4494.1840000000002</v>
      </c>
      <c r="CB63" s="208">
        <f t="shared" si="183"/>
        <v>27266.634999999998</v>
      </c>
      <c r="CC63" s="203">
        <v>3832.86</v>
      </c>
      <c r="CD63" s="205">
        <v>324.77300000000002</v>
      </c>
      <c r="CE63" s="205"/>
      <c r="CF63" s="208">
        <f t="shared" si="228"/>
        <v>4157.6329999999998</v>
      </c>
      <c r="CG63" s="203">
        <v>885.25599999999997</v>
      </c>
      <c r="CH63" s="205"/>
      <c r="CI63" s="205"/>
      <c r="CJ63" s="204">
        <v>3200.2660000000001</v>
      </c>
      <c r="CK63" s="208">
        <f t="shared" si="184"/>
        <v>4085.5219999999999</v>
      </c>
      <c r="CL63" s="203">
        <v>3574.65</v>
      </c>
      <c r="CM63" s="205"/>
      <c r="CN63" s="205"/>
      <c r="CO63" s="205"/>
      <c r="CP63" s="204">
        <v>3856.9050000000002</v>
      </c>
      <c r="CQ63" s="208">
        <f t="shared" si="185"/>
        <v>7431.5550000000003</v>
      </c>
      <c r="CR63" s="203">
        <v>3689.6280000000002</v>
      </c>
      <c r="CS63" s="205"/>
      <c r="CT63" s="205"/>
      <c r="CU63" s="205">
        <f>3680.92+6287.243</f>
        <v>9968.1630000000005</v>
      </c>
      <c r="CV63" s="204"/>
      <c r="CW63" s="208">
        <f t="shared" si="186"/>
        <v>13657.791000000001</v>
      </c>
      <c r="CX63" s="203">
        <f>610.94+610.94+3316.89+199.7</f>
        <v>4738.47</v>
      </c>
      <c r="CY63" s="205">
        <f>48.644+4098.88</f>
        <v>4147.5240000000003</v>
      </c>
      <c r="CZ63" s="205"/>
      <c r="DA63" s="204">
        <v>48.643999999999998</v>
      </c>
      <c r="DB63" s="208">
        <f t="shared" si="187"/>
        <v>8934.6380000000008</v>
      </c>
      <c r="DC63" s="208">
        <f t="shared" si="229"/>
        <v>38267.139000000003</v>
      </c>
      <c r="DD63" s="203"/>
      <c r="DE63" s="205"/>
      <c r="DF63" s="205">
        <v>4323.6570000000002</v>
      </c>
      <c r="DG63" s="205">
        <v>2484.9899999999998</v>
      </c>
      <c r="DH63" s="205"/>
      <c r="DI63" s="208">
        <f t="shared" si="188"/>
        <v>6808.6469999999999</v>
      </c>
      <c r="DJ63" s="203"/>
      <c r="DK63" s="205"/>
      <c r="DL63" s="205"/>
      <c r="DM63" s="205"/>
      <c r="DN63" s="204"/>
      <c r="DO63" s="208">
        <f t="shared" si="189"/>
        <v>0</v>
      </c>
      <c r="DP63" s="203"/>
      <c r="DQ63" s="205">
        <v>407.185</v>
      </c>
      <c r="DR63" s="205"/>
      <c r="DS63" s="205">
        <f>1571.4+6381.576</f>
        <v>7952.9760000000006</v>
      </c>
      <c r="DT63" s="204">
        <v>1746.31</v>
      </c>
      <c r="DU63" s="245">
        <f t="shared" si="190"/>
        <v>10106.471</v>
      </c>
      <c r="DV63" s="203">
        <f>1000+1541.231</f>
        <v>2541.2309999999998</v>
      </c>
      <c r="DW63" s="205"/>
      <c r="DX63" s="205">
        <v>3847.9470000000001</v>
      </c>
      <c r="DY63" s="205"/>
      <c r="DZ63" s="204"/>
      <c r="EA63" s="208">
        <f t="shared" si="191"/>
        <v>6389.1779999999999</v>
      </c>
      <c r="EB63" s="208">
        <f t="shared" si="192"/>
        <v>23304.295999999998</v>
      </c>
      <c r="EC63" s="203"/>
      <c r="ED63" s="205">
        <f>4788.28+216.2</f>
        <v>5004.4799999999996</v>
      </c>
      <c r="EE63" s="205">
        <v>1188.4000000000001</v>
      </c>
      <c r="EF63" s="205"/>
      <c r="EG63" s="204">
        <v>1954.93</v>
      </c>
      <c r="EH63" s="208">
        <f t="shared" si="193"/>
        <v>8147.8099999999995</v>
      </c>
      <c r="EI63" s="203"/>
      <c r="EJ63" s="205">
        <f>4064.36+3574.4</f>
        <v>7638.76</v>
      </c>
      <c r="EK63" s="205"/>
      <c r="EL63" s="205"/>
      <c r="EM63" s="204"/>
      <c r="EN63" s="208">
        <f t="shared" si="194"/>
        <v>7638.76</v>
      </c>
      <c r="EO63" s="203">
        <f>2113.147+2000</f>
        <v>4113.1469999999999</v>
      </c>
      <c r="EP63" s="205"/>
      <c r="EQ63" s="205">
        <v>3633.57</v>
      </c>
      <c r="ER63" s="205"/>
      <c r="ES63" s="204">
        <f>4100.318+33.245</f>
        <v>4133.5630000000001</v>
      </c>
      <c r="ET63" s="308">
        <f t="shared" si="195"/>
        <v>11880.28</v>
      </c>
      <c r="EU63" s="203"/>
      <c r="EV63" s="205"/>
      <c r="EW63" s="205"/>
      <c r="EX63" s="205">
        <v>2000</v>
      </c>
      <c r="EY63" s="205"/>
      <c r="EZ63" s="205">
        <v>6252.9279999999999</v>
      </c>
      <c r="FA63" s="204"/>
      <c r="FB63" s="208">
        <f t="shared" si="196"/>
        <v>8252.9279999999999</v>
      </c>
      <c r="FC63" s="208">
        <f t="shared" si="197"/>
        <v>35919.777999999998</v>
      </c>
      <c r="FD63" s="203"/>
      <c r="FE63" s="205"/>
      <c r="FF63" s="204"/>
      <c r="FG63" s="208">
        <f t="shared" si="198"/>
        <v>0</v>
      </c>
      <c r="FH63" s="203">
        <v>2163.1590000000001</v>
      </c>
      <c r="FI63" s="205">
        <v>278.73899999999998</v>
      </c>
      <c r="FJ63" s="205">
        <v>4047.9740000000002</v>
      </c>
      <c r="FK63" s="205"/>
      <c r="FL63" s="204">
        <v>2106.2339999999999</v>
      </c>
      <c r="FM63" s="208">
        <f t="shared" si="199"/>
        <v>8596.1059999999998</v>
      </c>
      <c r="FN63" s="203"/>
      <c r="FO63" s="205"/>
      <c r="FP63" s="205">
        <v>3767.8359999999998</v>
      </c>
      <c r="FQ63" s="205"/>
      <c r="FR63" s="208">
        <f t="shared" si="165"/>
        <v>3767.8359999999998</v>
      </c>
      <c r="FS63" s="203">
        <v>3969.2840000000001</v>
      </c>
      <c r="FT63" s="205"/>
      <c r="FU63" s="205"/>
      <c r="FV63" s="205"/>
      <c r="FW63" s="204"/>
      <c r="FX63" s="208">
        <f t="shared" si="166"/>
        <v>3969.2840000000001</v>
      </c>
      <c r="FY63" s="203"/>
      <c r="FZ63" s="205"/>
      <c r="GA63" s="205"/>
      <c r="GB63" s="205"/>
      <c r="GC63" s="204">
        <f>8285.324+220.334</f>
        <v>8505.6580000000013</v>
      </c>
      <c r="GD63" s="208">
        <f t="shared" si="167"/>
        <v>8505.6580000000013</v>
      </c>
      <c r="GE63" s="208">
        <f t="shared" si="168"/>
        <v>24838.883999999998</v>
      </c>
      <c r="GF63" s="203">
        <v>5323.9</v>
      </c>
      <c r="GG63" s="205">
        <f>285.47+3852.87</f>
        <v>4138.34</v>
      </c>
      <c r="GH63" s="205">
        <v>3694.94</v>
      </c>
      <c r="GI63" s="205">
        <f>3796.148+4018.272+6550.24</f>
        <v>14364.66</v>
      </c>
      <c r="GJ63" s="205">
        <f>1376.474+11352.345</f>
        <v>12728.819</v>
      </c>
      <c r="GK63" s="208">
        <f t="shared" si="169"/>
        <v>40250.659</v>
      </c>
      <c r="GL63" s="203"/>
      <c r="GM63" s="205"/>
      <c r="GN63" s="205">
        <f>6452.105+4499.26+1864.9</f>
        <v>12816.264999999999</v>
      </c>
      <c r="GO63" s="204"/>
      <c r="GP63" s="208">
        <f t="shared" si="170"/>
        <v>12816.264999999999</v>
      </c>
      <c r="GQ63" s="203">
        <v>3894.7959999999998</v>
      </c>
      <c r="GR63" s="205"/>
      <c r="GS63" s="205">
        <v>685.5</v>
      </c>
      <c r="GT63" s="205">
        <f>6580.13+3703.7</f>
        <v>10283.83</v>
      </c>
      <c r="GU63" s="204"/>
      <c r="GV63" s="208">
        <f t="shared" si="200"/>
        <v>14864.126</v>
      </c>
      <c r="GW63" s="203"/>
      <c r="GX63" s="205"/>
      <c r="GY63" s="205">
        <f>2009.804+562.09</f>
        <v>2571.8940000000002</v>
      </c>
      <c r="GZ63" s="205">
        <f>23367.577+419.428</f>
        <v>23787.005000000001</v>
      </c>
      <c r="HA63" s="205"/>
      <c r="HB63" s="204"/>
      <c r="HC63" s="208">
        <f t="shared" si="201"/>
        <v>26358.899000000001</v>
      </c>
      <c r="HD63" s="208">
        <f t="shared" si="202"/>
        <v>94289.949000000008</v>
      </c>
      <c r="HE63" s="203">
        <v>138.9</v>
      </c>
      <c r="HF63" s="205"/>
      <c r="HG63" s="205"/>
      <c r="HH63" s="205"/>
      <c r="HI63" s="208">
        <f t="shared" si="203"/>
        <v>138.9</v>
      </c>
      <c r="HJ63" s="203">
        <f>3694.94+402.305</f>
        <v>4097.2449999999999</v>
      </c>
      <c r="HK63" s="205">
        <f>360.518+259.812</f>
        <v>620.32999999999993</v>
      </c>
      <c r="HL63" s="205">
        <v>480.17</v>
      </c>
      <c r="HM63" s="205">
        <v>2259.6889999999999</v>
      </c>
      <c r="HN63" s="204">
        <f>2560.41+1837.336+6275.838</f>
        <v>10673.583999999999</v>
      </c>
      <c r="HO63" s="245">
        <f t="shared" si="204"/>
        <v>18131.017999999996</v>
      </c>
      <c r="HP63" s="203">
        <v>95.164000000000001</v>
      </c>
      <c r="HQ63" s="205">
        <v>70.384</v>
      </c>
      <c r="HR63" s="205"/>
      <c r="HS63" s="205"/>
      <c r="HT63" s="204"/>
      <c r="HU63" s="208">
        <f t="shared" si="205"/>
        <v>165.548</v>
      </c>
      <c r="HV63" s="203"/>
      <c r="HW63" s="205"/>
      <c r="HX63" s="205"/>
      <c r="HY63" s="208">
        <f t="shared" si="171"/>
        <v>0</v>
      </c>
      <c r="HZ63" s="203"/>
      <c r="IA63" s="205"/>
      <c r="IB63" s="204">
        <f>4158.22+961.02+3764.3+4163.73</f>
        <v>13047.27</v>
      </c>
      <c r="IC63" s="208">
        <f t="shared" si="206"/>
        <v>13047.27</v>
      </c>
      <c r="ID63" s="208">
        <f t="shared" si="172"/>
        <v>31482.735999999997</v>
      </c>
      <c r="IE63" s="203"/>
      <c r="IF63" s="204">
        <v>5700</v>
      </c>
      <c r="IG63" s="208">
        <f t="shared" si="207"/>
        <v>5700</v>
      </c>
      <c r="IH63" s="203">
        <f>1829.264+3694.94+4979.379+3355.398+1087.1</f>
        <v>14946.081</v>
      </c>
      <c r="II63" s="205">
        <f>1945.514+109.16</f>
        <v>2054.674</v>
      </c>
      <c r="IJ63" s="205">
        <f>3853.108+5318.462</f>
        <v>9171.57</v>
      </c>
      <c r="IK63" s="205"/>
      <c r="IL63" s="204">
        <v>2024.425</v>
      </c>
      <c r="IM63" s="208">
        <f t="shared" si="208"/>
        <v>28196.75</v>
      </c>
      <c r="IN63" s="203">
        <f>278.272</f>
        <v>278.27199999999999</v>
      </c>
      <c r="IO63" s="205"/>
      <c r="IP63" s="204"/>
      <c r="IQ63" s="208">
        <f t="shared" si="209"/>
        <v>278.27199999999999</v>
      </c>
      <c r="IR63" s="203"/>
      <c r="IS63" s="205"/>
      <c r="IT63" s="205"/>
      <c r="IU63" s="205">
        <f>105.638+37.67+37.67</f>
        <v>180.97800000000001</v>
      </c>
      <c r="IV63" s="204">
        <f>30.118+30.118+126.17</f>
        <v>186.40600000000001</v>
      </c>
      <c r="IW63" s="208">
        <f t="shared" si="210"/>
        <v>367.38400000000001</v>
      </c>
      <c r="IX63" s="203">
        <v>4070.9720000000002</v>
      </c>
      <c r="IY63" s="205"/>
      <c r="IZ63" s="205"/>
      <c r="JA63" s="205"/>
      <c r="JB63" s="204"/>
      <c r="JC63" s="208">
        <f t="shared" si="211"/>
        <v>4070.9720000000002</v>
      </c>
      <c r="JD63" s="208">
        <f t="shared" si="212"/>
        <v>38613.377999999997</v>
      </c>
      <c r="JE63" s="203">
        <f>3694.94+2560.41</f>
        <v>6255.35</v>
      </c>
      <c r="JF63" s="205"/>
      <c r="JG63" s="205">
        <f>618.61+618.61</f>
        <v>1237.22</v>
      </c>
      <c r="JH63" s="205"/>
      <c r="JI63" s="204">
        <f>9280.901+90.652+90.652</f>
        <v>9462.2049999999999</v>
      </c>
      <c r="JJ63" s="208">
        <f t="shared" si="213"/>
        <v>16954.775000000001</v>
      </c>
      <c r="JK63" s="203"/>
      <c r="JL63" s="205"/>
      <c r="JM63" s="205"/>
      <c r="JN63" s="205"/>
      <c r="JO63" s="204"/>
      <c r="JP63" s="208">
        <f t="shared" si="214"/>
        <v>0</v>
      </c>
      <c r="JQ63" s="203"/>
      <c r="JR63" s="205"/>
      <c r="JS63" s="205"/>
      <c r="JT63" s="205"/>
      <c r="JU63" s="204"/>
      <c r="JV63" s="208">
        <f t="shared" si="215"/>
        <v>0</v>
      </c>
      <c r="JW63" s="203"/>
      <c r="JX63" s="205"/>
      <c r="JY63" s="205"/>
      <c r="JZ63" s="205"/>
      <c r="KA63" s="205"/>
      <c r="KB63" s="204"/>
      <c r="KC63" s="208">
        <f t="shared" si="216"/>
        <v>0</v>
      </c>
      <c r="KD63" s="208">
        <f t="shared" si="217"/>
        <v>16954.775000000001</v>
      </c>
      <c r="KE63" s="203"/>
      <c r="KF63" s="205"/>
      <c r="KG63" s="205"/>
      <c r="KH63" s="205"/>
      <c r="KI63" s="204"/>
      <c r="KJ63" s="208">
        <f t="shared" si="218"/>
        <v>0</v>
      </c>
      <c r="KK63" s="203"/>
      <c r="KL63" s="205"/>
      <c r="KM63" s="205"/>
      <c r="KN63" s="205"/>
      <c r="KO63" s="204"/>
      <c r="KP63" s="208">
        <f t="shared" si="219"/>
        <v>0</v>
      </c>
      <c r="KQ63" s="203"/>
      <c r="KR63" s="205"/>
      <c r="KS63" s="205"/>
      <c r="KT63" s="205"/>
      <c r="KU63" s="204"/>
      <c r="KV63" s="208">
        <f t="shared" si="220"/>
        <v>0</v>
      </c>
      <c r="KW63" s="203"/>
      <c r="KX63" s="205"/>
      <c r="KY63" s="205"/>
      <c r="KZ63" s="205"/>
      <c r="LA63" s="204"/>
      <c r="LB63" s="208">
        <f t="shared" si="221"/>
        <v>0</v>
      </c>
      <c r="LC63" s="202"/>
      <c r="LD63" s="244"/>
      <c r="LE63" s="245"/>
      <c r="LF63" s="208">
        <f t="shared" si="222"/>
        <v>0</v>
      </c>
      <c r="LG63" s="208">
        <f t="shared" si="223"/>
        <v>0</v>
      </c>
    </row>
    <row r="64" spans="2:321" s="91" customFormat="1">
      <c r="B64" s="167" t="s">
        <v>81</v>
      </c>
      <c r="C64" s="167"/>
      <c r="D64" s="202">
        <f t="shared" si="163"/>
        <v>0</v>
      </c>
      <c r="E64" s="167"/>
      <c r="F64" s="177"/>
      <c r="G64" s="177"/>
      <c r="H64" s="177"/>
      <c r="I64" s="178"/>
      <c r="J64" s="202">
        <f t="shared" si="224"/>
        <v>0</v>
      </c>
      <c r="K64" s="167"/>
      <c r="L64" s="177"/>
      <c r="M64" s="177"/>
      <c r="N64" s="178"/>
      <c r="O64" s="202">
        <f t="shared" ref="O64:O83" si="230">SUM(K64:N64)</f>
        <v>0</v>
      </c>
      <c r="P64" s="167"/>
      <c r="Q64" s="177"/>
      <c r="R64" s="177"/>
      <c r="S64" s="177">
        <v>1188.5</v>
      </c>
      <c r="T64" s="178"/>
      <c r="U64" s="202">
        <f t="shared" si="173"/>
        <v>1188.5</v>
      </c>
      <c r="V64" s="167"/>
      <c r="W64" s="177"/>
      <c r="X64" s="177"/>
      <c r="Y64" s="177"/>
      <c r="Z64" s="177"/>
      <c r="AA64" s="208">
        <f t="shared" si="174"/>
        <v>0</v>
      </c>
      <c r="AB64" s="208">
        <f t="shared" si="226"/>
        <v>1188.5</v>
      </c>
      <c r="AC64" s="203"/>
      <c r="AD64" s="205"/>
      <c r="AE64" s="205"/>
      <c r="AF64" s="205"/>
      <c r="AG64" s="204"/>
      <c r="AH64" s="208">
        <f t="shared" si="227"/>
        <v>0</v>
      </c>
      <c r="AI64" s="203">
        <v>1188.5</v>
      </c>
      <c r="AJ64" s="205"/>
      <c r="AK64" s="205"/>
      <c r="AL64" s="205"/>
      <c r="AM64" s="204"/>
      <c r="AN64" s="208">
        <f t="shared" si="175"/>
        <v>1188.5</v>
      </c>
      <c r="AO64" s="203"/>
      <c r="AP64" s="205"/>
      <c r="AQ64" s="205"/>
      <c r="AR64" s="205"/>
      <c r="AS64" s="204"/>
      <c r="AT64" s="208">
        <f t="shared" si="176"/>
        <v>0</v>
      </c>
      <c r="AU64" s="203"/>
      <c r="AV64" s="205"/>
      <c r="AW64" s="205">
        <v>1188.5</v>
      </c>
      <c r="AX64" s="205"/>
      <c r="AY64" s="204"/>
      <c r="AZ64" s="208">
        <f t="shared" si="177"/>
        <v>1188.5</v>
      </c>
      <c r="BA64" s="208">
        <f t="shared" si="178"/>
        <v>2377</v>
      </c>
      <c r="BB64" s="203">
        <v>1188.5</v>
      </c>
      <c r="BC64" s="205"/>
      <c r="BD64" s="205"/>
      <c r="BE64" s="205"/>
      <c r="BF64" s="204"/>
      <c r="BG64" s="208">
        <f t="shared" si="179"/>
        <v>1188.5</v>
      </c>
      <c r="BH64" s="203"/>
      <c r="BI64" s="205"/>
      <c r="BJ64" s="205"/>
      <c r="BK64" s="205">
        <v>1188.5</v>
      </c>
      <c r="BL64" s="204"/>
      <c r="BM64" s="208">
        <f t="shared" si="164"/>
        <v>1188.5</v>
      </c>
      <c r="BN64" s="203"/>
      <c r="BO64" s="205"/>
      <c r="BP64" s="205"/>
      <c r="BQ64" s="204"/>
      <c r="BR64" s="208">
        <f t="shared" si="180"/>
        <v>0</v>
      </c>
      <c r="BS64" s="203"/>
      <c r="BT64" s="205"/>
      <c r="BU64" s="205"/>
      <c r="BV64" s="205"/>
      <c r="BW64" s="204"/>
      <c r="BX64" s="208">
        <f t="shared" si="181"/>
        <v>0</v>
      </c>
      <c r="BY64" s="203"/>
      <c r="BZ64" s="205">
        <v>1188.5</v>
      </c>
      <c r="CA64" s="208">
        <f t="shared" si="182"/>
        <v>1188.5</v>
      </c>
      <c r="CB64" s="208">
        <f t="shared" si="183"/>
        <v>3565.5</v>
      </c>
      <c r="CC64" s="203"/>
      <c r="CD64" s="205"/>
      <c r="CE64" s="205"/>
      <c r="CF64" s="208">
        <f t="shared" si="228"/>
        <v>0</v>
      </c>
      <c r="CG64" s="203"/>
      <c r="CH64" s="205"/>
      <c r="CI64" s="205"/>
      <c r="CJ64" s="204"/>
      <c r="CK64" s="208">
        <f t="shared" si="184"/>
        <v>0</v>
      </c>
      <c r="CL64" s="203"/>
      <c r="CM64" s="205"/>
      <c r="CN64" s="205"/>
      <c r="CO64" s="205"/>
      <c r="CP64" s="204">
        <v>1188.5</v>
      </c>
      <c r="CQ64" s="208">
        <f t="shared" si="185"/>
        <v>1188.5</v>
      </c>
      <c r="CR64" s="203"/>
      <c r="CS64" s="205"/>
      <c r="CT64" s="205"/>
      <c r="CU64" s="205"/>
      <c r="CV64" s="204"/>
      <c r="CW64" s="208">
        <f t="shared" si="186"/>
        <v>0</v>
      </c>
      <c r="CX64" s="203"/>
      <c r="CY64" s="205"/>
      <c r="CZ64" s="205"/>
      <c r="DA64" s="204"/>
      <c r="DB64" s="208">
        <f t="shared" si="187"/>
        <v>0</v>
      </c>
      <c r="DC64" s="208">
        <f t="shared" si="229"/>
        <v>1188.5</v>
      </c>
      <c r="DD64" s="203"/>
      <c r="DE64" s="205"/>
      <c r="DF64" s="205"/>
      <c r="DG64" s="205">
        <v>2376.5</v>
      </c>
      <c r="DH64" s="205"/>
      <c r="DI64" s="208">
        <f t="shared" si="188"/>
        <v>2376.5</v>
      </c>
      <c r="DJ64" s="203"/>
      <c r="DK64" s="205"/>
      <c r="DL64" s="205"/>
      <c r="DM64" s="205"/>
      <c r="DN64" s="204"/>
      <c r="DO64" s="208">
        <f t="shared" si="189"/>
        <v>0</v>
      </c>
      <c r="DP64" s="203"/>
      <c r="DQ64" s="205"/>
      <c r="DR64" s="205"/>
      <c r="DS64" s="205"/>
      <c r="DT64" s="204"/>
      <c r="DU64" s="245">
        <f t="shared" si="190"/>
        <v>0</v>
      </c>
      <c r="DV64" s="203"/>
      <c r="DW64" s="205"/>
      <c r="DX64" s="205"/>
      <c r="DY64" s="205"/>
      <c r="DZ64" s="204"/>
      <c r="EA64" s="208">
        <f t="shared" si="191"/>
        <v>0</v>
      </c>
      <c r="EB64" s="208">
        <f t="shared" si="192"/>
        <v>2376.5</v>
      </c>
      <c r="EC64" s="203"/>
      <c r="ED64" s="205">
        <v>1188.5</v>
      </c>
      <c r="EE64" s="205"/>
      <c r="EF64" s="205"/>
      <c r="EG64" s="204"/>
      <c r="EH64" s="208">
        <f t="shared" si="193"/>
        <v>1188.5</v>
      </c>
      <c r="EI64" s="203"/>
      <c r="EJ64" s="205">
        <v>1188.5</v>
      </c>
      <c r="EK64" s="205"/>
      <c r="EL64" s="205"/>
      <c r="EM64" s="204"/>
      <c r="EN64" s="208">
        <f t="shared" si="194"/>
        <v>1188.5</v>
      </c>
      <c r="EO64" s="203"/>
      <c r="EP64" s="205"/>
      <c r="EQ64" s="205"/>
      <c r="ER64" s="205"/>
      <c r="ES64" s="204"/>
      <c r="ET64" s="308">
        <f t="shared" si="195"/>
        <v>0</v>
      </c>
      <c r="EU64" s="203"/>
      <c r="EV64" s="205"/>
      <c r="EW64" s="205"/>
      <c r="EX64" s="205"/>
      <c r="EY64" s="205"/>
      <c r="EZ64" s="205"/>
      <c r="FA64" s="204"/>
      <c r="FB64" s="208">
        <f t="shared" si="196"/>
        <v>0</v>
      </c>
      <c r="FC64" s="208">
        <f t="shared" si="197"/>
        <v>2377</v>
      </c>
      <c r="FD64" s="203"/>
      <c r="FE64" s="205"/>
      <c r="FF64" s="204"/>
      <c r="FG64" s="208">
        <f t="shared" si="198"/>
        <v>0</v>
      </c>
      <c r="FH64" s="203"/>
      <c r="FI64" s="205"/>
      <c r="FJ64" s="205"/>
      <c r="FK64" s="205"/>
      <c r="FL64" s="204"/>
      <c r="FM64" s="208">
        <f t="shared" si="199"/>
        <v>0</v>
      </c>
      <c r="FN64" s="203"/>
      <c r="FO64" s="205"/>
      <c r="FP64" s="205">
        <v>2376.5</v>
      </c>
      <c r="FQ64" s="205"/>
      <c r="FR64" s="208">
        <f t="shared" si="165"/>
        <v>2376.5</v>
      </c>
      <c r="FS64" s="203"/>
      <c r="FT64" s="205"/>
      <c r="FU64" s="205"/>
      <c r="FV64" s="205"/>
      <c r="FW64" s="204"/>
      <c r="FX64" s="208">
        <f t="shared" si="166"/>
        <v>0</v>
      </c>
      <c r="FY64" s="203"/>
      <c r="FZ64" s="205"/>
      <c r="GA64" s="205"/>
      <c r="GB64" s="205"/>
      <c r="GC64" s="204"/>
      <c r="GD64" s="208">
        <f t="shared" si="167"/>
        <v>0</v>
      </c>
      <c r="GE64" s="208">
        <f t="shared" si="168"/>
        <v>2376.5</v>
      </c>
      <c r="GF64" s="203"/>
      <c r="GG64" s="205"/>
      <c r="GH64" s="205"/>
      <c r="GI64" s="205"/>
      <c r="GJ64" s="205"/>
      <c r="GK64" s="208">
        <f t="shared" si="169"/>
        <v>0</v>
      </c>
      <c r="GL64" s="203"/>
      <c r="GM64" s="205"/>
      <c r="GN64" s="205"/>
      <c r="GO64" s="204"/>
      <c r="GP64" s="208">
        <f t="shared" si="170"/>
        <v>0</v>
      </c>
      <c r="GQ64" s="203">
        <v>2376.5</v>
      </c>
      <c r="GR64" s="205"/>
      <c r="GS64" s="205"/>
      <c r="GT64" s="205"/>
      <c r="GU64" s="204"/>
      <c r="GV64" s="208">
        <f t="shared" si="200"/>
        <v>2376.5</v>
      </c>
      <c r="GW64" s="203"/>
      <c r="GX64" s="205"/>
      <c r="GY64" s="205"/>
      <c r="GZ64" s="205"/>
      <c r="HA64" s="205"/>
      <c r="HB64" s="204"/>
      <c r="HC64" s="208">
        <f t="shared" si="201"/>
        <v>0</v>
      </c>
      <c r="HD64" s="208">
        <f t="shared" si="202"/>
        <v>2376.5</v>
      </c>
      <c r="HE64" s="203"/>
      <c r="HF64" s="205"/>
      <c r="HG64" s="205"/>
      <c r="HH64" s="205"/>
      <c r="HI64" s="208">
        <f t="shared" si="203"/>
        <v>0</v>
      </c>
      <c r="HJ64" s="203">
        <v>1188.5</v>
      </c>
      <c r="HK64" s="205"/>
      <c r="HL64" s="205"/>
      <c r="HM64" s="205"/>
      <c r="HN64" s="204"/>
      <c r="HO64" s="245">
        <f t="shared" si="204"/>
        <v>1188.5</v>
      </c>
      <c r="HP64" s="203"/>
      <c r="HQ64" s="205"/>
      <c r="HR64" s="205"/>
      <c r="HS64" s="205"/>
      <c r="HT64" s="204"/>
      <c r="HU64" s="208">
        <f t="shared" si="205"/>
        <v>0</v>
      </c>
      <c r="HV64" s="203"/>
      <c r="HW64" s="205"/>
      <c r="HX64" s="205"/>
      <c r="HY64" s="208">
        <f t="shared" si="171"/>
        <v>0</v>
      </c>
      <c r="HZ64" s="203"/>
      <c r="IA64" s="205"/>
      <c r="IB64" s="204"/>
      <c r="IC64" s="208">
        <f t="shared" si="206"/>
        <v>0</v>
      </c>
      <c r="ID64" s="208">
        <f t="shared" si="172"/>
        <v>1188.5</v>
      </c>
      <c r="IE64" s="203"/>
      <c r="IF64" s="204"/>
      <c r="IG64" s="208">
        <f t="shared" si="207"/>
        <v>0</v>
      </c>
      <c r="IH64" s="203"/>
      <c r="II64" s="205"/>
      <c r="IJ64" s="205"/>
      <c r="IK64" s="205"/>
      <c r="IL64" s="204"/>
      <c r="IM64" s="208">
        <f t="shared" si="208"/>
        <v>0</v>
      </c>
      <c r="IN64" s="203">
        <v>2376.5</v>
      </c>
      <c r="IO64" s="205"/>
      <c r="IP64" s="204"/>
      <c r="IQ64" s="208">
        <f t="shared" si="209"/>
        <v>2376.5</v>
      </c>
      <c r="IR64" s="203"/>
      <c r="IS64" s="205"/>
      <c r="IT64" s="205"/>
      <c r="IU64" s="205"/>
      <c r="IV64" s="204"/>
      <c r="IW64" s="208">
        <f t="shared" si="210"/>
        <v>0</v>
      </c>
      <c r="IX64" s="203"/>
      <c r="IY64" s="205"/>
      <c r="IZ64" s="205"/>
      <c r="JA64" s="205"/>
      <c r="JB64" s="204"/>
      <c r="JC64" s="208">
        <f t="shared" si="211"/>
        <v>0</v>
      </c>
      <c r="JD64" s="208">
        <f t="shared" si="212"/>
        <v>2376.5</v>
      </c>
      <c r="JE64" s="203"/>
      <c r="JF64" s="205"/>
      <c r="JG64" s="205"/>
      <c r="JH64" s="205">
        <v>2376.5</v>
      </c>
      <c r="JI64" s="204"/>
      <c r="JJ64" s="208">
        <f t="shared" si="213"/>
        <v>2376.5</v>
      </c>
      <c r="JK64" s="203"/>
      <c r="JL64" s="205"/>
      <c r="JM64" s="205"/>
      <c r="JN64" s="205"/>
      <c r="JO64" s="204"/>
      <c r="JP64" s="208">
        <f t="shared" si="214"/>
        <v>0</v>
      </c>
      <c r="JQ64" s="203"/>
      <c r="JR64" s="205"/>
      <c r="JS64" s="205"/>
      <c r="JT64" s="205"/>
      <c r="JU64" s="204"/>
      <c r="JV64" s="208">
        <f t="shared" si="215"/>
        <v>0</v>
      </c>
      <c r="JW64" s="203"/>
      <c r="JX64" s="205"/>
      <c r="JY64" s="205"/>
      <c r="JZ64" s="205"/>
      <c r="KA64" s="205"/>
      <c r="KB64" s="204"/>
      <c r="KC64" s="208">
        <f t="shared" si="216"/>
        <v>0</v>
      </c>
      <c r="KD64" s="208">
        <f t="shared" si="217"/>
        <v>2376.5</v>
      </c>
      <c r="KE64" s="203"/>
      <c r="KF64" s="205"/>
      <c r="KG64" s="205"/>
      <c r="KH64" s="205"/>
      <c r="KI64" s="204"/>
      <c r="KJ64" s="208">
        <f t="shared" si="218"/>
        <v>0</v>
      </c>
      <c r="KK64" s="203"/>
      <c r="KL64" s="205"/>
      <c r="KM64" s="205"/>
      <c r="KN64" s="205"/>
      <c r="KO64" s="204"/>
      <c r="KP64" s="208">
        <f t="shared" si="219"/>
        <v>0</v>
      </c>
      <c r="KQ64" s="203"/>
      <c r="KR64" s="205"/>
      <c r="KS64" s="205"/>
      <c r="KT64" s="205"/>
      <c r="KU64" s="204"/>
      <c r="KV64" s="208">
        <f t="shared" si="220"/>
        <v>0</v>
      </c>
      <c r="KW64" s="203"/>
      <c r="KX64" s="205"/>
      <c r="KY64" s="205"/>
      <c r="KZ64" s="205"/>
      <c r="LA64" s="204"/>
      <c r="LB64" s="208">
        <f t="shared" si="221"/>
        <v>0</v>
      </c>
      <c r="LC64" s="202"/>
      <c r="LD64" s="244"/>
      <c r="LE64" s="245"/>
      <c r="LF64" s="208">
        <f t="shared" si="222"/>
        <v>0</v>
      </c>
      <c r="LG64" s="208">
        <f t="shared" si="223"/>
        <v>0</v>
      </c>
    </row>
    <row r="65" spans="2:319" s="91" customFormat="1">
      <c r="B65" s="167" t="s">
        <v>82</v>
      </c>
      <c r="C65" s="167"/>
      <c r="D65" s="202">
        <f t="shared" si="163"/>
        <v>0</v>
      </c>
      <c r="E65" s="167"/>
      <c r="F65" s="177"/>
      <c r="G65" s="177"/>
      <c r="H65" s="177"/>
      <c r="I65" s="178"/>
      <c r="J65" s="202">
        <f t="shared" si="224"/>
        <v>0</v>
      </c>
      <c r="K65" s="167"/>
      <c r="L65" s="177"/>
      <c r="M65" s="177"/>
      <c r="N65" s="178"/>
      <c r="O65" s="202">
        <f t="shared" si="230"/>
        <v>0</v>
      </c>
      <c r="P65" s="167"/>
      <c r="Q65" s="177"/>
      <c r="R65" s="177"/>
      <c r="S65" s="177"/>
      <c r="T65" s="178"/>
      <c r="U65" s="202">
        <f t="shared" si="173"/>
        <v>0</v>
      </c>
      <c r="V65" s="167"/>
      <c r="W65" s="177"/>
      <c r="X65" s="177">
        <f>30223.596+7293.46</f>
        <v>37517.056000000004</v>
      </c>
      <c r="Y65" s="177"/>
      <c r="Z65" s="177"/>
      <c r="AA65" s="208">
        <f t="shared" si="174"/>
        <v>37517.056000000004</v>
      </c>
      <c r="AB65" s="208">
        <f t="shared" si="226"/>
        <v>37517.056000000004</v>
      </c>
      <c r="AC65" s="203"/>
      <c r="AD65" s="205"/>
      <c r="AE65" s="205"/>
      <c r="AF65" s="205"/>
      <c r="AG65" s="204"/>
      <c r="AH65" s="208">
        <f t="shared" si="227"/>
        <v>0</v>
      </c>
      <c r="AI65" s="203"/>
      <c r="AJ65" s="205"/>
      <c r="AK65" s="205"/>
      <c r="AL65" s="205"/>
      <c r="AM65" s="204"/>
      <c r="AN65" s="208">
        <f t="shared" si="175"/>
        <v>0</v>
      </c>
      <c r="AO65" s="203"/>
      <c r="AP65" s="205"/>
      <c r="AQ65" s="205"/>
      <c r="AR65" s="205"/>
      <c r="AS65" s="204"/>
      <c r="AT65" s="208">
        <f t="shared" si="176"/>
        <v>0</v>
      </c>
      <c r="AU65" s="203"/>
      <c r="AV65" s="205"/>
      <c r="AW65" s="205"/>
      <c r="AX65" s="205"/>
      <c r="AY65" s="204">
        <f>27429.034+8480.616</f>
        <v>35909.65</v>
      </c>
      <c r="AZ65" s="208">
        <f t="shared" si="177"/>
        <v>35909.65</v>
      </c>
      <c r="BA65" s="208">
        <f t="shared" si="178"/>
        <v>35909.65</v>
      </c>
      <c r="BB65" s="203"/>
      <c r="BC65" s="205"/>
      <c r="BD65" s="205"/>
      <c r="BE65" s="205"/>
      <c r="BF65" s="204"/>
      <c r="BG65" s="208">
        <f t="shared" si="179"/>
        <v>0</v>
      </c>
      <c r="BH65" s="203"/>
      <c r="BI65" s="205"/>
      <c r="BJ65" s="205"/>
      <c r="BK65" s="205"/>
      <c r="BL65" s="204"/>
      <c r="BM65" s="208">
        <f t="shared" si="164"/>
        <v>0</v>
      </c>
      <c r="BN65" s="203"/>
      <c r="BO65" s="205"/>
      <c r="BP65" s="205"/>
      <c r="BQ65" s="204"/>
      <c r="BR65" s="208">
        <f t="shared" si="180"/>
        <v>0</v>
      </c>
      <c r="BS65" s="203"/>
      <c r="BT65" s="205"/>
      <c r="BU65" s="205">
        <v>7360.8670000000002</v>
      </c>
      <c r="BV65" s="205"/>
      <c r="BW65" s="204">
        <f>24809.486+7290.342</f>
        <v>32099.828000000001</v>
      </c>
      <c r="BX65" s="208">
        <f t="shared" si="181"/>
        <v>39460.695</v>
      </c>
      <c r="BY65" s="203"/>
      <c r="BZ65" s="205"/>
      <c r="CA65" s="208">
        <f t="shared" si="182"/>
        <v>0</v>
      </c>
      <c r="CB65" s="208">
        <f t="shared" si="183"/>
        <v>39460.695</v>
      </c>
      <c r="CC65" s="203"/>
      <c r="CD65" s="205"/>
      <c r="CE65" s="205"/>
      <c r="CF65" s="208">
        <f t="shared" si="228"/>
        <v>0</v>
      </c>
      <c r="CG65" s="203"/>
      <c r="CH65" s="205"/>
      <c r="CI65" s="205"/>
      <c r="CJ65" s="204"/>
      <c r="CK65" s="208">
        <f t="shared" si="184"/>
        <v>0</v>
      </c>
      <c r="CL65" s="203"/>
      <c r="CM65" s="205"/>
      <c r="CN65" s="205"/>
      <c r="CO65" s="205"/>
      <c r="CP65" s="204"/>
      <c r="CQ65" s="208">
        <f t="shared" si="185"/>
        <v>0</v>
      </c>
      <c r="CR65" s="203"/>
      <c r="CS65" s="205"/>
      <c r="CT65" s="205"/>
      <c r="CU65" s="205"/>
      <c r="CV65" s="204"/>
      <c r="CW65" s="208">
        <f t="shared" si="186"/>
        <v>0</v>
      </c>
      <c r="CX65" s="203"/>
      <c r="CY65" s="205"/>
      <c r="CZ65" s="205"/>
      <c r="DA65" s="204">
        <f>6362.283+23756.519</f>
        <v>30118.802</v>
      </c>
      <c r="DB65" s="208">
        <f t="shared" si="187"/>
        <v>30118.802</v>
      </c>
      <c r="DC65" s="208">
        <f t="shared" si="229"/>
        <v>30118.802</v>
      </c>
      <c r="DD65" s="203"/>
      <c r="DE65" s="205"/>
      <c r="DF65" s="205"/>
      <c r="DG65" s="205"/>
      <c r="DH65" s="205"/>
      <c r="DI65" s="208">
        <f t="shared" si="188"/>
        <v>0</v>
      </c>
      <c r="DJ65" s="203"/>
      <c r="DK65" s="205"/>
      <c r="DL65" s="205"/>
      <c r="DM65" s="205"/>
      <c r="DN65" s="204"/>
      <c r="DO65" s="208">
        <f t="shared" si="189"/>
        <v>0</v>
      </c>
      <c r="DP65" s="203"/>
      <c r="DQ65" s="205"/>
      <c r="DR65" s="205"/>
      <c r="DS65" s="205"/>
      <c r="DT65" s="204"/>
      <c r="DU65" s="245">
        <f t="shared" si="190"/>
        <v>0</v>
      </c>
      <c r="DV65" s="203"/>
      <c r="DW65" s="205"/>
      <c r="DX65" s="205"/>
      <c r="DY65" s="205"/>
      <c r="DZ65" s="204"/>
      <c r="EA65" s="208">
        <f t="shared" si="191"/>
        <v>0</v>
      </c>
      <c r="EB65" s="208">
        <f t="shared" si="192"/>
        <v>0</v>
      </c>
      <c r="EC65" s="203"/>
      <c r="ED65" s="205"/>
      <c r="EE65" s="205">
        <f>24512.78+9018.47</f>
        <v>33531.25</v>
      </c>
      <c r="EF65" s="205"/>
      <c r="EG65" s="204"/>
      <c r="EH65" s="208">
        <f t="shared" si="193"/>
        <v>33531.25</v>
      </c>
      <c r="EI65" s="203"/>
      <c r="EJ65" s="205"/>
      <c r="EK65" s="205"/>
      <c r="EL65" s="205"/>
      <c r="EM65" s="204"/>
      <c r="EN65" s="208">
        <f t="shared" si="194"/>
        <v>0</v>
      </c>
      <c r="EO65" s="203"/>
      <c r="EP65" s="205"/>
      <c r="EQ65" s="205"/>
      <c r="ER65" s="205"/>
      <c r="ES65" s="204"/>
      <c r="ET65" s="308">
        <f t="shared" si="195"/>
        <v>0</v>
      </c>
      <c r="EU65" s="203"/>
      <c r="EV65" s="205"/>
      <c r="EW65" s="205"/>
      <c r="EX65" s="205"/>
      <c r="EY65" s="205"/>
      <c r="EZ65" s="205"/>
      <c r="FA65" s="204">
        <f>30016.852+8923.155</f>
        <v>38940.006999999998</v>
      </c>
      <c r="FB65" s="208">
        <f t="shared" si="196"/>
        <v>38940.006999999998</v>
      </c>
      <c r="FC65" s="208">
        <f t="shared" si="197"/>
        <v>72471.256999999998</v>
      </c>
      <c r="FD65" s="203"/>
      <c r="FE65" s="205"/>
      <c r="FF65" s="204"/>
      <c r="FG65" s="208">
        <f t="shared" si="198"/>
        <v>0</v>
      </c>
      <c r="FH65" s="203"/>
      <c r="FI65" s="205"/>
      <c r="FJ65" s="205"/>
      <c r="FK65" s="205"/>
      <c r="FL65" s="204"/>
      <c r="FM65" s="208">
        <f t="shared" si="199"/>
        <v>0</v>
      </c>
      <c r="FN65" s="203"/>
      <c r="FO65" s="205"/>
      <c r="FP65" s="205"/>
      <c r="FQ65" s="205"/>
      <c r="FR65" s="208">
        <f t="shared" si="165"/>
        <v>0</v>
      </c>
      <c r="FS65" s="203"/>
      <c r="FT65" s="205"/>
      <c r="FU65" s="205"/>
      <c r="FV65" s="205"/>
      <c r="FW65" s="204"/>
      <c r="FX65" s="208">
        <f t="shared" si="166"/>
        <v>0</v>
      </c>
      <c r="FY65" s="203"/>
      <c r="FZ65" s="205"/>
      <c r="GA65" s="205"/>
      <c r="GB65" s="205">
        <f>10023.629+29914.648</f>
        <v>39938.277000000002</v>
      </c>
      <c r="GC65" s="204"/>
      <c r="GD65" s="208">
        <f t="shared" si="167"/>
        <v>39938.277000000002</v>
      </c>
      <c r="GE65" s="208">
        <f t="shared" si="168"/>
        <v>39938.277000000002</v>
      </c>
      <c r="GF65" s="203"/>
      <c r="GG65" s="205"/>
      <c r="GH65" s="205"/>
      <c r="GI65" s="205"/>
      <c r="GJ65" s="205"/>
      <c r="GK65" s="208">
        <f t="shared" si="169"/>
        <v>0</v>
      </c>
      <c r="GL65" s="203"/>
      <c r="GM65" s="205"/>
      <c r="GN65" s="205"/>
      <c r="GO65" s="204"/>
      <c r="GP65" s="208">
        <f t="shared" si="170"/>
        <v>0</v>
      </c>
      <c r="GQ65" s="203"/>
      <c r="GR65" s="205"/>
      <c r="GS65" s="205"/>
      <c r="GT65" s="205"/>
      <c r="GU65" s="204"/>
      <c r="GV65" s="208">
        <f t="shared" si="200"/>
        <v>0</v>
      </c>
      <c r="GW65" s="203"/>
      <c r="GX65" s="205"/>
      <c r="GY65" s="205"/>
      <c r="GZ65" s="205"/>
      <c r="HA65" s="205">
        <f>8632.558+28859.082</f>
        <v>37491.64</v>
      </c>
      <c r="HB65" s="204"/>
      <c r="HC65" s="208">
        <f t="shared" si="201"/>
        <v>37491.64</v>
      </c>
      <c r="HD65" s="208">
        <f t="shared" si="202"/>
        <v>37491.64</v>
      </c>
      <c r="HE65" s="203"/>
      <c r="HF65" s="205"/>
      <c r="HG65" s="205"/>
      <c r="HH65" s="205"/>
      <c r="HI65" s="208">
        <f t="shared" si="203"/>
        <v>0</v>
      </c>
      <c r="HJ65" s="203"/>
      <c r="HK65" s="205">
        <v>131.80000000000001</v>
      </c>
      <c r="HL65" s="205"/>
      <c r="HM65" s="205"/>
      <c r="HN65" s="204"/>
      <c r="HO65" s="245">
        <f t="shared" si="204"/>
        <v>131.80000000000001</v>
      </c>
      <c r="HP65" s="203"/>
      <c r="HQ65" s="205"/>
      <c r="HR65" s="205"/>
      <c r="HS65" s="205"/>
      <c r="HT65" s="204"/>
      <c r="HU65" s="208">
        <f t="shared" si="205"/>
        <v>0</v>
      </c>
      <c r="HV65" s="203"/>
      <c r="HW65" s="205"/>
      <c r="HX65" s="205"/>
      <c r="HY65" s="208">
        <f t="shared" si="171"/>
        <v>0</v>
      </c>
      <c r="HZ65" s="203">
        <v>32.799999999999997</v>
      </c>
      <c r="IA65" s="205"/>
      <c r="IB65" s="204">
        <f>10385.09+26857.86</f>
        <v>37242.949999999997</v>
      </c>
      <c r="IC65" s="208">
        <f t="shared" si="206"/>
        <v>37275.75</v>
      </c>
      <c r="ID65" s="208">
        <f t="shared" si="172"/>
        <v>37407.550000000003</v>
      </c>
      <c r="IE65" s="203"/>
      <c r="IF65" s="204"/>
      <c r="IG65" s="208">
        <f t="shared" si="207"/>
        <v>0</v>
      </c>
      <c r="IH65" s="203"/>
      <c r="II65" s="205"/>
      <c r="IJ65" s="205"/>
      <c r="IK65" s="205"/>
      <c r="IL65" s="204"/>
      <c r="IM65" s="208">
        <f t="shared" si="208"/>
        <v>0</v>
      </c>
      <c r="IN65" s="203"/>
      <c r="IO65" s="205"/>
      <c r="IP65" s="204"/>
      <c r="IQ65" s="208">
        <f t="shared" si="209"/>
        <v>0</v>
      </c>
      <c r="IR65" s="203"/>
      <c r="IS65" s="205"/>
      <c r="IT65" s="205"/>
      <c r="IU65" s="205"/>
      <c r="IV65" s="204"/>
      <c r="IW65" s="208">
        <f t="shared" si="210"/>
        <v>0</v>
      </c>
      <c r="IX65" s="203"/>
      <c r="IY65" s="205"/>
      <c r="IZ65" s="205"/>
      <c r="JA65" s="205">
        <f>7888.755+31452.396</f>
        <v>39341.150999999998</v>
      </c>
      <c r="JB65" s="204"/>
      <c r="JC65" s="208">
        <f t="shared" si="211"/>
        <v>39341.150999999998</v>
      </c>
      <c r="JD65" s="208">
        <f t="shared" si="212"/>
        <v>39341.150999999998</v>
      </c>
      <c r="JE65" s="203"/>
      <c r="JF65" s="205">
        <v>578.70000000000005</v>
      </c>
      <c r="JG65" s="205"/>
      <c r="JH65" s="205"/>
      <c r="JI65" s="204"/>
      <c r="JJ65" s="208">
        <f t="shared" si="213"/>
        <v>578.70000000000005</v>
      </c>
      <c r="JK65" s="203"/>
      <c r="JL65" s="205"/>
      <c r="JM65" s="205"/>
      <c r="JN65" s="205"/>
      <c r="JO65" s="204"/>
      <c r="JP65" s="208">
        <f t="shared" si="214"/>
        <v>0</v>
      </c>
      <c r="JQ65" s="203"/>
      <c r="JR65" s="205"/>
      <c r="JS65" s="205"/>
      <c r="JT65" s="205"/>
      <c r="JU65" s="204"/>
      <c r="JV65" s="208">
        <f t="shared" si="215"/>
        <v>0</v>
      </c>
      <c r="JW65" s="203"/>
      <c r="JX65" s="205"/>
      <c r="JY65" s="205"/>
      <c r="JZ65" s="205"/>
      <c r="KA65" s="205"/>
      <c r="KB65" s="204"/>
      <c r="KC65" s="208">
        <f t="shared" si="216"/>
        <v>0</v>
      </c>
      <c r="KD65" s="208">
        <v>38000</v>
      </c>
      <c r="KE65" s="203"/>
      <c r="KF65" s="205"/>
      <c r="KG65" s="205"/>
      <c r="KH65" s="205"/>
      <c r="KI65" s="204"/>
      <c r="KJ65" s="208">
        <f t="shared" si="218"/>
        <v>0</v>
      </c>
      <c r="KK65" s="203"/>
      <c r="KL65" s="205"/>
      <c r="KM65" s="205"/>
      <c r="KN65" s="205"/>
      <c r="KO65" s="204"/>
      <c r="KP65" s="208">
        <f t="shared" si="219"/>
        <v>0</v>
      </c>
      <c r="KQ65" s="203"/>
      <c r="KR65" s="205"/>
      <c r="KS65" s="205"/>
      <c r="KT65" s="205"/>
      <c r="KU65" s="204"/>
      <c r="KV65" s="208">
        <f t="shared" si="220"/>
        <v>0</v>
      </c>
      <c r="KW65" s="203"/>
      <c r="KX65" s="205"/>
      <c r="KY65" s="205"/>
      <c r="KZ65" s="205"/>
      <c r="LA65" s="204"/>
      <c r="LB65" s="208">
        <f t="shared" si="221"/>
        <v>0</v>
      </c>
      <c r="LC65" s="202"/>
      <c r="LD65" s="244"/>
      <c r="LE65" s="245"/>
      <c r="LF65" s="208">
        <f t="shared" si="222"/>
        <v>0</v>
      </c>
      <c r="LG65" s="208">
        <v>38000</v>
      </c>
    </row>
    <row r="66" spans="2:319" s="91" customFormat="1">
      <c r="B66" s="167" t="s">
        <v>83</v>
      </c>
      <c r="C66" s="167"/>
      <c r="D66" s="202">
        <f t="shared" si="163"/>
        <v>0</v>
      </c>
      <c r="E66" s="167"/>
      <c r="F66" s="177"/>
      <c r="G66" s="177"/>
      <c r="H66" s="177"/>
      <c r="I66" s="178"/>
      <c r="J66" s="202">
        <f t="shared" si="224"/>
        <v>0</v>
      </c>
      <c r="K66" s="167"/>
      <c r="L66" s="177"/>
      <c r="M66" s="177"/>
      <c r="N66" s="178"/>
      <c r="O66" s="202">
        <f t="shared" si="230"/>
        <v>0</v>
      </c>
      <c r="P66" s="167"/>
      <c r="Q66" s="177"/>
      <c r="R66" s="177"/>
      <c r="S66" s="177"/>
      <c r="T66" s="178"/>
      <c r="U66" s="202">
        <f t="shared" si="173"/>
        <v>0</v>
      </c>
      <c r="V66" s="167"/>
      <c r="W66" s="177"/>
      <c r="X66" s="177"/>
      <c r="Y66" s="177"/>
      <c r="Z66" s="177"/>
      <c r="AA66" s="208">
        <f t="shared" si="174"/>
        <v>0</v>
      </c>
      <c r="AB66" s="208">
        <f t="shared" si="226"/>
        <v>0</v>
      </c>
      <c r="AC66" s="203"/>
      <c r="AD66" s="205"/>
      <c r="AE66" s="205"/>
      <c r="AF66" s="205"/>
      <c r="AG66" s="204"/>
      <c r="AH66" s="208">
        <f t="shared" si="227"/>
        <v>0</v>
      </c>
      <c r="AI66" s="203">
        <v>11719.8</v>
      </c>
      <c r="AJ66" s="205"/>
      <c r="AK66" s="205"/>
      <c r="AL66" s="205"/>
      <c r="AM66" s="204"/>
      <c r="AN66" s="208">
        <f t="shared" si="175"/>
        <v>11719.8</v>
      </c>
      <c r="AO66" s="203"/>
      <c r="AP66" s="205"/>
      <c r="AQ66" s="205"/>
      <c r="AR66" s="205"/>
      <c r="AS66" s="204"/>
      <c r="AT66" s="208">
        <f t="shared" si="176"/>
        <v>0</v>
      </c>
      <c r="AU66" s="203">
        <v>466.6</v>
      </c>
      <c r="AV66" s="205"/>
      <c r="AW66" s="205"/>
      <c r="AX66" s="205"/>
      <c r="AY66" s="204"/>
      <c r="AZ66" s="208">
        <f t="shared" si="177"/>
        <v>466.6</v>
      </c>
      <c r="BA66" s="208">
        <f t="shared" si="178"/>
        <v>12186.4</v>
      </c>
      <c r="BB66" s="203"/>
      <c r="BC66" s="205"/>
      <c r="BD66" s="205"/>
      <c r="BE66" s="205"/>
      <c r="BF66" s="204"/>
      <c r="BG66" s="208">
        <f t="shared" si="179"/>
        <v>0</v>
      </c>
      <c r="BH66" s="203"/>
      <c r="BI66" s="205"/>
      <c r="BJ66" s="205"/>
      <c r="BK66" s="205"/>
      <c r="BL66" s="204"/>
      <c r="BM66" s="208">
        <f t="shared" si="164"/>
        <v>0</v>
      </c>
      <c r="BN66" s="203"/>
      <c r="BO66" s="205"/>
      <c r="BP66" s="205"/>
      <c r="BQ66" s="204"/>
      <c r="BR66" s="208">
        <f t="shared" si="180"/>
        <v>0</v>
      </c>
      <c r="BS66" s="203"/>
      <c r="BT66" s="205"/>
      <c r="BU66" s="205"/>
      <c r="BV66" s="205"/>
      <c r="BW66" s="204"/>
      <c r="BX66" s="208">
        <f t="shared" si="181"/>
        <v>0</v>
      </c>
      <c r="BY66" s="203"/>
      <c r="BZ66" s="205"/>
      <c r="CA66" s="208">
        <f t="shared" si="182"/>
        <v>0</v>
      </c>
      <c r="CB66" s="208">
        <f t="shared" si="183"/>
        <v>0</v>
      </c>
      <c r="CC66" s="203"/>
      <c r="CD66" s="205"/>
      <c r="CE66" s="205"/>
      <c r="CF66" s="208">
        <f t="shared" si="228"/>
        <v>0</v>
      </c>
      <c r="CG66" s="203"/>
      <c r="CH66" s="205"/>
      <c r="CI66" s="205"/>
      <c r="CJ66" s="204"/>
      <c r="CK66" s="208">
        <f t="shared" si="184"/>
        <v>0</v>
      </c>
      <c r="CL66" s="203"/>
      <c r="CM66" s="205"/>
      <c r="CN66" s="205"/>
      <c r="CO66" s="205"/>
      <c r="CP66" s="204"/>
      <c r="CQ66" s="208">
        <f t="shared" si="185"/>
        <v>0</v>
      </c>
      <c r="CR66" s="203">
        <v>261.39999999999998</v>
      </c>
      <c r="CS66" s="205"/>
      <c r="CT66" s="205"/>
      <c r="CU66" s="205"/>
      <c r="CV66" s="204"/>
      <c r="CW66" s="208">
        <f t="shared" si="186"/>
        <v>261.39999999999998</v>
      </c>
      <c r="CX66" s="203"/>
      <c r="CY66" s="205"/>
      <c r="CZ66" s="205"/>
      <c r="DA66" s="204"/>
      <c r="DB66" s="208">
        <f t="shared" si="187"/>
        <v>0</v>
      </c>
      <c r="DC66" s="208">
        <f t="shared" si="229"/>
        <v>261.39999999999998</v>
      </c>
      <c r="DD66" s="203"/>
      <c r="DE66" s="205"/>
      <c r="DF66" s="205"/>
      <c r="DG66" s="205"/>
      <c r="DH66" s="205"/>
      <c r="DI66" s="208">
        <f t="shared" si="188"/>
        <v>0</v>
      </c>
      <c r="DJ66" s="203"/>
      <c r="DK66" s="205"/>
      <c r="DL66" s="205"/>
      <c r="DM66" s="205"/>
      <c r="DN66" s="204"/>
      <c r="DO66" s="208">
        <f t="shared" si="189"/>
        <v>0</v>
      </c>
      <c r="DP66" s="203"/>
      <c r="DQ66" s="205">
        <v>11619.1</v>
      </c>
      <c r="DR66" s="205">
        <v>257</v>
      </c>
      <c r="DS66" s="205"/>
      <c r="DT66" s="204"/>
      <c r="DU66" s="245">
        <f t="shared" si="190"/>
        <v>11876.1</v>
      </c>
      <c r="DV66" s="203"/>
      <c r="DW66" s="205"/>
      <c r="DX66" s="205"/>
      <c r="DY66" s="205"/>
      <c r="DZ66" s="204"/>
      <c r="EA66" s="208">
        <f t="shared" si="191"/>
        <v>0</v>
      </c>
      <c r="EB66" s="208">
        <f t="shared" si="192"/>
        <v>11876.1</v>
      </c>
      <c r="EC66" s="203"/>
      <c r="ED66" s="205"/>
      <c r="EE66" s="205"/>
      <c r="EF66" s="205"/>
      <c r="EG66" s="204"/>
      <c r="EH66" s="208">
        <f t="shared" si="193"/>
        <v>0</v>
      </c>
      <c r="EI66" s="203"/>
      <c r="EJ66" s="205"/>
      <c r="EK66" s="205"/>
      <c r="EL66" s="205"/>
      <c r="EM66" s="204"/>
      <c r="EN66" s="208">
        <f t="shared" si="194"/>
        <v>0</v>
      </c>
      <c r="EO66" s="203"/>
      <c r="EP66" s="205"/>
      <c r="EQ66" s="205"/>
      <c r="ER66" s="205"/>
      <c r="ES66" s="204"/>
      <c r="ET66" s="308">
        <f t="shared" si="195"/>
        <v>0</v>
      </c>
      <c r="EU66" s="203"/>
      <c r="EV66" s="205"/>
      <c r="EW66" s="205"/>
      <c r="EX66" s="205"/>
      <c r="EY66" s="205"/>
      <c r="EZ66" s="205">
        <v>79.5</v>
      </c>
      <c r="FA66" s="204"/>
      <c r="FB66" s="208">
        <f t="shared" si="196"/>
        <v>79.5</v>
      </c>
      <c r="FC66" s="208">
        <f t="shared" si="197"/>
        <v>79.5</v>
      </c>
      <c r="FD66" s="203"/>
      <c r="FE66" s="205"/>
      <c r="FF66" s="204"/>
      <c r="FG66" s="208">
        <f t="shared" si="198"/>
        <v>0</v>
      </c>
      <c r="FH66" s="203"/>
      <c r="FI66" s="205"/>
      <c r="FJ66" s="205"/>
      <c r="FK66" s="205"/>
      <c r="FL66" s="204"/>
      <c r="FM66" s="208">
        <f t="shared" si="199"/>
        <v>0</v>
      </c>
      <c r="FN66" s="203"/>
      <c r="FO66" s="205">
        <v>205.2</v>
      </c>
      <c r="FP66" s="205"/>
      <c r="FQ66" s="205"/>
      <c r="FR66" s="208">
        <f t="shared" si="165"/>
        <v>205.2</v>
      </c>
      <c r="FS66" s="203"/>
      <c r="FT66" s="205"/>
      <c r="FU66" s="205"/>
      <c r="FV66" s="205"/>
      <c r="FW66" s="204"/>
      <c r="FX66" s="208">
        <f t="shared" si="166"/>
        <v>0</v>
      </c>
      <c r="FY66" s="203"/>
      <c r="FZ66" s="205"/>
      <c r="GA66" s="205"/>
      <c r="GB66" s="205"/>
      <c r="GC66" s="204"/>
      <c r="GD66" s="208">
        <f t="shared" si="167"/>
        <v>0</v>
      </c>
      <c r="GE66" s="208">
        <f t="shared" si="168"/>
        <v>205.2</v>
      </c>
      <c r="GF66" s="203"/>
      <c r="GG66" s="205"/>
      <c r="GH66" s="205"/>
      <c r="GI66" s="205"/>
      <c r="GJ66" s="205"/>
      <c r="GK66" s="208">
        <f t="shared" si="169"/>
        <v>0</v>
      </c>
      <c r="GL66" s="203"/>
      <c r="GM66" s="205"/>
      <c r="GN66" s="205"/>
      <c r="GO66" s="204"/>
      <c r="GP66" s="208">
        <f t="shared" si="170"/>
        <v>0</v>
      </c>
      <c r="GQ66" s="203"/>
      <c r="GR66" s="205"/>
      <c r="GS66" s="205"/>
      <c r="GT66" s="205">
        <v>235.4</v>
      </c>
      <c r="GU66" s="204"/>
      <c r="GV66" s="208">
        <f t="shared" si="200"/>
        <v>235.4</v>
      </c>
      <c r="GW66" s="203"/>
      <c r="GX66" s="205"/>
      <c r="GY66" s="205"/>
      <c r="GZ66" s="205"/>
      <c r="HA66" s="205"/>
      <c r="HB66" s="204"/>
      <c r="HC66" s="208">
        <f t="shared" si="201"/>
        <v>0</v>
      </c>
      <c r="HD66" s="208">
        <f t="shared" si="202"/>
        <v>235.4</v>
      </c>
      <c r="HE66" s="203"/>
      <c r="HF66" s="205"/>
      <c r="HG66" s="205"/>
      <c r="HH66" s="205"/>
      <c r="HI66" s="208">
        <f t="shared" si="203"/>
        <v>0</v>
      </c>
      <c r="HJ66" s="203"/>
      <c r="HK66" s="205"/>
      <c r="HL66" s="205">
        <v>11290.4</v>
      </c>
      <c r="HM66" s="205"/>
      <c r="HN66" s="204"/>
      <c r="HO66" s="245">
        <f t="shared" si="204"/>
        <v>11290.4</v>
      </c>
      <c r="HP66" s="203"/>
      <c r="HQ66" s="205"/>
      <c r="HR66" s="205"/>
      <c r="HS66" s="205"/>
      <c r="HT66" s="204"/>
      <c r="HU66" s="208">
        <f t="shared" si="205"/>
        <v>0</v>
      </c>
      <c r="HV66" s="203"/>
      <c r="HW66" s="205"/>
      <c r="HX66" s="205"/>
      <c r="HY66" s="208">
        <f t="shared" si="171"/>
        <v>0</v>
      </c>
      <c r="HZ66" s="203"/>
      <c r="IA66" s="205"/>
      <c r="IB66" s="204">
        <v>170.7</v>
      </c>
      <c r="IC66" s="208">
        <f t="shared" si="206"/>
        <v>170.7</v>
      </c>
      <c r="ID66" s="208">
        <f t="shared" si="172"/>
        <v>11461.1</v>
      </c>
      <c r="IE66" s="203"/>
      <c r="IF66" s="204"/>
      <c r="IG66" s="208">
        <f t="shared" si="207"/>
        <v>0</v>
      </c>
      <c r="IH66" s="203"/>
      <c r="II66" s="205"/>
      <c r="IJ66" s="205"/>
      <c r="IK66" s="205"/>
      <c r="IL66" s="204"/>
      <c r="IM66" s="208">
        <f t="shared" si="208"/>
        <v>0</v>
      </c>
      <c r="IN66" s="203"/>
      <c r="IO66" s="205"/>
      <c r="IP66" s="204"/>
      <c r="IQ66" s="208">
        <f t="shared" si="209"/>
        <v>0</v>
      </c>
      <c r="IR66" s="203"/>
      <c r="IS66" s="205"/>
      <c r="IT66" s="205"/>
      <c r="IU66" s="205"/>
      <c r="IV66" s="204"/>
      <c r="IW66" s="208">
        <f t="shared" si="210"/>
        <v>0</v>
      </c>
      <c r="IX66" s="203"/>
      <c r="IY66" s="205"/>
      <c r="IZ66" s="205"/>
      <c r="JA66" s="205"/>
      <c r="JB66" s="204"/>
      <c r="JC66" s="208">
        <f t="shared" si="211"/>
        <v>0</v>
      </c>
      <c r="JD66" s="208">
        <f t="shared" si="212"/>
        <v>0</v>
      </c>
      <c r="JE66" s="203">
        <v>162</v>
      </c>
      <c r="JF66" s="205"/>
      <c r="JG66" s="205"/>
      <c r="JH66" s="205"/>
      <c r="JI66" s="204"/>
      <c r="JJ66" s="208">
        <f t="shared" si="213"/>
        <v>162</v>
      </c>
      <c r="JK66" s="203"/>
      <c r="JL66" s="205"/>
      <c r="JM66" s="205"/>
      <c r="JN66" s="205"/>
      <c r="JO66" s="204"/>
      <c r="JP66" s="208">
        <f t="shared" si="214"/>
        <v>0</v>
      </c>
      <c r="JQ66" s="203"/>
      <c r="JR66" s="205"/>
      <c r="JS66" s="205"/>
      <c r="JT66" s="205"/>
      <c r="JU66" s="204"/>
      <c r="JV66" s="208">
        <f t="shared" si="215"/>
        <v>0</v>
      </c>
      <c r="JW66" s="203"/>
      <c r="JX66" s="205"/>
      <c r="JY66" s="205"/>
      <c r="JZ66" s="205"/>
      <c r="KA66" s="205"/>
      <c r="KB66" s="204"/>
      <c r="KC66" s="208">
        <f t="shared" si="216"/>
        <v>0</v>
      </c>
      <c r="KD66" s="208">
        <f t="shared" si="217"/>
        <v>162</v>
      </c>
      <c r="KE66" s="203"/>
      <c r="KF66" s="205"/>
      <c r="KG66" s="205"/>
      <c r="KH66" s="205"/>
      <c r="KI66" s="204"/>
      <c r="KJ66" s="208">
        <f t="shared" si="218"/>
        <v>0</v>
      </c>
      <c r="KK66" s="203"/>
      <c r="KL66" s="205"/>
      <c r="KM66" s="205"/>
      <c r="KN66" s="205"/>
      <c r="KO66" s="204"/>
      <c r="KP66" s="208">
        <f t="shared" si="219"/>
        <v>0</v>
      </c>
      <c r="KQ66" s="203"/>
      <c r="KR66" s="205"/>
      <c r="KS66" s="205"/>
      <c r="KT66" s="205"/>
      <c r="KU66" s="204"/>
      <c r="KV66" s="208">
        <f t="shared" si="220"/>
        <v>0</v>
      </c>
      <c r="KW66" s="203"/>
      <c r="KX66" s="205"/>
      <c r="KY66" s="205"/>
      <c r="KZ66" s="205"/>
      <c r="LA66" s="204"/>
      <c r="LB66" s="208">
        <f t="shared" si="221"/>
        <v>0</v>
      </c>
      <c r="LC66" s="202"/>
      <c r="LD66" s="244"/>
      <c r="LE66" s="245"/>
      <c r="LF66" s="208">
        <f t="shared" si="222"/>
        <v>0</v>
      </c>
      <c r="LG66" s="208">
        <f t="shared" si="223"/>
        <v>0</v>
      </c>
    </row>
    <row r="67" spans="2:319" s="91" customFormat="1">
      <c r="B67" s="167" t="s">
        <v>84</v>
      </c>
      <c r="C67" s="167"/>
      <c r="D67" s="202">
        <f t="shared" si="163"/>
        <v>0</v>
      </c>
      <c r="E67" s="167"/>
      <c r="F67" s="177"/>
      <c r="G67" s="177"/>
      <c r="H67" s="177"/>
      <c r="I67" s="178"/>
      <c r="J67" s="202">
        <f t="shared" si="224"/>
        <v>0</v>
      </c>
      <c r="K67" s="167"/>
      <c r="L67" s="177"/>
      <c r="M67" s="177"/>
      <c r="N67" s="178"/>
      <c r="O67" s="202">
        <f t="shared" si="230"/>
        <v>0</v>
      </c>
      <c r="P67" s="167"/>
      <c r="Q67" s="177"/>
      <c r="R67" s="177"/>
      <c r="S67" s="177"/>
      <c r="T67" s="178"/>
      <c r="U67" s="202">
        <f t="shared" si="173"/>
        <v>0</v>
      </c>
      <c r="V67" s="167"/>
      <c r="W67" s="177"/>
      <c r="X67" s="177"/>
      <c r="Y67" s="177"/>
      <c r="Z67" s="177"/>
      <c r="AA67" s="208">
        <f t="shared" si="174"/>
        <v>0</v>
      </c>
      <c r="AB67" s="208">
        <f t="shared" si="226"/>
        <v>0</v>
      </c>
      <c r="AC67" s="203"/>
      <c r="AD67" s="205"/>
      <c r="AE67" s="205"/>
      <c r="AF67" s="205"/>
      <c r="AG67" s="204"/>
      <c r="AH67" s="208">
        <f t="shared" si="227"/>
        <v>0</v>
      </c>
      <c r="AI67" s="203"/>
      <c r="AJ67" s="205"/>
      <c r="AK67" s="205"/>
      <c r="AL67" s="205"/>
      <c r="AM67" s="204"/>
      <c r="AN67" s="208">
        <f t="shared" si="175"/>
        <v>0</v>
      </c>
      <c r="AO67" s="203"/>
      <c r="AP67" s="205"/>
      <c r="AQ67" s="205"/>
      <c r="AR67" s="205"/>
      <c r="AS67" s="204"/>
      <c r="AT67" s="208">
        <f t="shared" si="176"/>
        <v>0</v>
      </c>
      <c r="AU67" s="203"/>
      <c r="AV67" s="205"/>
      <c r="AW67" s="205"/>
      <c r="AX67" s="205"/>
      <c r="AY67" s="204"/>
      <c r="AZ67" s="208">
        <f t="shared" si="177"/>
        <v>0</v>
      </c>
      <c r="BA67" s="208">
        <f t="shared" si="178"/>
        <v>0</v>
      </c>
      <c r="BB67" s="203"/>
      <c r="BC67" s="205">
        <f>1573.315+108.5</f>
        <v>1681.8150000000001</v>
      </c>
      <c r="BD67" s="205"/>
      <c r="BE67" s="205"/>
      <c r="BF67" s="204"/>
      <c r="BG67" s="208">
        <f t="shared" si="179"/>
        <v>1681.8150000000001</v>
      </c>
      <c r="BH67" s="203"/>
      <c r="BI67" s="205"/>
      <c r="BJ67" s="205"/>
      <c r="BK67" s="205"/>
      <c r="BL67" s="204"/>
      <c r="BM67" s="208">
        <f t="shared" si="164"/>
        <v>0</v>
      </c>
      <c r="BN67" s="203"/>
      <c r="BO67" s="205"/>
      <c r="BP67" s="205"/>
      <c r="BQ67" s="204"/>
      <c r="BR67" s="208">
        <f t="shared" si="180"/>
        <v>0</v>
      </c>
      <c r="BS67" s="203"/>
      <c r="BT67" s="205"/>
      <c r="BU67" s="205"/>
      <c r="BV67" s="205"/>
      <c r="BW67" s="204"/>
      <c r="BX67" s="208">
        <f t="shared" si="181"/>
        <v>0</v>
      </c>
      <c r="BY67" s="203"/>
      <c r="BZ67" s="205"/>
      <c r="CA67" s="208">
        <f t="shared" si="182"/>
        <v>0</v>
      </c>
      <c r="CB67" s="208">
        <f t="shared" si="183"/>
        <v>1681.8150000000001</v>
      </c>
      <c r="CC67" s="203"/>
      <c r="CD67" s="205"/>
      <c r="CE67" s="205"/>
      <c r="CF67" s="208">
        <f t="shared" si="228"/>
        <v>0</v>
      </c>
      <c r="CG67" s="203"/>
      <c r="CH67" s="205"/>
      <c r="CI67" s="205"/>
      <c r="CJ67" s="204"/>
      <c r="CK67" s="208">
        <f t="shared" si="184"/>
        <v>0</v>
      </c>
      <c r="CL67" s="203"/>
      <c r="CM67" s="205"/>
      <c r="CN67" s="205"/>
      <c r="CO67" s="205"/>
      <c r="CP67" s="204"/>
      <c r="CQ67" s="208">
        <f t="shared" si="185"/>
        <v>0</v>
      </c>
      <c r="CR67" s="203"/>
      <c r="CS67" s="205"/>
      <c r="CT67" s="205"/>
      <c r="CU67" s="205"/>
      <c r="CV67" s="204"/>
      <c r="CW67" s="208">
        <f t="shared" si="186"/>
        <v>0</v>
      </c>
      <c r="CX67" s="203"/>
      <c r="CY67" s="205"/>
      <c r="CZ67" s="205"/>
      <c r="DA67" s="204"/>
      <c r="DB67" s="208">
        <f t="shared" si="187"/>
        <v>0</v>
      </c>
      <c r="DC67" s="208">
        <f t="shared" si="229"/>
        <v>0</v>
      </c>
      <c r="DD67" s="203"/>
      <c r="DE67" s="205"/>
      <c r="DF67" s="205"/>
      <c r="DG67" s="205"/>
      <c r="DH67" s="205"/>
      <c r="DI67" s="208">
        <f t="shared" si="188"/>
        <v>0</v>
      </c>
      <c r="DJ67" s="203"/>
      <c r="DK67" s="205"/>
      <c r="DL67" s="205"/>
      <c r="DM67" s="205">
        <f>1665.9+108.5</f>
        <v>1774.4</v>
      </c>
      <c r="DN67" s="204"/>
      <c r="DO67" s="208">
        <f t="shared" si="189"/>
        <v>1774.4</v>
      </c>
      <c r="DP67" s="203"/>
      <c r="DQ67" s="205"/>
      <c r="DR67" s="205"/>
      <c r="DS67" s="205"/>
      <c r="DT67" s="204"/>
      <c r="DU67" s="245">
        <f t="shared" si="190"/>
        <v>0</v>
      </c>
      <c r="DV67" s="203"/>
      <c r="DW67" s="205"/>
      <c r="DX67" s="205"/>
      <c r="DY67" s="205"/>
      <c r="DZ67" s="204"/>
      <c r="EA67" s="208">
        <f t="shared" si="191"/>
        <v>0</v>
      </c>
      <c r="EB67" s="208">
        <f t="shared" si="192"/>
        <v>1774.4</v>
      </c>
      <c r="EC67" s="203"/>
      <c r="ED67" s="205"/>
      <c r="EE67" s="205"/>
      <c r="EF67" s="205"/>
      <c r="EG67" s="204"/>
      <c r="EH67" s="208">
        <f t="shared" si="193"/>
        <v>0</v>
      </c>
      <c r="EI67" s="203"/>
      <c r="EJ67" s="205"/>
      <c r="EK67" s="205"/>
      <c r="EL67" s="205"/>
      <c r="EM67" s="204"/>
      <c r="EN67" s="208">
        <f t="shared" si="194"/>
        <v>0</v>
      </c>
      <c r="EO67" s="203"/>
      <c r="EP67" s="205"/>
      <c r="EQ67" s="205"/>
      <c r="ER67" s="205"/>
      <c r="ES67" s="204"/>
      <c r="ET67" s="308">
        <f t="shared" si="195"/>
        <v>0</v>
      </c>
      <c r="EU67" s="203"/>
      <c r="EV67" s="205"/>
      <c r="EW67" s="205"/>
      <c r="EX67" s="205"/>
      <c r="EY67" s="205"/>
      <c r="EZ67" s="205"/>
      <c r="FA67" s="204"/>
      <c r="FB67" s="208">
        <f t="shared" si="196"/>
        <v>0</v>
      </c>
      <c r="FC67" s="208">
        <f t="shared" si="197"/>
        <v>0</v>
      </c>
      <c r="FD67" s="203"/>
      <c r="FE67" s="205"/>
      <c r="FF67" s="204"/>
      <c r="FG67" s="208">
        <f t="shared" si="198"/>
        <v>0</v>
      </c>
      <c r="FH67" s="203"/>
      <c r="FI67" s="205"/>
      <c r="FJ67" s="205"/>
      <c r="FK67" s="205"/>
      <c r="FL67" s="204"/>
      <c r="FM67" s="208">
        <f t="shared" si="199"/>
        <v>0</v>
      </c>
      <c r="FN67" s="203"/>
      <c r="FO67" s="205"/>
      <c r="FP67" s="205"/>
      <c r="FQ67" s="205"/>
      <c r="FR67" s="208">
        <f t="shared" si="165"/>
        <v>0</v>
      </c>
      <c r="FS67" s="203"/>
      <c r="FT67" s="205"/>
      <c r="FU67" s="205"/>
      <c r="FV67" s="205"/>
      <c r="FW67" s="204"/>
      <c r="FX67" s="208">
        <f t="shared" si="166"/>
        <v>0</v>
      </c>
      <c r="FY67" s="203"/>
      <c r="FZ67" s="205"/>
      <c r="GA67" s="205"/>
      <c r="GB67" s="205"/>
      <c r="GC67" s="204"/>
      <c r="GD67" s="208">
        <f t="shared" si="167"/>
        <v>0</v>
      </c>
      <c r="GE67" s="208">
        <f t="shared" si="168"/>
        <v>0</v>
      </c>
      <c r="GF67" s="203"/>
      <c r="GG67" s="205"/>
      <c r="GH67" s="205"/>
      <c r="GI67" s="205"/>
      <c r="GJ67" s="205"/>
      <c r="GK67" s="208">
        <f t="shared" si="169"/>
        <v>0</v>
      </c>
      <c r="GL67" s="203"/>
      <c r="GM67" s="205"/>
      <c r="GN67" s="205"/>
      <c r="GO67" s="204"/>
      <c r="GP67" s="208">
        <f t="shared" si="170"/>
        <v>0</v>
      </c>
      <c r="GQ67" s="203"/>
      <c r="GR67" s="205"/>
      <c r="GS67" s="205"/>
      <c r="GT67" s="205">
        <v>1381.78</v>
      </c>
      <c r="GU67" s="204"/>
      <c r="GV67" s="208">
        <f t="shared" si="200"/>
        <v>1381.78</v>
      </c>
      <c r="GW67" s="203"/>
      <c r="GX67" s="205"/>
      <c r="GY67" s="205"/>
      <c r="GZ67" s="205"/>
      <c r="HA67" s="205"/>
      <c r="HB67" s="204"/>
      <c r="HC67" s="208">
        <f t="shared" si="201"/>
        <v>0</v>
      </c>
      <c r="HD67" s="208">
        <f t="shared" si="202"/>
        <v>1381.78</v>
      </c>
      <c r="HE67" s="203"/>
      <c r="HF67" s="205"/>
      <c r="HG67" s="205"/>
      <c r="HH67" s="205"/>
      <c r="HI67" s="208">
        <f t="shared" si="203"/>
        <v>0</v>
      </c>
      <c r="HJ67" s="203"/>
      <c r="HK67" s="205"/>
      <c r="HL67" s="205"/>
      <c r="HM67" s="205"/>
      <c r="HN67" s="204"/>
      <c r="HO67" s="245">
        <f t="shared" si="204"/>
        <v>0</v>
      </c>
      <c r="HP67" s="203"/>
      <c r="HQ67" s="205"/>
      <c r="HR67" s="205"/>
      <c r="HS67" s="205"/>
      <c r="HT67" s="204"/>
      <c r="HU67" s="208">
        <f t="shared" si="205"/>
        <v>0</v>
      </c>
      <c r="HV67" s="203"/>
      <c r="HW67" s="205"/>
      <c r="HX67" s="205"/>
      <c r="HY67" s="208">
        <f t="shared" si="171"/>
        <v>0</v>
      </c>
      <c r="HZ67" s="203"/>
      <c r="IA67" s="205"/>
      <c r="IB67" s="204"/>
      <c r="IC67" s="208">
        <f t="shared" si="206"/>
        <v>0</v>
      </c>
      <c r="ID67" s="208">
        <f t="shared" si="172"/>
        <v>0</v>
      </c>
      <c r="IE67" s="203"/>
      <c r="IF67" s="204"/>
      <c r="IG67" s="208">
        <f t="shared" si="207"/>
        <v>0</v>
      </c>
      <c r="IH67" s="203"/>
      <c r="II67" s="205">
        <v>547.10500000000002</v>
      </c>
      <c r="IJ67" s="205"/>
      <c r="IK67" s="205"/>
      <c r="IL67" s="204"/>
      <c r="IM67" s="208">
        <f t="shared" si="208"/>
        <v>547.10500000000002</v>
      </c>
      <c r="IN67" s="203"/>
      <c r="IO67" s="205"/>
      <c r="IP67" s="204"/>
      <c r="IQ67" s="208">
        <f t="shared" si="209"/>
        <v>0</v>
      </c>
      <c r="IR67" s="203"/>
      <c r="IS67" s="205"/>
      <c r="IT67" s="205"/>
      <c r="IU67" s="205"/>
      <c r="IV67" s="204"/>
      <c r="IW67" s="208">
        <f t="shared" si="210"/>
        <v>0</v>
      </c>
      <c r="IX67" s="203"/>
      <c r="IY67" s="205"/>
      <c r="IZ67" s="205"/>
      <c r="JA67" s="205"/>
      <c r="JB67" s="204"/>
      <c r="JC67" s="208">
        <f t="shared" si="211"/>
        <v>0</v>
      </c>
      <c r="JD67" s="208">
        <f t="shared" si="212"/>
        <v>547.10500000000002</v>
      </c>
      <c r="JE67" s="203"/>
      <c r="JF67" s="205"/>
      <c r="JG67" s="205"/>
      <c r="JH67" s="205"/>
      <c r="JI67" s="204"/>
      <c r="JJ67" s="208">
        <f t="shared" si="213"/>
        <v>0</v>
      </c>
      <c r="JK67" s="203"/>
      <c r="JL67" s="205"/>
      <c r="JM67" s="205"/>
      <c r="JN67" s="205"/>
      <c r="JO67" s="204"/>
      <c r="JP67" s="208">
        <f t="shared" si="214"/>
        <v>0</v>
      </c>
      <c r="JQ67" s="203"/>
      <c r="JR67" s="205"/>
      <c r="JS67" s="205"/>
      <c r="JT67" s="205"/>
      <c r="JU67" s="204"/>
      <c r="JV67" s="208">
        <f t="shared" si="215"/>
        <v>0</v>
      </c>
      <c r="JW67" s="203"/>
      <c r="JX67" s="205"/>
      <c r="JY67" s="205"/>
      <c r="JZ67" s="205"/>
      <c r="KA67" s="205"/>
      <c r="KB67" s="204"/>
      <c r="KC67" s="208">
        <f t="shared" si="216"/>
        <v>0</v>
      </c>
      <c r="KD67" s="208">
        <f t="shared" si="217"/>
        <v>0</v>
      </c>
      <c r="KE67" s="203"/>
      <c r="KF67" s="205"/>
      <c r="KG67" s="205"/>
      <c r="KH67" s="205"/>
      <c r="KI67" s="204"/>
      <c r="KJ67" s="208">
        <f t="shared" si="218"/>
        <v>0</v>
      </c>
      <c r="KK67" s="203"/>
      <c r="KL67" s="205"/>
      <c r="KM67" s="205"/>
      <c r="KN67" s="205"/>
      <c r="KO67" s="204"/>
      <c r="KP67" s="208">
        <f t="shared" si="219"/>
        <v>0</v>
      </c>
      <c r="KQ67" s="203"/>
      <c r="KR67" s="205"/>
      <c r="KS67" s="205"/>
      <c r="KT67" s="205"/>
      <c r="KU67" s="204"/>
      <c r="KV67" s="208">
        <f t="shared" si="220"/>
        <v>0</v>
      </c>
      <c r="KW67" s="203"/>
      <c r="KX67" s="205"/>
      <c r="KY67" s="205"/>
      <c r="KZ67" s="205"/>
      <c r="LA67" s="204"/>
      <c r="LB67" s="208">
        <f t="shared" si="221"/>
        <v>0</v>
      </c>
      <c r="LC67" s="202"/>
      <c r="LD67" s="244"/>
      <c r="LE67" s="245"/>
      <c r="LF67" s="208">
        <f t="shared" si="222"/>
        <v>0</v>
      </c>
      <c r="LG67" s="208">
        <f t="shared" si="223"/>
        <v>0</v>
      </c>
    </row>
    <row r="68" spans="2:319" s="91" customFormat="1">
      <c r="B68" s="167" t="s">
        <v>85</v>
      </c>
      <c r="C68" s="167"/>
      <c r="D68" s="202">
        <f t="shared" si="163"/>
        <v>0</v>
      </c>
      <c r="E68" s="167"/>
      <c r="F68" s="177"/>
      <c r="G68" s="177"/>
      <c r="H68" s="177"/>
      <c r="I68" s="178"/>
      <c r="J68" s="202">
        <f t="shared" si="224"/>
        <v>0</v>
      </c>
      <c r="K68" s="167"/>
      <c r="L68" s="177"/>
      <c r="M68" s="177"/>
      <c r="N68" s="178">
        <f>270.455+873.728</f>
        <v>1144.183</v>
      </c>
      <c r="O68" s="202">
        <f t="shared" si="230"/>
        <v>1144.183</v>
      </c>
      <c r="P68" s="167"/>
      <c r="Q68" s="177"/>
      <c r="R68" s="177"/>
      <c r="S68" s="177"/>
      <c r="T68" s="178"/>
      <c r="U68" s="202">
        <f t="shared" si="173"/>
        <v>0</v>
      </c>
      <c r="V68" s="167"/>
      <c r="W68" s="177"/>
      <c r="X68" s="177"/>
      <c r="Y68" s="177"/>
      <c r="Z68" s="177">
        <f>391.137+55692.941+20976.928</f>
        <v>77061.005999999994</v>
      </c>
      <c r="AA68" s="208">
        <f t="shared" si="174"/>
        <v>77061.005999999994</v>
      </c>
      <c r="AB68" s="208">
        <f t="shared" si="226"/>
        <v>78205.188999999998</v>
      </c>
      <c r="AC68" s="203">
        <v>1500</v>
      </c>
      <c r="AD68" s="205">
        <v>678.58900000000006</v>
      </c>
      <c r="AE68" s="205">
        <v>169.48</v>
      </c>
      <c r="AF68" s="205">
        <f>370.274+600+600</f>
        <v>1570.2739999999999</v>
      </c>
      <c r="AG68" s="204">
        <f>300+850</f>
        <v>1150</v>
      </c>
      <c r="AH68" s="208">
        <f t="shared" si="227"/>
        <v>5068.3429999999998</v>
      </c>
      <c r="AI68" s="203"/>
      <c r="AJ68" s="205">
        <f>500+1000</f>
        <v>1500</v>
      </c>
      <c r="AK68" s="205"/>
      <c r="AL68" s="205"/>
      <c r="AM68" s="204"/>
      <c r="AN68" s="208">
        <f t="shared" si="175"/>
        <v>1500</v>
      </c>
      <c r="AO68" s="203"/>
      <c r="AP68" s="205"/>
      <c r="AQ68" s="205"/>
      <c r="AR68" s="205"/>
      <c r="AS68" s="204"/>
      <c r="AT68" s="208">
        <f t="shared" si="176"/>
        <v>0</v>
      </c>
      <c r="AU68" s="203"/>
      <c r="AV68" s="205"/>
      <c r="AW68" s="205"/>
      <c r="AX68" s="205"/>
      <c r="AY68" s="204"/>
      <c r="AZ68" s="208">
        <f t="shared" si="177"/>
        <v>0</v>
      </c>
      <c r="BA68" s="208">
        <f t="shared" si="178"/>
        <v>6568.3429999999998</v>
      </c>
      <c r="BB68" s="203">
        <f>65743.127+22187.054+556.723</f>
        <v>88486.903999999995</v>
      </c>
      <c r="BC68" s="205"/>
      <c r="BD68" s="205"/>
      <c r="BE68" s="205"/>
      <c r="BF68" s="204">
        <v>396.89</v>
      </c>
      <c r="BG68" s="208">
        <f t="shared" si="179"/>
        <v>88883.793999999994</v>
      </c>
      <c r="BH68" s="203"/>
      <c r="BI68" s="205"/>
      <c r="BJ68" s="205">
        <v>500</v>
      </c>
      <c r="BK68" s="205"/>
      <c r="BL68" s="204">
        <f>300+400</f>
        <v>700</v>
      </c>
      <c r="BM68" s="208">
        <f t="shared" si="164"/>
        <v>1200</v>
      </c>
      <c r="BN68" s="203"/>
      <c r="BO68" s="205"/>
      <c r="BP68" s="205">
        <f>600+500+1500+400</f>
        <v>3000</v>
      </c>
      <c r="BQ68" s="204"/>
      <c r="BR68" s="208">
        <f t="shared" si="180"/>
        <v>3000</v>
      </c>
      <c r="BS68" s="203"/>
      <c r="BT68" s="205"/>
      <c r="BU68" s="205"/>
      <c r="BV68" s="205"/>
      <c r="BW68" s="204"/>
      <c r="BX68" s="208">
        <f t="shared" si="181"/>
        <v>0</v>
      </c>
      <c r="BY68" s="203"/>
      <c r="BZ68" s="205">
        <f>54114.05+24274.114+500</f>
        <v>78888.164000000004</v>
      </c>
      <c r="CA68" s="208">
        <f t="shared" si="182"/>
        <v>78888.164000000004</v>
      </c>
      <c r="CB68" s="208">
        <f t="shared" si="183"/>
        <v>171971.95799999998</v>
      </c>
      <c r="CC68" s="203"/>
      <c r="CD68" s="205">
        <v>860</v>
      </c>
      <c r="CE68" s="205"/>
      <c r="CF68" s="208">
        <f t="shared" si="228"/>
        <v>860</v>
      </c>
      <c r="CG68" s="203">
        <f>119.776+344.75+222.812</f>
        <v>687.33799999999997</v>
      </c>
      <c r="CH68" s="205"/>
      <c r="CI68" s="205">
        <v>373.24900000000002</v>
      </c>
      <c r="CJ68" s="204">
        <f>150+150</f>
        <v>300</v>
      </c>
      <c r="CK68" s="208">
        <f t="shared" si="184"/>
        <v>1360.587</v>
      </c>
      <c r="CL68" s="203"/>
      <c r="CM68" s="205"/>
      <c r="CN68" s="205"/>
      <c r="CO68" s="205"/>
      <c r="CP68" s="204"/>
      <c r="CQ68" s="208">
        <f t="shared" si="185"/>
        <v>0</v>
      </c>
      <c r="CR68" s="203"/>
      <c r="CS68" s="205"/>
      <c r="CT68" s="205"/>
      <c r="CU68" s="205"/>
      <c r="CV68" s="204"/>
      <c r="CW68" s="208">
        <f t="shared" si="186"/>
        <v>0</v>
      </c>
      <c r="CX68" s="203"/>
      <c r="CY68" s="205"/>
      <c r="CZ68" s="205"/>
      <c r="DA68" s="204">
        <f>720.529+55832.038+23856.221</f>
        <v>80408.788</v>
      </c>
      <c r="DB68" s="208">
        <f t="shared" si="187"/>
        <v>80408.788</v>
      </c>
      <c r="DC68" s="208">
        <f t="shared" si="229"/>
        <v>82629.375</v>
      </c>
      <c r="DD68" s="203"/>
      <c r="DE68" s="205"/>
      <c r="DF68" s="205"/>
      <c r="DG68" s="205"/>
      <c r="DH68" s="205">
        <f>86.066+183.333</f>
        <v>269.399</v>
      </c>
      <c r="DI68" s="208">
        <f t="shared" si="188"/>
        <v>269.399</v>
      </c>
      <c r="DJ68" s="203"/>
      <c r="DK68" s="205"/>
      <c r="DL68" s="205"/>
      <c r="DM68" s="205"/>
      <c r="DN68" s="204"/>
      <c r="DO68" s="208">
        <f t="shared" si="189"/>
        <v>0</v>
      </c>
      <c r="DP68" s="203"/>
      <c r="DQ68" s="205"/>
      <c r="DR68" s="205"/>
      <c r="DS68" s="205"/>
      <c r="DT68" s="204"/>
      <c r="DU68" s="245">
        <f t="shared" si="190"/>
        <v>0</v>
      </c>
      <c r="DV68" s="203"/>
      <c r="DW68" s="205"/>
      <c r="DX68" s="205"/>
      <c r="DY68" s="205"/>
      <c r="DZ68" s="204"/>
      <c r="EA68" s="208">
        <f t="shared" si="191"/>
        <v>0</v>
      </c>
      <c r="EB68" s="208">
        <f t="shared" si="192"/>
        <v>269.399</v>
      </c>
      <c r="EC68" s="203">
        <f>23856.223+54657.87+450</f>
        <v>78964.093000000008</v>
      </c>
      <c r="ED68" s="205"/>
      <c r="EE68" s="205"/>
      <c r="EF68" s="205">
        <v>50</v>
      </c>
      <c r="EG68" s="204">
        <v>50</v>
      </c>
      <c r="EH68" s="208">
        <f t="shared" si="193"/>
        <v>79064.093000000008</v>
      </c>
      <c r="EI68" s="203"/>
      <c r="EJ68" s="205"/>
      <c r="EK68" s="205"/>
      <c r="EL68" s="205"/>
      <c r="EM68" s="204"/>
      <c r="EN68" s="208">
        <f t="shared" si="194"/>
        <v>0</v>
      </c>
      <c r="EO68" s="203"/>
      <c r="EP68" s="205">
        <v>578.08799999999997</v>
      </c>
      <c r="EQ68" s="205"/>
      <c r="ER68" s="205"/>
      <c r="ES68" s="204"/>
      <c r="ET68" s="308">
        <f t="shared" si="195"/>
        <v>578.08799999999997</v>
      </c>
      <c r="EU68" s="203"/>
      <c r="EV68" s="205">
        <v>500</v>
      </c>
      <c r="EW68" s="205"/>
      <c r="EX68" s="205"/>
      <c r="EY68" s="205"/>
      <c r="EZ68" s="205"/>
      <c r="FA68" s="204"/>
      <c r="FB68" s="208">
        <f t="shared" si="196"/>
        <v>500</v>
      </c>
      <c r="FC68" s="208">
        <f t="shared" si="197"/>
        <v>80142.181000000011</v>
      </c>
      <c r="FD68" s="203">
        <f>56020.977+23856.222+772.774+350.196</f>
        <v>81000.168999999994</v>
      </c>
      <c r="FE68" s="205">
        <v>2500</v>
      </c>
      <c r="FF68" s="204"/>
      <c r="FG68" s="208">
        <f t="shared" si="198"/>
        <v>83500.168999999994</v>
      </c>
      <c r="FH68" s="203"/>
      <c r="FI68" s="205"/>
      <c r="FJ68" s="205"/>
      <c r="FK68" s="205">
        <f>21000+1800</f>
        <v>22800</v>
      </c>
      <c r="FL68" s="204"/>
      <c r="FM68" s="208">
        <f t="shared" si="199"/>
        <v>22800</v>
      </c>
      <c r="FN68" s="203"/>
      <c r="FO68" s="205"/>
      <c r="FP68" s="205">
        <v>500</v>
      </c>
      <c r="FQ68" s="205"/>
      <c r="FR68" s="208">
        <f t="shared" si="165"/>
        <v>500</v>
      </c>
      <c r="FS68" s="203"/>
      <c r="FT68" s="205"/>
      <c r="FU68" s="205"/>
      <c r="FV68" s="205"/>
      <c r="FW68" s="204"/>
      <c r="FX68" s="208">
        <f t="shared" si="166"/>
        <v>0</v>
      </c>
      <c r="FY68" s="203">
        <v>2000</v>
      </c>
      <c r="FZ68" s="205"/>
      <c r="GA68" s="205"/>
      <c r="GB68" s="205"/>
      <c r="GC68" s="204">
        <f>60988.017+23956.695</f>
        <v>84944.712</v>
      </c>
      <c r="GD68" s="208">
        <f t="shared" si="167"/>
        <v>86944.712</v>
      </c>
      <c r="GE68" s="208">
        <f t="shared" si="168"/>
        <v>193744.88099999999</v>
      </c>
      <c r="GF68" s="203">
        <v>2000</v>
      </c>
      <c r="GG68" s="205"/>
      <c r="GH68" s="205"/>
      <c r="GI68" s="205"/>
      <c r="GJ68" s="205"/>
      <c r="GK68" s="208">
        <f t="shared" si="169"/>
        <v>2000</v>
      </c>
      <c r="GL68" s="203">
        <f>1000+200</f>
        <v>1200</v>
      </c>
      <c r="GM68" s="205">
        <v>600</v>
      </c>
      <c r="GN68" s="205">
        <v>400</v>
      </c>
      <c r="GO68" s="204"/>
      <c r="GP68" s="208">
        <f t="shared" si="170"/>
        <v>2200</v>
      </c>
      <c r="GQ68" s="203">
        <f>400+400</f>
        <v>800</v>
      </c>
      <c r="GR68" s="205">
        <v>400</v>
      </c>
      <c r="GS68" s="205">
        <f>400+400+500</f>
        <v>1300</v>
      </c>
      <c r="GT68" s="205">
        <f>400+500</f>
        <v>900</v>
      </c>
      <c r="GU68" s="204">
        <v>400</v>
      </c>
      <c r="GV68" s="208">
        <f t="shared" si="200"/>
        <v>3800</v>
      </c>
      <c r="GW68" s="203"/>
      <c r="GX68" s="205">
        <v>300</v>
      </c>
      <c r="GY68" s="205">
        <v>400</v>
      </c>
      <c r="GZ68" s="205">
        <v>400</v>
      </c>
      <c r="HA68" s="205">
        <f>400+400</f>
        <v>800</v>
      </c>
      <c r="HB68" s="204">
        <f>2000+408.834+1200+24306.694+56942.501</f>
        <v>84858.028999999995</v>
      </c>
      <c r="HC68" s="208">
        <f t="shared" si="201"/>
        <v>86758.028999999995</v>
      </c>
      <c r="HD68" s="208">
        <f t="shared" si="202"/>
        <v>94758.028999999995</v>
      </c>
      <c r="HE68" s="203"/>
      <c r="HF68" s="205"/>
      <c r="HG68" s="205"/>
      <c r="HH68" s="205">
        <v>800</v>
      </c>
      <c r="HI68" s="208">
        <f t="shared" si="203"/>
        <v>800</v>
      </c>
      <c r="HJ68" s="203"/>
      <c r="HK68" s="205">
        <v>600</v>
      </c>
      <c r="HL68" s="205"/>
      <c r="HM68" s="205"/>
      <c r="HN68" s="204"/>
      <c r="HO68" s="245">
        <f t="shared" si="204"/>
        <v>600</v>
      </c>
      <c r="HP68" s="203"/>
      <c r="HQ68" s="205">
        <f>4800+29400</f>
        <v>34200</v>
      </c>
      <c r="HR68" s="205"/>
      <c r="HS68" s="205"/>
      <c r="HT68" s="204">
        <v>2000</v>
      </c>
      <c r="HU68" s="208">
        <f t="shared" si="205"/>
        <v>36200</v>
      </c>
      <c r="HV68" s="203"/>
      <c r="HW68" s="205"/>
      <c r="HX68" s="205">
        <v>1000</v>
      </c>
      <c r="HY68" s="208">
        <f t="shared" si="171"/>
        <v>1000</v>
      </c>
      <c r="HZ68" s="203"/>
      <c r="IA68" s="205"/>
      <c r="IB68" s="204">
        <f>55643.08+23857.29+1703.92</f>
        <v>81204.289999999994</v>
      </c>
      <c r="IC68" s="208">
        <f t="shared" si="206"/>
        <v>81204.289999999994</v>
      </c>
      <c r="ID68" s="208">
        <f t="shared" si="172"/>
        <v>119804.29</v>
      </c>
      <c r="IE68" s="203"/>
      <c r="IF68" s="204"/>
      <c r="IG68" s="208">
        <f t="shared" si="207"/>
        <v>0</v>
      </c>
      <c r="IH68" s="203"/>
      <c r="II68" s="205"/>
      <c r="IJ68" s="205">
        <f>500+400+500+400</f>
        <v>1800</v>
      </c>
      <c r="IK68" s="205">
        <f>500+400+600</f>
        <v>1500</v>
      </c>
      <c r="IL68" s="204"/>
      <c r="IM68" s="208">
        <f t="shared" si="208"/>
        <v>3300</v>
      </c>
      <c r="IN68" s="203"/>
      <c r="IO68" s="205"/>
      <c r="IP68" s="204"/>
      <c r="IQ68" s="208">
        <f t="shared" si="209"/>
        <v>0</v>
      </c>
      <c r="IR68" s="203"/>
      <c r="IS68" s="205"/>
      <c r="IT68" s="205"/>
      <c r="IU68" s="205"/>
      <c r="IV68" s="204"/>
      <c r="IW68" s="208">
        <f t="shared" si="210"/>
        <v>0</v>
      </c>
      <c r="IX68" s="203"/>
      <c r="IY68" s="205"/>
      <c r="IZ68" s="205"/>
      <c r="JA68" s="205"/>
      <c r="JB68" s="204">
        <f>59516.078+1331.333+23450.254</f>
        <v>84297.665000000008</v>
      </c>
      <c r="JC68" s="208">
        <f t="shared" si="211"/>
        <v>84297.665000000008</v>
      </c>
      <c r="JD68" s="208">
        <f t="shared" si="212"/>
        <v>87597.665000000008</v>
      </c>
      <c r="JE68" s="203"/>
      <c r="JF68" s="205"/>
      <c r="JG68" s="205"/>
      <c r="JH68" s="205"/>
      <c r="JI68" s="204"/>
      <c r="JJ68" s="208">
        <f t="shared" si="213"/>
        <v>0</v>
      </c>
      <c r="JK68" s="203"/>
      <c r="JL68" s="205"/>
      <c r="JM68" s="205"/>
      <c r="JN68" s="205"/>
      <c r="JO68" s="204"/>
      <c r="JP68" s="208">
        <f t="shared" si="214"/>
        <v>0</v>
      </c>
      <c r="JQ68" s="203"/>
      <c r="JR68" s="205"/>
      <c r="JS68" s="205"/>
      <c r="JT68" s="205"/>
      <c r="JU68" s="204"/>
      <c r="JV68" s="208">
        <f t="shared" si="215"/>
        <v>0</v>
      </c>
      <c r="JW68" s="203"/>
      <c r="JX68" s="205"/>
      <c r="JY68" s="205"/>
      <c r="JZ68" s="205"/>
      <c r="KA68" s="205"/>
      <c r="KB68" s="204"/>
      <c r="KC68" s="208">
        <f t="shared" si="216"/>
        <v>0</v>
      </c>
      <c r="KD68" s="208">
        <v>85000</v>
      </c>
      <c r="KE68" s="203"/>
      <c r="KF68" s="205"/>
      <c r="KG68" s="205"/>
      <c r="KH68" s="205"/>
      <c r="KI68" s="204"/>
      <c r="KJ68" s="208">
        <f t="shared" si="218"/>
        <v>0</v>
      </c>
      <c r="KK68" s="203"/>
      <c r="KL68" s="205"/>
      <c r="KM68" s="205"/>
      <c r="KN68" s="205"/>
      <c r="KO68" s="204"/>
      <c r="KP68" s="208">
        <f t="shared" si="219"/>
        <v>0</v>
      </c>
      <c r="KQ68" s="203"/>
      <c r="KR68" s="205"/>
      <c r="KS68" s="205"/>
      <c r="KT68" s="205"/>
      <c r="KU68" s="204"/>
      <c r="KV68" s="208">
        <f t="shared" si="220"/>
        <v>0</v>
      </c>
      <c r="KW68" s="203"/>
      <c r="KX68" s="205"/>
      <c r="KY68" s="205"/>
      <c r="KZ68" s="205"/>
      <c r="LA68" s="204"/>
      <c r="LB68" s="208">
        <f t="shared" si="221"/>
        <v>0</v>
      </c>
      <c r="LC68" s="202"/>
      <c r="LD68" s="244"/>
      <c r="LE68" s="245"/>
      <c r="LF68" s="208">
        <f t="shared" si="222"/>
        <v>0</v>
      </c>
      <c r="LG68" s="208">
        <v>85000</v>
      </c>
    </row>
    <row r="69" spans="2:319" s="91" customFormat="1">
      <c r="B69" s="93" t="s">
        <v>388</v>
      </c>
      <c r="C69" s="167"/>
      <c r="D69" s="202">
        <f t="shared" si="163"/>
        <v>0</v>
      </c>
      <c r="E69" s="167"/>
      <c r="F69" s="177"/>
      <c r="G69" s="177"/>
      <c r="H69" s="177"/>
      <c r="I69" s="178"/>
      <c r="J69" s="202">
        <f t="shared" si="224"/>
        <v>0</v>
      </c>
      <c r="K69" s="167"/>
      <c r="L69" s="177"/>
      <c r="M69" s="177"/>
      <c r="N69" s="178">
        <v>250</v>
      </c>
      <c r="O69" s="202">
        <f t="shared" si="230"/>
        <v>250</v>
      </c>
      <c r="P69" s="167"/>
      <c r="Q69" s="177"/>
      <c r="R69" s="177"/>
      <c r="S69" s="177">
        <v>4900</v>
      </c>
      <c r="T69" s="178"/>
      <c r="U69" s="202">
        <f t="shared" si="173"/>
        <v>4900</v>
      </c>
      <c r="V69" s="167"/>
      <c r="W69" s="177"/>
      <c r="X69" s="177"/>
      <c r="Y69" s="177"/>
      <c r="Z69" s="177"/>
      <c r="AA69" s="208">
        <f t="shared" si="174"/>
        <v>0</v>
      </c>
      <c r="AB69" s="208">
        <f t="shared" si="226"/>
        <v>5150</v>
      </c>
      <c r="AC69" s="203"/>
      <c r="AD69" s="205"/>
      <c r="AE69" s="205"/>
      <c r="AF69" s="205"/>
      <c r="AG69" s="204"/>
      <c r="AH69" s="208">
        <f t="shared" si="227"/>
        <v>0</v>
      </c>
      <c r="AI69" s="203"/>
      <c r="AJ69" s="205"/>
      <c r="AK69" s="205"/>
      <c r="AL69" s="205"/>
      <c r="AM69" s="204"/>
      <c r="AN69" s="208">
        <f t="shared" si="175"/>
        <v>0</v>
      </c>
      <c r="AO69" s="203"/>
      <c r="AP69" s="205">
        <f>150+550+400</f>
        <v>1100</v>
      </c>
      <c r="AQ69" s="205"/>
      <c r="AR69" s="205"/>
      <c r="AS69" s="204">
        <v>500</v>
      </c>
      <c r="AT69" s="208">
        <f t="shared" si="176"/>
        <v>1600</v>
      </c>
      <c r="AU69" s="203"/>
      <c r="AV69" s="205"/>
      <c r="AW69" s="205">
        <v>180</v>
      </c>
      <c r="AX69" s="205">
        <v>5150</v>
      </c>
      <c r="AY69" s="204"/>
      <c r="AZ69" s="208">
        <f t="shared" si="177"/>
        <v>5330</v>
      </c>
      <c r="BA69" s="208">
        <f t="shared" si="178"/>
        <v>6930</v>
      </c>
      <c r="BB69" s="203"/>
      <c r="BC69" s="205">
        <f>450+200</f>
        <v>650</v>
      </c>
      <c r="BD69" s="205">
        <v>150</v>
      </c>
      <c r="BE69" s="205"/>
      <c r="BF69" s="204"/>
      <c r="BG69" s="208">
        <f t="shared" si="179"/>
        <v>800</v>
      </c>
      <c r="BH69" s="203"/>
      <c r="BI69" s="205"/>
      <c r="BJ69" s="205"/>
      <c r="BK69" s="205"/>
      <c r="BL69" s="204"/>
      <c r="BM69" s="208">
        <f t="shared" si="164"/>
        <v>0</v>
      </c>
      <c r="BN69" s="203"/>
      <c r="BO69" s="205">
        <f>600+6400</f>
        <v>7000</v>
      </c>
      <c r="BP69" s="205"/>
      <c r="BQ69" s="204"/>
      <c r="BR69" s="208">
        <f t="shared" si="180"/>
        <v>7000</v>
      </c>
      <c r="BS69" s="203"/>
      <c r="BT69" s="205"/>
      <c r="BU69" s="205"/>
      <c r="BV69" s="205"/>
      <c r="BW69" s="204"/>
      <c r="BX69" s="208">
        <f t="shared" si="181"/>
        <v>0</v>
      </c>
      <c r="BY69" s="203">
        <v>50</v>
      </c>
      <c r="BZ69" s="205">
        <v>500</v>
      </c>
      <c r="CA69" s="208">
        <f t="shared" si="182"/>
        <v>550</v>
      </c>
      <c r="CB69" s="208">
        <f t="shared" si="183"/>
        <v>8350</v>
      </c>
      <c r="CC69" s="203"/>
      <c r="CD69" s="205">
        <v>450</v>
      </c>
      <c r="CE69" s="205"/>
      <c r="CF69" s="208">
        <f t="shared" si="228"/>
        <v>450</v>
      </c>
      <c r="CG69" s="203"/>
      <c r="CH69" s="205"/>
      <c r="CI69" s="205"/>
      <c r="CJ69" s="204"/>
      <c r="CK69" s="208">
        <f t="shared" si="184"/>
        <v>0</v>
      </c>
      <c r="CL69" s="203"/>
      <c r="CM69" s="205"/>
      <c r="CN69" s="205">
        <f>900+6450</f>
        <v>7350</v>
      </c>
      <c r="CO69" s="205"/>
      <c r="CP69" s="204"/>
      <c r="CQ69" s="208">
        <f t="shared" si="185"/>
        <v>7350</v>
      </c>
      <c r="CR69" s="203"/>
      <c r="CS69" s="205"/>
      <c r="CT69" s="205"/>
      <c r="CU69" s="205"/>
      <c r="CV69" s="204"/>
      <c r="CW69" s="208">
        <f t="shared" si="186"/>
        <v>0</v>
      </c>
      <c r="CX69" s="203"/>
      <c r="CY69" s="205">
        <v>50</v>
      </c>
      <c r="CZ69" s="205"/>
      <c r="DA69" s="204"/>
      <c r="DB69" s="208">
        <f t="shared" si="187"/>
        <v>50</v>
      </c>
      <c r="DC69" s="208">
        <f t="shared" si="229"/>
        <v>7850</v>
      </c>
      <c r="DD69" s="203"/>
      <c r="DE69" s="205">
        <v>150</v>
      </c>
      <c r="DF69" s="205"/>
      <c r="DG69" s="205"/>
      <c r="DH69" s="205">
        <v>380</v>
      </c>
      <c r="DI69" s="208">
        <f t="shared" si="188"/>
        <v>530</v>
      </c>
      <c r="DJ69" s="203"/>
      <c r="DK69" s="205"/>
      <c r="DL69" s="205"/>
      <c r="DM69" s="205">
        <v>600</v>
      </c>
      <c r="DN69" s="204"/>
      <c r="DO69" s="208">
        <f t="shared" si="189"/>
        <v>600</v>
      </c>
      <c r="DP69" s="203">
        <f>6800+500</f>
        <v>7300</v>
      </c>
      <c r="DQ69" s="205"/>
      <c r="DR69" s="205"/>
      <c r="DS69" s="205"/>
      <c r="DT69" s="204"/>
      <c r="DU69" s="245">
        <f t="shared" si="190"/>
        <v>7300</v>
      </c>
      <c r="DV69" s="203"/>
      <c r="DW69" s="205"/>
      <c r="DX69" s="205"/>
      <c r="DY69" s="205"/>
      <c r="DZ69" s="204"/>
      <c r="EA69" s="208">
        <f t="shared" si="191"/>
        <v>0</v>
      </c>
      <c r="EB69" s="208">
        <f t="shared" si="192"/>
        <v>8430</v>
      </c>
      <c r="EC69" s="203"/>
      <c r="ED69" s="205"/>
      <c r="EE69" s="205"/>
      <c r="EF69" s="205"/>
      <c r="EG69" s="204">
        <v>150</v>
      </c>
      <c r="EH69" s="208">
        <f t="shared" si="193"/>
        <v>150</v>
      </c>
      <c r="EI69" s="203"/>
      <c r="EJ69" s="205"/>
      <c r="EK69" s="205"/>
      <c r="EL69" s="205"/>
      <c r="EM69" s="204"/>
      <c r="EN69" s="208">
        <f t="shared" si="194"/>
        <v>0</v>
      </c>
      <c r="EO69" s="203">
        <f>350+6950</f>
        <v>7300</v>
      </c>
      <c r="EP69" s="205"/>
      <c r="EQ69" s="205"/>
      <c r="ER69" s="205"/>
      <c r="ES69" s="204"/>
      <c r="ET69" s="308">
        <f t="shared" si="195"/>
        <v>7300</v>
      </c>
      <c r="EU69" s="203">
        <v>100</v>
      </c>
      <c r="EV69" s="205"/>
      <c r="EW69" s="205"/>
      <c r="EX69" s="205"/>
      <c r="EY69" s="205"/>
      <c r="EZ69" s="205"/>
      <c r="FA69" s="204"/>
      <c r="FB69" s="208">
        <f t="shared" si="196"/>
        <v>100</v>
      </c>
      <c r="FC69" s="208">
        <f t="shared" si="197"/>
        <v>7550</v>
      </c>
      <c r="FD69" s="203"/>
      <c r="FE69" s="205"/>
      <c r="FF69" s="204">
        <v>150</v>
      </c>
      <c r="FG69" s="208">
        <f t="shared" si="198"/>
        <v>150</v>
      </c>
      <c r="FH69" s="203"/>
      <c r="FI69" s="205"/>
      <c r="FJ69" s="205"/>
      <c r="FK69" s="205"/>
      <c r="FL69" s="204"/>
      <c r="FM69" s="208">
        <f t="shared" si="199"/>
        <v>0</v>
      </c>
      <c r="FN69" s="203"/>
      <c r="FO69" s="205"/>
      <c r="FP69" s="205">
        <f>700+400</f>
        <v>1100</v>
      </c>
      <c r="FQ69" s="205"/>
      <c r="FR69" s="208">
        <f t="shared" si="165"/>
        <v>1100</v>
      </c>
      <c r="FS69" s="203"/>
      <c r="FT69" s="205"/>
      <c r="FU69" s="205">
        <v>100</v>
      </c>
      <c r="FV69" s="205"/>
      <c r="FW69" s="204"/>
      <c r="FX69" s="208">
        <f t="shared" si="166"/>
        <v>100</v>
      </c>
      <c r="FY69" s="203"/>
      <c r="FZ69" s="205"/>
      <c r="GA69" s="205"/>
      <c r="GB69" s="205">
        <v>7100</v>
      </c>
      <c r="GC69" s="204"/>
      <c r="GD69" s="208">
        <f t="shared" si="167"/>
        <v>7100</v>
      </c>
      <c r="GE69" s="208">
        <f t="shared" si="168"/>
        <v>8450</v>
      </c>
      <c r="GF69" s="203"/>
      <c r="GG69" s="205"/>
      <c r="GH69" s="205"/>
      <c r="GI69" s="205"/>
      <c r="GJ69" s="205"/>
      <c r="GK69" s="208">
        <f t="shared" si="169"/>
        <v>0</v>
      </c>
      <c r="GL69" s="203"/>
      <c r="GM69" s="205"/>
      <c r="GN69" s="205"/>
      <c r="GO69" s="204"/>
      <c r="GP69" s="208">
        <f t="shared" si="170"/>
        <v>0</v>
      </c>
      <c r="GQ69" s="203">
        <f>7300+800</f>
        <v>8100</v>
      </c>
      <c r="GR69" s="205"/>
      <c r="GS69" s="205"/>
      <c r="GT69" s="205"/>
      <c r="GU69" s="204"/>
      <c r="GV69" s="208">
        <f t="shared" si="200"/>
        <v>8100</v>
      </c>
      <c r="GW69" s="203"/>
      <c r="GX69" s="205"/>
      <c r="GY69" s="205"/>
      <c r="GZ69" s="205"/>
      <c r="HA69" s="205"/>
      <c r="HB69" s="204"/>
      <c r="HC69" s="208">
        <f t="shared" si="201"/>
        <v>0</v>
      </c>
      <c r="HD69" s="208">
        <f t="shared" si="202"/>
        <v>8100</v>
      </c>
      <c r="HE69" s="203"/>
      <c r="HF69" s="205"/>
      <c r="HG69" s="205"/>
      <c r="HH69" s="205"/>
      <c r="HI69" s="208">
        <f t="shared" si="203"/>
        <v>0</v>
      </c>
      <c r="HJ69" s="203">
        <v>150</v>
      </c>
      <c r="HK69" s="205"/>
      <c r="HL69" s="205"/>
      <c r="HM69" s="205"/>
      <c r="HN69" s="204"/>
      <c r="HO69" s="245">
        <f t="shared" si="204"/>
        <v>150</v>
      </c>
      <c r="HP69" s="203"/>
      <c r="HQ69" s="205">
        <f>950+6500</f>
        <v>7450</v>
      </c>
      <c r="HR69" s="205"/>
      <c r="HS69" s="205"/>
      <c r="HT69" s="204"/>
      <c r="HU69" s="208">
        <f t="shared" si="205"/>
        <v>7450</v>
      </c>
      <c r="HV69" s="203"/>
      <c r="HW69" s="205"/>
      <c r="HX69" s="205"/>
      <c r="HY69" s="208">
        <f t="shared" si="171"/>
        <v>0</v>
      </c>
      <c r="HZ69" s="203"/>
      <c r="IA69" s="205"/>
      <c r="IB69" s="204"/>
      <c r="IC69" s="208">
        <f t="shared" si="206"/>
        <v>0</v>
      </c>
      <c r="ID69" s="208">
        <f t="shared" si="172"/>
        <v>7600</v>
      </c>
      <c r="IE69" s="203"/>
      <c r="IF69" s="204"/>
      <c r="IG69" s="208">
        <f t="shared" si="207"/>
        <v>0</v>
      </c>
      <c r="IH69" s="203"/>
      <c r="II69" s="205"/>
      <c r="IJ69" s="205"/>
      <c r="IK69" s="205"/>
      <c r="IL69" s="204"/>
      <c r="IM69" s="208">
        <f t="shared" si="208"/>
        <v>0</v>
      </c>
      <c r="IN69" s="203"/>
      <c r="IO69" s="205"/>
      <c r="IP69" s="204">
        <f>6750+750</f>
        <v>7500</v>
      </c>
      <c r="IQ69" s="208">
        <f t="shared" si="209"/>
        <v>7500</v>
      </c>
      <c r="IR69" s="203"/>
      <c r="IS69" s="205"/>
      <c r="IT69" s="205"/>
      <c r="IU69" s="205"/>
      <c r="IV69" s="204">
        <v>300</v>
      </c>
      <c r="IW69" s="208">
        <f t="shared" si="210"/>
        <v>300</v>
      </c>
      <c r="IX69" s="203"/>
      <c r="IY69" s="205"/>
      <c r="IZ69" s="205"/>
      <c r="JA69" s="205"/>
      <c r="JB69" s="204"/>
      <c r="JC69" s="208">
        <f t="shared" si="211"/>
        <v>0</v>
      </c>
      <c r="JD69" s="208">
        <f t="shared" si="212"/>
        <v>7800</v>
      </c>
      <c r="JE69" s="203"/>
      <c r="JF69" s="205"/>
      <c r="JG69" s="205"/>
      <c r="JH69" s="205"/>
      <c r="JI69" s="204"/>
      <c r="JJ69" s="208">
        <f t="shared" si="213"/>
        <v>0</v>
      </c>
      <c r="JK69" s="203"/>
      <c r="JL69" s="205"/>
      <c r="JM69" s="205"/>
      <c r="JN69" s="205"/>
      <c r="JO69" s="204"/>
      <c r="JP69" s="208">
        <f t="shared" si="214"/>
        <v>0</v>
      </c>
      <c r="JQ69" s="203"/>
      <c r="JR69" s="205"/>
      <c r="JS69" s="205"/>
      <c r="JT69" s="205"/>
      <c r="JU69" s="204"/>
      <c r="JV69" s="208">
        <f t="shared" si="215"/>
        <v>0</v>
      </c>
      <c r="JW69" s="203"/>
      <c r="JX69" s="205"/>
      <c r="JY69" s="205"/>
      <c r="JZ69" s="205"/>
      <c r="KA69" s="205"/>
      <c r="KB69" s="204"/>
      <c r="KC69" s="208">
        <f t="shared" si="216"/>
        <v>0</v>
      </c>
      <c r="KD69" s="208">
        <f t="shared" si="217"/>
        <v>0</v>
      </c>
      <c r="KE69" s="203"/>
      <c r="KF69" s="205"/>
      <c r="KG69" s="205"/>
      <c r="KH69" s="205"/>
      <c r="KI69" s="204"/>
      <c r="KJ69" s="208">
        <f t="shared" si="218"/>
        <v>0</v>
      </c>
      <c r="KK69" s="203"/>
      <c r="KL69" s="205"/>
      <c r="KM69" s="205"/>
      <c r="KN69" s="205"/>
      <c r="KO69" s="204"/>
      <c r="KP69" s="208">
        <f t="shared" si="219"/>
        <v>0</v>
      </c>
      <c r="KQ69" s="203"/>
      <c r="KR69" s="205"/>
      <c r="KS69" s="205"/>
      <c r="KT69" s="205"/>
      <c r="KU69" s="204"/>
      <c r="KV69" s="208">
        <f t="shared" si="220"/>
        <v>0</v>
      </c>
      <c r="KW69" s="203"/>
      <c r="KX69" s="205"/>
      <c r="KY69" s="205"/>
      <c r="KZ69" s="205"/>
      <c r="LA69" s="204"/>
      <c r="LB69" s="208">
        <f t="shared" si="221"/>
        <v>0</v>
      </c>
      <c r="LC69" s="202"/>
      <c r="LD69" s="244"/>
      <c r="LE69" s="245"/>
      <c r="LF69" s="208">
        <f t="shared" si="222"/>
        <v>0</v>
      </c>
      <c r="LG69" s="208">
        <f t="shared" si="223"/>
        <v>0</v>
      </c>
    </row>
    <row r="70" spans="2:319" s="91" customFormat="1">
      <c r="B70" s="93" t="s">
        <v>389</v>
      </c>
      <c r="C70" s="167"/>
      <c r="D70" s="202">
        <f t="shared" si="163"/>
        <v>0</v>
      </c>
      <c r="E70" s="167"/>
      <c r="F70" s="177"/>
      <c r="G70" s="177"/>
      <c r="H70" s="177"/>
      <c r="I70" s="178">
        <f>40711.068+11380.464+859.098+341.196</f>
        <v>53291.826000000001</v>
      </c>
      <c r="J70" s="202">
        <f t="shared" si="224"/>
        <v>53291.826000000001</v>
      </c>
      <c r="K70" s="167"/>
      <c r="L70" s="177"/>
      <c r="M70" s="177"/>
      <c r="N70" s="178"/>
      <c r="O70" s="202">
        <f t="shared" si="230"/>
        <v>0</v>
      </c>
      <c r="P70" s="167"/>
      <c r="Q70" s="177"/>
      <c r="R70" s="177"/>
      <c r="S70" s="177"/>
      <c r="T70" s="178"/>
      <c r="U70" s="202">
        <f t="shared" si="173"/>
        <v>0</v>
      </c>
      <c r="V70" s="167"/>
      <c r="W70" s="177"/>
      <c r="X70" s="177"/>
      <c r="Y70" s="177"/>
      <c r="Z70" s="177"/>
      <c r="AA70" s="208">
        <f t="shared" si="174"/>
        <v>0</v>
      </c>
      <c r="AB70" s="208">
        <f t="shared" si="226"/>
        <v>53291.826000000001</v>
      </c>
      <c r="AC70" s="203"/>
      <c r="AD70" s="205"/>
      <c r="AE70" s="205"/>
      <c r="AF70" s="205"/>
      <c r="AG70" s="204"/>
      <c r="AH70" s="208">
        <f t="shared" si="227"/>
        <v>0</v>
      </c>
      <c r="AI70" s="203"/>
      <c r="AJ70" s="205"/>
      <c r="AK70" s="205"/>
      <c r="AL70" s="205"/>
      <c r="AM70" s="204"/>
      <c r="AN70" s="208">
        <f t="shared" si="175"/>
        <v>0</v>
      </c>
      <c r="AO70" s="203"/>
      <c r="AP70" s="205"/>
      <c r="AQ70" s="205"/>
      <c r="AR70" s="205"/>
      <c r="AS70" s="204"/>
      <c r="AT70" s="208">
        <f t="shared" si="176"/>
        <v>0</v>
      </c>
      <c r="AU70" s="203"/>
      <c r="AV70" s="205"/>
      <c r="AW70" s="205"/>
      <c r="AX70" s="205"/>
      <c r="AY70" s="204"/>
      <c r="AZ70" s="208">
        <f t="shared" si="177"/>
        <v>0</v>
      </c>
      <c r="BA70" s="208">
        <f t="shared" si="178"/>
        <v>0</v>
      </c>
      <c r="BB70" s="203"/>
      <c r="BC70" s="205"/>
      <c r="BD70" s="205"/>
      <c r="BE70" s="205"/>
      <c r="BF70" s="204"/>
      <c r="BG70" s="208">
        <f t="shared" si="179"/>
        <v>0</v>
      </c>
      <c r="BH70" s="203"/>
      <c r="BI70" s="205"/>
      <c r="BJ70" s="205"/>
      <c r="BK70" s="205"/>
      <c r="BL70" s="204"/>
      <c r="BM70" s="208">
        <f t="shared" si="164"/>
        <v>0</v>
      </c>
      <c r="BN70" s="203"/>
      <c r="BO70" s="205"/>
      <c r="BP70" s="205"/>
      <c r="BQ70" s="204"/>
      <c r="BR70" s="208">
        <f t="shared" si="180"/>
        <v>0</v>
      </c>
      <c r="BS70" s="203"/>
      <c r="BT70" s="205"/>
      <c r="BU70" s="205"/>
      <c r="BV70" s="205"/>
      <c r="BW70" s="204"/>
      <c r="BX70" s="208">
        <f t="shared" si="181"/>
        <v>0</v>
      </c>
      <c r="BY70" s="203"/>
      <c r="BZ70" s="205"/>
      <c r="CA70" s="208">
        <f t="shared" si="182"/>
        <v>0</v>
      </c>
      <c r="CB70" s="208">
        <f t="shared" si="183"/>
        <v>0</v>
      </c>
      <c r="CC70" s="203"/>
      <c r="CD70" s="205"/>
      <c r="CE70" s="205"/>
      <c r="CF70" s="208">
        <f t="shared" si="228"/>
        <v>0</v>
      </c>
      <c r="CG70" s="203"/>
      <c r="CH70" s="205"/>
      <c r="CI70" s="205"/>
      <c r="CJ70" s="204"/>
      <c r="CK70" s="208">
        <f t="shared" si="184"/>
        <v>0</v>
      </c>
      <c r="CL70" s="203"/>
      <c r="CM70" s="205"/>
      <c r="CN70" s="205"/>
      <c r="CO70" s="205"/>
      <c r="CP70" s="204"/>
      <c r="CQ70" s="208">
        <f t="shared" si="185"/>
        <v>0</v>
      </c>
      <c r="CR70" s="203"/>
      <c r="CS70" s="205"/>
      <c r="CT70" s="205"/>
      <c r="CU70" s="205"/>
      <c r="CV70" s="204"/>
      <c r="CW70" s="208">
        <f t="shared" si="186"/>
        <v>0</v>
      </c>
      <c r="CX70" s="203"/>
      <c r="CY70" s="205"/>
      <c r="CZ70" s="205"/>
      <c r="DA70" s="204"/>
      <c r="DB70" s="208">
        <f t="shared" si="187"/>
        <v>0</v>
      </c>
      <c r="DC70" s="208">
        <f t="shared" si="229"/>
        <v>0</v>
      </c>
      <c r="DD70" s="203"/>
      <c r="DE70" s="205"/>
      <c r="DF70" s="205"/>
      <c r="DG70" s="205"/>
      <c r="DH70" s="205"/>
      <c r="DI70" s="208">
        <f t="shared" si="188"/>
        <v>0</v>
      </c>
      <c r="DJ70" s="203"/>
      <c r="DK70" s="205"/>
      <c r="DL70" s="205"/>
      <c r="DM70" s="205"/>
      <c r="DN70" s="204"/>
      <c r="DO70" s="208">
        <f t="shared" si="189"/>
        <v>0</v>
      </c>
      <c r="DP70" s="203"/>
      <c r="DQ70" s="205"/>
      <c r="DR70" s="205"/>
      <c r="DS70" s="205"/>
      <c r="DT70" s="204"/>
      <c r="DU70" s="245">
        <f t="shared" si="190"/>
        <v>0</v>
      </c>
      <c r="DV70" s="203"/>
      <c r="DW70" s="205"/>
      <c r="DX70" s="205"/>
      <c r="DY70" s="205"/>
      <c r="DZ70" s="204"/>
      <c r="EA70" s="208">
        <f t="shared" si="191"/>
        <v>0</v>
      </c>
      <c r="EB70" s="208">
        <f t="shared" si="192"/>
        <v>0</v>
      </c>
      <c r="EC70" s="203"/>
      <c r="ED70" s="205"/>
      <c r="EE70" s="205"/>
      <c r="EF70" s="205"/>
      <c r="EG70" s="204"/>
      <c r="EH70" s="208">
        <f t="shared" si="193"/>
        <v>0</v>
      </c>
      <c r="EI70" s="203"/>
      <c r="EJ70" s="205"/>
      <c r="EK70" s="205"/>
      <c r="EL70" s="205"/>
      <c r="EM70" s="204"/>
      <c r="EN70" s="208">
        <f t="shared" si="194"/>
        <v>0</v>
      </c>
      <c r="EO70" s="203"/>
      <c r="EP70" s="205"/>
      <c r="EQ70" s="205"/>
      <c r="ER70" s="205"/>
      <c r="ES70" s="204"/>
      <c r="ET70" s="308">
        <f t="shared" si="195"/>
        <v>0</v>
      </c>
      <c r="EU70" s="203"/>
      <c r="EV70" s="205"/>
      <c r="EW70" s="205"/>
      <c r="EX70" s="205"/>
      <c r="EY70" s="205"/>
      <c r="EZ70" s="205"/>
      <c r="FA70" s="204"/>
      <c r="FB70" s="208">
        <f t="shared" si="196"/>
        <v>0</v>
      </c>
      <c r="FC70" s="208">
        <f t="shared" si="197"/>
        <v>0</v>
      </c>
      <c r="FD70" s="203"/>
      <c r="FE70" s="205"/>
      <c r="FF70" s="204"/>
      <c r="FG70" s="208">
        <f t="shared" si="198"/>
        <v>0</v>
      </c>
      <c r="FH70" s="203"/>
      <c r="FI70" s="205"/>
      <c r="FJ70" s="205"/>
      <c r="FK70" s="205"/>
      <c r="FL70" s="204"/>
      <c r="FM70" s="208">
        <f t="shared" si="199"/>
        <v>0</v>
      </c>
      <c r="FN70" s="203"/>
      <c r="FO70" s="205"/>
      <c r="FP70" s="205"/>
      <c r="FQ70" s="205"/>
      <c r="FR70" s="208">
        <f t="shared" si="165"/>
        <v>0</v>
      </c>
      <c r="FS70" s="203"/>
      <c r="FT70" s="205"/>
      <c r="FU70" s="205"/>
      <c r="FV70" s="205"/>
      <c r="FW70" s="204"/>
      <c r="FX70" s="208">
        <f t="shared" si="166"/>
        <v>0</v>
      </c>
      <c r="FY70" s="203"/>
      <c r="FZ70" s="205"/>
      <c r="GA70" s="205"/>
      <c r="GB70" s="205"/>
      <c r="GC70" s="204"/>
      <c r="GD70" s="208">
        <f t="shared" si="167"/>
        <v>0</v>
      </c>
      <c r="GE70" s="208">
        <f t="shared" si="168"/>
        <v>0</v>
      </c>
      <c r="GF70" s="203"/>
      <c r="GG70" s="205"/>
      <c r="GH70" s="205"/>
      <c r="GI70" s="205"/>
      <c r="GJ70" s="205"/>
      <c r="GK70" s="208">
        <f t="shared" si="169"/>
        <v>0</v>
      </c>
      <c r="GL70" s="203"/>
      <c r="GM70" s="205"/>
      <c r="GN70" s="205"/>
      <c r="GO70" s="204"/>
      <c r="GP70" s="208">
        <f t="shared" si="170"/>
        <v>0</v>
      </c>
      <c r="GQ70" s="203"/>
      <c r="GR70" s="205"/>
      <c r="GS70" s="205"/>
      <c r="GT70" s="205"/>
      <c r="GU70" s="204"/>
      <c r="GV70" s="208">
        <f t="shared" si="200"/>
        <v>0</v>
      </c>
      <c r="GW70" s="203"/>
      <c r="GX70" s="205"/>
      <c r="GY70" s="205"/>
      <c r="GZ70" s="205"/>
      <c r="HA70" s="205"/>
      <c r="HB70" s="204"/>
      <c r="HC70" s="208">
        <f t="shared" si="201"/>
        <v>0</v>
      </c>
      <c r="HD70" s="208">
        <f t="shared" si="202"/>
        <v>0</v>
      </c>
      <c r="HE70" s="203"/>
      <c r="HF70" s="205"/>
      <c r="HG70" s="205"/>
      <c r="HH70" s="205"/>
      <c r="HI70" s="208">
        <f t="shared" si="203"/>
        <v>0</v>
      </c>
      <c r="HJ70" s="203">
        <v>2530</v>
      </c>
      <c r="HK70" s="205"/>
      <c r="HL70" s="205"/>
      <c r="HM70" s="205"/>
      <c r="HN70" s="204"/>
      <c r="HO70" s="245">
        <f t="shared" si="204"/>
        <v>2530</v>
      </c>
      <c r="HP70" s="203"/>
      <c r="HQ70" s="205">
        <f>8400+1540+600</f>
        <v>10540</v>
      </c>
      <c r="HR70" s="205"/>
      <c r="HS70" s="205"/>
      <c r="HT70" s="204"/>
      <c r="HU70" s="208">
        <f t="shared" si="205"/>
        <v>10540</v>
      </c>
      <c r="HV70" s="203"/>
      <c r="HW70" s="205"/>
      <c r="HX70" s="205">
        <v>140</v>
      </c>
      <c r="HY70" s="208">
        <f t="shared" si="171"/>
        <v>140</v>
      </c>
      <c r="HZ70" s="203"/>
      <c r="IA70" s="205"/>
      <c r="IB70" s="204"/>
      <c r="IC70" s="208">
        <f t="shared" si="206"/>
        <v>0</v>
      </c>
      <c r="ID70" s="208">
        <f t="shared" si="172"/>
        <v>13210</v>
      </c>
      <c r="IE70" s="203"/>
      <c r="IF70" s="204"/>
      <c r="IG70" s="208">
        <f t="shared" si="207"/>
        <v>0</v>
      </c>
      <c r="IH70" s="203"/>
      <c r="II70" s="205"/>
      <c r="IJ70" s="205"/>
      <c r="IK70" s="205"/>
      <c r="IL70" s="204"/>
      <c r="IM70" s="208">
        <f t="shared" si="208"/>
        <v>0</v>
      </c>
      <c r="IN70" s="203"/>
      <c r="IO70" s="205"/>
      <c r="IP70" s="204"/>
      <c r="IQ70" s="208">
        <f t="shared" si="209"/>
        <v>0</v>
      </c>
      <c r="IR70" s="203"/>
      <c r="IS70" s="205"/>
      <c r="IT70" s="205"/>
      <c r="IU70" s="205"/>
      <c r="IV70" s="204"/>
      <c r="IW70" s="208">
        <f t="shared" si="210"/>
        <v>0</v>
      </c>
      <c r="IX70" s="203"/>
      <c r="IY70" s="205"/>
      <c r="IZ70" s="205"/>
      <c r="JA70" s="205"/>
      <c r="JB70" s="204"/>
      <c r="JC70" s="208">
        <f t="shared" si="211"/>
        <v>0</v>
      </c>
      <c r="JD70" s="208">
        <f t="shared" si="212"/>
        <v>0</v>
      </c>
      <c r="JE70" s="203"/>
      <c r="JF70" s="205"/>
      <c r="JG70" s="205"/>
      <c r="JH70" s="205"/>
      <c r="JI70" s="204"/>
      <c r="JJ70" s="208">
        <f t="shared" si="213"/>
        <v>0</v>
      </c>
      <c r="JK70" s="203"/>
      <c r="JL70" s="205"/>
      <c r="JM70" s="205"/>
      <c r="JN70" s="205"/>
      <c r="JO70" s="204"/>
      <c r="JP70" s="208">
        <f t="shared" si="214"/>
        <v>0</v>
      </c>
      <c r="JQ70" s="203"/>
      <c r="JR70" s="205"/>
      <c r="JS70" s="205"/>
      <c r="JT70" s="205"/>
      <c r="JU70" s="204"/>
      <c r="JV70" s="208">
        <f t="shared" si="215"/>
        <v>0</v>
      </c>
      <c r="JW70" s="203"/>
      <c r="JX70" s="205"/>
      <c r="JY70" s="205"/>
      <c r="JZ70" s="205"/>
      <c r="KA70" s="205"/>
      <c r="KB70" s="204"/>
      <c r="KC70" s="208">
        <f t="shared" si="216"/>
        <v>0</v>
      </c>
      <c r="KD70" s="208">
        <f t="shared" si="217"/>
        <v>0</v>
      </c>
      <c r="KE70" s="203"/>
      <c r="KF70" s="205"/>
      <c r="KG70" s="205"/>
      <c r="KH70" s="205"/>
      <c r="KI70" s="204"/>
      <c r="KJ70" s="208">
        <f t="shared" si="218"/>
        <v>0</v>
      </c>
      <c r="KK70" s="203"/>
      <c r="KL70" s="205"/>
      <c r="KM70" s="205"/>
      <c r="KN70" s="205"/>
      <c r="KO70" s="204"/>
      <c r="KP70" s="208">
        <f t="shared" si="219"/>
        <v>0</v>
      </c>
      <c r="KQ70" s="203"/>
      <c r="KR70" s="205"/>
      <c r="KS70" s="205"/>
      <c r="KT70" s="205"/>
      <c r="KU70" s="204"/>
      <c r="KV70" s="208">
        <f t="shared" si="220"/>
        <v>0</v>
      </c>
      <c r="KW70" s="203"/>
      <c r="KX70" s="205"/>
      <c r="KY70" s="205"/>
      <c r="KZ70" s="205"/>
      <c r="LA70" s="204"/>
      <c r="LB70" s="208">
        <f t="shared" si="221"/>
        <v>0</v>
      </c>
      <c r="LC70" s="202"/>
      <c r="LD70" s="244"/>
      <c r="LE70" s="245"/>
      <c r="LF70" s="208">
        <f t="shared" si="222"/>
        <v>0</v>
      </c>
      <c r="LG70" s="208">
        <f t="shared" si="223"/>
        <v>0</v>
      </c>
    </row>
    <row r="71" spans="2:319" s="91" customFormat="1">
      <c r="B71" s="167" t="s">
        <v>86</v>
      </c>
      <c r="C71" s="167"/>
      <c r="D71" s="202">
        <f t="shared" si="163"/>
        <v>0</v>
      </c>
      <c r="E71" s="167"/>
      <c r="F71" s="177"/>
      <c r="G71" s="177"/>
      <c r="H71" s="177"/>
      <c r="I71" s="178"/>
      <c r="J71" s="202">
        <f t="shared" si="224"/>
        <v>0</v>
      </c>
      <c r="K71" s="167"/>
      <c r="L71" s="177"/>
      <c r="M71" s="177"/>
      <c r="N71" s="178"/>
      <c r="O71" s="202">
        <f t="shared" si="230"/>
        <v>0</v>
      </c>
      <c r="P71" s="167"/>
      <c r="Q71" s="177"/>
      <c r="R71" s="177">
        <f>117032.657</f>
        <v>117032.65700000001</v>
      </c>
      <c r="S71" s="177"/>
      <c r="T71" s="178">
        <f>29.08+186.535+4885.572</f>
        <v>5101.1869999999999</v>
      </c>
      <c r="U71" s="202">
        <f t="shared" si="173"/>
        <v>122133.84400000001</v>
      </c>
      <c r="V71" s="167"/>
      <c r="W71" s="177"/>
      <c r="X71" s="177"/>
      <c r="Y71" s="177"/>
      <c r="Z71" s="177"/>
      <c r="AA71" s="208">
        <f t="shared" si="174"/>
        <v>0</v>
      </c>
      <c r="AB71" s="208">
        <f t="shared" si="226"/>
        <v>122133.84400000001</v>
      </c>
      <c r="AC71" s="203"/>
      <c r="AD71" s="205"/>
      <c r="AE71" s="205"/>
      <c r="AF71" s="205"/>
      <c r="AG71" s="204"/>
      <c r="AH71" s="208">
        <f t="shared" si="227"/>
        <v>0</v>
      </c>
      <c r="AI71" s="203"/>
      <c r="AJ71" s="205"/>
      <c r="AK71" s="205"/>
      <c r="AL71" s="205"/>
      <c r="AM71" s="204"/>
      <c r="AN71" s="208">
        <f t="shared" si="175"/>
        <v>0</v>
      </c>
      <c r="AO71" s="203"/>
      <c r="AP71" s="205"/>
      <c r="AQ71" s="205"/>
      <c r="AR71" s="205"/>
      <c r="AS71" s="204"/>
      <c r="AT71" s="208">
        <f t="shared" si="176"/>
        <v>0</v>
      </c>
      <c r="AU71" s="203"/>
      <c r="AV71" s="205"/>
      <c r="AW71" s="205"/>
      <c r="AX71" s="205"/>
      <c r="AY71" s="204"/>
      <c r="AZ71" s="208">
        <f t="shared" si="177"/>
        <v>0</v>
      </c>
      <c r="BA71" s="208">
        <f t="shared" si="178"/>
        <v>0</v>
      </c>
      <c r="BB71" s="203"/>
      <c r="BC71" s="205"/>
      <c r="BD71" s="205"/>
      <c r="BE71" s="205"/>
      <c r="BF71" s="204">
        <v>42.354999999999997</v>
      </c>
      <c r="BG71" s="208">
        <f t="shared" si="179"/>
        <v>42.354999999999997</v>
      </c>
      <c r="BH71" s="203"/>
      <c r="BI71" s="205"/>
      <c r="BJ71" s="205"/>
      <c r="BK71" s="205"/>
      <c r="BL71" s="204"/>
      <c r="BM71" s="208">
        <f t="shared" si="164"/>
        <v>0</v>
      </c>
      <c r="BN71" s="203">
        <v>42.354999999999997</v>
      </c>
      <c r="BO71" s="205"/>
      <c r="BP71" s="205"/>
      <c r="BQ71" s="204"/>
      <c r="BR71" s="208">
        <f t="shared" si="180"/>
        <v>42.354999999999997</v>
      </c>
      <c r="BS71" s="203"/>
      <c r="BT71" s="205"/>
      <c r="BU71" s="205"/>
      <c r="BV71" s="205"/>
      <c r="BW71" s="204"/>
      <c r="BX71" s="208">
        <f t="shared" si="181"/>
        <v>0</v>
      </c>
      <c r="BY71" s="203"/>
      <c r="BZ71" s="205"/>
      <c r="CA71" s="208">
        <f t="shared" si="182"/>
        <v>0</v>
      </c>
      <c r="CB71" s="208">
        <f t="shared" si="183"/>
        <v>84.71</v>
      </c>
      <c r="CC71" s="203"/>
      <c r="CD71" s="205"/>
      <c r="CE71" s="205"/>
      <c r="CF71" s="208">
        <f t="shared" si="228"/>
        <v>0</v>
      </c>
      <c r="CG71" s="203"/>
      <c r="CH71" s="205"/>
      <c r="CI71" s="205"/>
      <c r="CJ71" s="204"/>
      <c r="CK71" s="208">
        <f t="shared" si="184"/>
        <v>0</v>
      </c>
      <c r="CL71" s="203"/>
      <c r="CM71" s="205"/>
      <c r="CN71" s="205">
        <v>42.354999999999997</v>
      </c>
      <c r="CO71" s="205">
        <f>103439.505+4141.091</f>
        <v>107580.59600000001</v>
      </c>
      <c r="CP71" s="204"/>
      <c r="CQ71" s="208">
        <f t="shared" si="185"/>
        <v>107622.951</v>
      </c>
      <c r="CR71" s="203"/>
      <c r="CS71" s="205"/>
      <c r="CT71" s="205"/>
      <c r="CU71" s="205"/>
      <c r="CV71" s="204"/>
      <c r="CW71" s="208">
        <f t="shared" si="186"/>
        <v>0</v>
      </c>
      <c r="CX71" s="203"/>
      <c r="CY71" s="205"/>
      <c r="CZ71" s="205"/>
      <c r="DA71" s="204"/>
      <c r="DB71" s="208">
        <f t="shared" si="187"/>
        <v>0</v>
      </c>
      <c r="DC71" s="208">
        <f t="shared" si="229"/>
        <v>107622.951</v>
      </c>
      <c r="DD71" s="203"/>
      <c r="DE71" s="205"/>
      <c r="DF71" s="205"/>
      <c r="DG71" s="205"/>
      <c r="DH71" s="205"/>
      <c r="DI71" s="208">
        <f t="shared" si="188"/>
        <v>0</v>
      </c>
      <c r="DJ71" s="203"/>
      <c r="DK71" s="205"/>
      <c r="DL71" s="205"/>
      <c r="DM71" s="205"/>
      <c r="DN71" s="204">
        <v>42.354999999999997</v>
      </c>
      <c r="DO71" s="208">
        <f t="shared" si="189"/>
        <v>42.354999999999997</v>
      </c>
      <c r="DP71" s="203"/>
      <c r="DQ71" s="205"/>
      <c r="DR71" s="205"/>
      <c r="DS71" s="205"/>
      <c r="DT71" s="204"/>
      <c r="DU71" s="245">
        <f t="shared" si="190"/>
        <v>0</v>
      </c>
      <c r="DV71" s="203"/>
      <c r="DW71" s="205"/>
      <c r="DX71" s="205"/>
      <c r="DY71" s="205"/>
      <c r="DZ71" s="204"/>
      <c r="EA71" s="208">
        <f t="shared" si="191"/>
        <v>0</v>
      </c>
      <c r="EB71" s="208">
        <f t="shared" si="192"/>
        <v>42.354999999999997</v>
      </c>
      <c r="EC71" s="203"/>
      <c r="ED71" s="205"/>
      <c r="EE71" s="205"/>
      <c r="EF71" s="205"/>
      <c r="EG71" s="204"/>
      <c r="EH71" s="208">
        <f t="shared" si="193"/>
        <v>0</v>
      </c>
      <c r="EI71" s="203"/>
      <c r="EJ71" s="205"/>
      <c r="EK71" s="205"/>
      <c r="EL71" s="205"/>
      <c r="EM71" s="204"/>
      <c r="EN71" s="208">
        <f t="shared" si="194"/>
        <v>0</v>
      </c>
      <c r="EO71" s="203"/>
      <c r="EP71" s="205"/>
      <c r="EQ71" s="205">
        <v>42.354999999999997</v>
      </c>
      <c r="ER71" s="205"/>
      <c r="ES71" s="204"/>
      <c r="ET71" s="308">
        <f t="shared" si="195"/>
        <v>42.354999999999997</v>
      </c>
      <c r="EU71" s="203"/>
      <c r="EV71" s="205"/>
      <c r="EW71" s="205"/>
      <c r="EX71" s="205"/>
      <c r="EY71" s="205"/>
      <c r="EZ71" s="205"/>
      <c r="FA71" s="204"/>
      <c r="FB71" s="208">
        <f t="shared" si="196"/>
        <v>0</v>
      </c>
      <c r="FC71" s="208">
        <f t="shared" si="197"/>
        <v>42.354999999999997</v>
      </c>
      <c r="FD71" s="203"/>
      <c r="FE71" s="205"/>
      <c r="FF71" s="204"/>
      <c r="FG71" s="208">
        <f t="shared" si="198"/>
        <v>0</v>
      </c>
      <c r="FH71" s="203"/>
      <c r="FI71" s="205"/>
      <c r="FJ71" s="205"/>
      <c r="FK71" s="205"/>
      <c r="FL71" s="204"/>
      <c r="FM71" s="208">
        <f t="shared" si="199"/>
        <v>0</v>
      </c>
      <c r="FN71" s="203"/>
      <c r="FO71" s="205"/>
      <c r="FP71" s="205"/>
      <c r="FQ71" s="205"/>
      <c r="FR71" s="208">
        <f t="shared" si="165"/>
        <v>0</v>
      </c>
      <c r="FS71" s="203"/>
      <c r="FT71" s="205"/>
      <c r="FU71" s="205">
        <v>42.354999999999997</v>
      </c>
      <c r="FV71" s="205"/>
      <c r="FW71" s="204">
        <f>4695.214+101747.21</f>
        <v>106442.424</v>
      </c>
      <c r="FX71" s="208">
        <f t="shared" si="166"/>
        <v>106484.77899999999</v>
      </c>
      <c r="FY71" s="203"/>
      <c r="FZ71" s="205"/>
      <c r="GA71" s="205"/>
      <c r="GB71" s="205"/>
      <c r="GC71" s="204"/>
      <c r="GD71" s="208">
        <f t="shared" si="167"/>
        <v>0</v>
      </c>
      <c r="GE71" s="208">
        <f t="shared" si="168"/>
        <v>106484.77899999999</v>
      </c>
      <c r="GF71" s="203"/>
      <c r="GG71" s="205"/>
      <c r="GH71" s="205"/>
      <c r="GI71" s="205"/>
      <c r="GJ71" s="205"/>
      <c r="GK71" s="208">
        <f t="shared" si="169"/>
        <v>0</v>
      </c>
      <c r="GL71" s="203"/>
      <c r="GM71" s="205"/>
      <c r="GN71" s="205"/>
      <c r="GO71" s="204"/>
      <c r="GP71" s="208">
        <f t="shared" si="170"/>
        <v>0</v>
      </c>
      <c r="GQ71" s="203"/>
      <c r="GR71" s="205">
        <v>42.354999999999997</v>
      </c>
      <c r="GS71" s="205"/>
      <c r="GT71" s="205"/>
      <c r="GU71" s="204"/>
      <c r="GV71" s="208">
        <f t="shared" si="200"/>
        <v>42.354999999999997</v>
      </c>
      <c r="GW71" s="203"/>
      <c r="GX71" s="205"/>
      <c r="GY71" s="205"/>
      <c r="GZ71" s="205"/>
      <c r="HA71" s="205"/>
      <c r="HB71" s="204"/>
      <c r="HC71" s="208">
        <f t="shared" si="201"/>
        <v>0</v>
      </c>
      <c r="HD71" s="208">
        <f t="shared" si="202"/>
        <v>42.354999999999997</v>
      </c>
      <c r="HE71" s="203"/>
      <c r="HF71" s="205"/>
      <c r="HG71" s="205"/>
      <c r="HH71" s="205"/>
      <c r="HI71" s="208">
        <f t="shared" si="203"/>
        <v>0</v>
      </c>
      <c r="HJ71" s="203"/>
      <c r="HK71" s="205"/>
      <c r="HL71" s="205"/>
      <c r="HM71" s="205"/>
      <c r="HN71" s="204"/>
      <c r="HO71" s="245">
        <f t="shared" si="204"/>
        <v>0</v>
      </c>
      <c r="HP71" s="203"/>
      <c r="HQ71" s="205"/>
      <c r="HR71" s="205"/>
      <c r="HS71" s="205">
        <v>42.354999999999997</v>
      </c>
      <c r="HT71" s="204"/>
      <c r="HU71" s="208">
        <f t="shared" si="205"/>
        <v>42.354999999999997</v>
      </c>
      <c r="HV71" s="203"/>
      <c r="HW71" s="205"/>
      <c r="HX71" s="205"/>
      <c r="HY71" s="208">
        <f t="shared" si="171"/>
        <v>0</v>
      </c>
      <c r="HZ71" s="203"/>
      <c r="IA71" s="205"/>
      <c r="IB71" s="204"/>
      <c r="IC71" s="208">
        <f t="shared" si="206"/>
        <v>0</v>
      </c>
      <c r="ID71" s="208">
        <f t="shared" si="172"/>
        <v>42.354999999999997</v>
      </c>
      <c r="IE71" s="203"/>
      <c r="IF71" s="204"/>
      <c r="IG71" s="208">
        <f t="shared" si="207"/>
        <v>0</v>
      </c>
      <c r="IH71" s="203"/>
      <c r="II71" s="205"/>
      <c r="IJ71" s="205"/>
      <c r="IK71" s="205"/>
      <c r="IL71" s="204"/>
      <c r="IM71" s="208">
        <f t="shared" si="208"/>
        <v>0</v>
      </c>
      <c r="IN71" s="203"/>
      <c r="IO71" s="205"/>
      <c r="IP71" s="204"/>
      <c r="IQ71" s="208">
        <f t="shared" si="209"/>
        <v>0</v>
      </c>
      <c r="IR71" s="203"/>
      <c r="IS71" s="205"/>
      <c r="IT71" s="205">
        <f>42.355+42.355</f>
        <v>84.71</v>
      </c>
      <c r="IU71" s="205"/>
      <c r="IV71" s="204"/>
      <c r="IW71" s="208">
        <f t="shared" si="210"/>
        <v>84.71</v>
      </c>
      <c r="IX71" s="203"/>
      <c r="IY71" s="205"/>
      <c r="IZ71" s="205">
        <f>4683.843+100831.187</f>
        <v>105515.03</v>
      </c>
      <c r="JA71" s="205"/>
      <c r="JB71" s="204"/>
      <c r="JC71" s="208">
        <f t="shared" si="211"/>
        <v>105515.03</v>
      </c>
      <c r="JD71" s="208">
        <f t="shared" si="212"/>
        <v>105599.74</v>
      </c>
      <c r="JE71" s="203"/>
      <c r="JF71" s="205"/>
      <c r="JG71" s="205"/>
      <c r="JH71" s="205"/>
      <c r="JI71" s="204"/>
      <c r="JJ71" s="208">
        <f t="shared" si="213"/>
        <v>0</v>
      </c>
      <c r="JK71" s="203"/>
      <c r="JL71" s="205"/>
      <c r="JM71" s="205"/>
      <c r="JN71" s="205"/>
      <c r="JO71" s="204"/>
      <c r="JP71" s="208">
        <f t="shared" si="214"/>
        <v>0</v>
      </c>
      <c r="JQ71" s="203"/>
      <c r="JR71" s="205"/>
      <c r="JS71" s="205"/>
      <c r="JT71" s="205"/>
      <c r="JU71" s="204"/>
      <c r="JV71" s="208">
        <f t="shared" si="215"/>
        <v>0</v>
      </c>
      <c r="JW71" s="203"/>
      <c r="JX71" s="205"/>
      <c r="JY71" s="205"/>
      <c r="JZ71" s="205"/>
      <c r="KA71" s="205"/>
      <c r="KB71" s="204"/>
      <c r="KC71" s="208">
        <f t="shared" si="216"/>
        <v>0</v>
      </c>
      <c r="KD71" s="208">
        <f t="shared" si="217"/>
        <v>0</v>
      </c>
      <c r="KE71" s="203"/>
      <c r="KF71" s="205"/>
      <c r="KG71" s="205"/>
      <c r="KH71" s="205"/>
      <c r="KI71" s="204"/>
      <c r="KJ71" s="208">
        <f t="shared" si="218"/>
        <v>0</v>
      </c>
      <c r="KK71" s="203"/>
      <c r="KL71" s="205"/>
      <c r="KM71" s="205"/>
      <c r="KN71" s="205"/>
      <c r="KO71" s="204"/>
      <c r="KP71" s="208">
        <f t="shared" si="219"/>
        <v>0</v>
      </c>
      <c r="KQ71" s="203"/>
      <c r="KR71" s="205"/>
      <c r="KS71" s="205"/>
      <c r="KT71" s="205"/>
      <c r="KU71" s="204"/>
      <c r="KV71" s="208">
        <f t="shared" si="220"/>
        <v>0</v>
      </c>
      <c r="KW71" s="203"/>
      <c r="KX71" s="205"/>
      <c r="KY71" s="205"/>
      <c r="KZ71" s="205"/>
      <c r="LA71" s="204"/>
      <c r="LB71" s="208">
        <f t="shared" si="221"/>
        <v>0</v>
      </c>
      <c r="LC71" s="202"/>
      <c r="LD71" s="244"/>
      <c r="LE71" s="245"/>
      <c r="LF71" s="208">
        <f t="shared" si="222"/>
        <v>0</v>
      </c>
      <c r="LG71" s="208">
        <f t="shared" si="223"/>
        <v>0</v>
      </c>
    </row>
    <row r="72" spans="2:319" s="91" customFormat="1">
      <c r="B72" s="167" t="s">
        <v>110</v>
      </c>
      <c r="C72" s="167">
        <v>632.85699999999997</v>
      </c>
      <c r="D72" s="202">
        <f t="shared" si="163"/>
        <v>632.85699999999997</v>
      </c>
      <c r="E72" s="167"/>
      <c r="F72" s="177"/>
      <c r="G72" s="177"/>
      <c r="H72" s="177">
        <v>130.30000000000001</v>
      </c>
      <c r="I72" s="178"/>
      <c r="J72" s="202">
        <f t="shared" si="224"/>
        <v>130.30000000000001</v>
      </c>
      <c r="K72" s="167"/>
      <c r="L72" s="177"/>
      <c r="M72" s="177"/>
      <c r="N72" s="178"/>
      <c r="O72" s="202">
        <f t="shared" si="230"/>
        <v>0</v>
      </c>
      <c r="P72" s="167"/>
      <c r="Q72" s="177">
        <v>213.16900000000001</v>
      </c>
      <c r="R72" s="177"/>
      <c r="S72" s="177"/>
      <c r="T72" s="178"/>
      <c r="U72" s="202">
        <f t="shared" si="173"/>
        <v>213.16900000000001</v>
      </c>
      <c r="V72" s="167"/>
      <c r="W72" s="177">
        <v>1244.6369999999999</v>
      </c>
      <c r="X72" s="177"/>
      <c r="Y72" s="177">
        <f>208.449+2125.918+375.419</f>
        <v>2709.7860000000001</v>
      </c>
      <c r="Z72" s="177"/>
      <c r="AA72" s="208">
        <f t="shared" si="174"/>
        <v>3954.4229999999998</v>
      </c>
      <c r="AB72" s="208">
        <f t="shared" si="226"/>
        <v>4930.7489999999998</v>
      </c>
      <c r="AC72" s="203">
        <f>1029.15+142.1+1250.256</f>
        <v>2421.5060000000003</v>
      </c>
      <c r="AD72" s="205"/>
      <c r="AE72" s="205"/>
      <c r="AF72" s="205"/>
      <c r="AG72" s="204">
        <v>4551.4660000000003</v>
      </c>
      <c r="AH72" s="208">
        <f t="shared" si="227"/>
        <v>6972.9720000000007</v>
      </c>
      <c r="AI72" s="203">
        <v>706.14200000000005</v>
      </c>
      <c r="AJ72" s="205"/>
      <c r="AK72" s="205"/>
      <c r="AL72" s="205">
        <f>151.44+325.801</f>
        <v>477.24099999999999</v>
      </c>
      <c r="AM72" s="204"/>
      <c r="AN72" s="208">
        <f t="shared" si="175"/>
        <v>1183.383</v>
      </c>
      <c r="AO72" s="203">
        <f>258.1+79.745</f>
        <v>337.84500000000003</v>
      </c>
      <c r="AP72" s="205">
        <f>101.797+122.356+1488.608</f>
        <v>1712.761</v>
      </c>
      <c r="AQ72" s="205">
        <v>800</v>
      </c>
      <c r="AR72" s="205"/>
      <c r="AS72" s="204"/>
      <c r="AT72" s="208">
        <f t="shared" si="176"/>
        <v>2850.6059999999998</v>
      </c>
      <c r="AU72" s="203"/>
      <c r="AV72" s="205"/>
      <c r="AW72" s="205">
        <v>467.25299999999999</v>
      </c>
      <c r="AX72" s="205">
        <v>1019.961</v>
      </c>
      <c r="AY72" s="204">
        <f>109.334+100.8</f>
        <v>210.13400000000001</v>
      </c>
      <c r="AZ72" s="208">
        <f t="shared" si="177"/>
        <v>1697.348</v>
      </c>
      <c r="BA72" s="208">
        <f t="shared" si="178"/>
        <v>12704.309000000001</v>
      </c>
      <c r="BB72" s="203"/>
      <c r="BC72" s="205"/>
      <c r="BD72" s="205"/>
      <c r="BE72" s="205"/>
      <c r="BF72" s="204">
        <f>1615.741+477.635</f>
        <v>2093.3760000000002</v>
      </c>
      <c r="BG72" s="208">
        <f t="shared" si="179"/>
        <v>2093.3760000000002</v>
      </c>
      <c r="BH72" s="203">
        <v>174.876</v>
      </c>
      <c r="BI72" s="205">
        <v>124.18600000000001</v>
      </c>
      <c r="BJ72" s="205"/>
      <c r="BK72" s="205"/>
      <c r="BL72" s="204"/>
      <c r="BM72" s="208">
        <f t="shared" si="164"/>
        <v>299.06200000000001</v>
      </c>
      <c r="BN72" s="203"/>
      <c r="BO72" s="205"/>
      <c r="BP72" s="205"/>
      <c r="BQ72" s="204">
        <f>80.286+1317.798</f>
        <v>1398.0840000000001</v>
      </c>
      <c r="BR72" s="208">
        <f t="shared" si="180"/>
        <v>1398.0840000000001</v>
      </c>
      <c r="BS72" s="203">
        <f>336.5+336.5+835.334+631.9</f>
        <v>2140.2339999999999</v>
      </c>
      <c r="BT72" s="205">
        <v>992.12800000000004</v>
      </c>
      <c r="BU72" s="205"/>
      <c r="BV72" s="205"/>
      <c r="BW72" s="204"/>
      <c r="BX72" s="208">
        <f t="shared" si="181"/>
        <v>3132.3620000000001</v>
      </c>
      <c r="BY72" s="203">
        <v>445.57100000000003</v>
      </c>
      <c r="BZ72" s="205"/>
      <c r="CA72" s="208">
        <f t="shared" si="182"/>
        <v>445.57100000000003</v>
      </c>
      <c r="CB72" s="208">
        <f t="shared" si="183"/>
        <v>7368.4549999999999</v>
      </c>
      <c r="CC72" s="203"/>
      <c r="CD72" s="205"/>
      <c r="CE72" s="205"/>
      <c r="CF72" s="208">
        <f t="shared" si="228"/>
        <v>0</v>
      </c>
      <c r="CG72" s="203">
        <f>403.7+122.43</f>
        <v>526.13</v>
      </c>
      <c r="CH72" s="205">
        <f>151.528+143.571+256.993</f>
        <v>552.09199999999998</v>
      </c>
      <c r="CI72" s="205">
        <f>411.282+561.236</f>
        <v>972.51800000000003</v>
      </c>
      <c r="CJ72" s="204"/>
      <c r="CK72" s="208">
        <f t="shared" si="184"/>
        <v>2050.7399999999998</v>
      </c>
      <c r="CL72" s="203">
        <v>497.47399999999999</v>
      </c>
      <c r="CM72" s="205">
        <v>584.6</v>
      </c>
      <c r="CN72" s="205">
        <v>96.44</v>
      </c>
      <c r="CO72" s="205">
        <f>506.721+561.271</f>
        <v>1067.992</v>
      </c>
      <c r="CP72" s="204">
        <v>140.59100000000001</v>
      </c>
      <c r="CQ72" s="208">
        <f t="shared" si="185"/>
        <v>2387.0970000000002</v>
      </c>
      <c r="CR72" s="203"/>
      <c r="CS72" s="205"/>
      <c r="CT72" s="205"/>
      <c r="CU72" s="205"/>
      <c r="CV72" s="204"/>
      <c r="CW72" s="208">
        <f t="shared" si="186"/>
        <v>0</v>
      </c>
      <c r="CX72" s="203">
        <v>121.803</v>
      </c>
      <c r="CY72" s="205"/>
      <c r="CZ72" s="205"/>
      <c r="DA72" s="204"/>
      <c r="DB72" s="208">
        <f t="shared" si="187"/>
        <v>121.803</v>
      </c>
      <c r="DC72" s="208">
        <f t="shared" si="229"/>
        <v>4559.6399999999994</v>
      </c>
      <c r="DD72" s="203">
        <v>68.899000000000001</v>
      </c>
      <c r="DE72" s="205"/>
      <c r="DF72" s="205"/>
      <c r="DG72" s="205"/>
      <c r="DH72" s="205"/>
      <c r="DI72" s="208">
        <f t="shared" si="188"/>
        <v>68.899000000000001</v>
      </c>
      <c r="DJ72" s="203"/>
      <c r="DK72" s="205"/>
      <c r="DL72" s="205"/>
      <c r="DM72" s="205"/>
      <c r="DN72" s="204"/>
      <c r="DO72" s="208">
        <f t="shared" si="189"/>
        <v>0</v>
      </c>
      <c r="DP72" s="203"/>
      <c r="DQ72" s="205"/>
      <c r="DR72" s="205"/>
      <c r="DS72" s="205">
        <f>994.864+305.106</f>
        <v>1299.97</v>
      </c>
      <c r="DT72" s="204"/>
      <c r="DU72" s="245">
        <f t="shared" si="190"/>
        <v>1299.97</v>
      </c>
      <c r="DV72" s="203"/>
      <c r="DW72" s="205">
        <v>1654.873</v>
      </c>
      <c r="DX72" s="205"/>
      <c r="DY72" s="205"/>
      <c r="DZ72" s="204"/>
      <c r="EA72" s="208">
        <f t="shared" si="191"/>
        <v>1654.873</v>
      </c>
      <c r="EB72" s="208">
        <f t="shared" si="192"/>
        <v>3023.7419999999997</v>
      </c>
      <c r="EC72" s="203">
        <f>243.208+1506.388+362.196+582.844</f>
        <v>2694.636</v>
      </c>
      <c r="ED72" s="205"/>
      <c r="EE72" s="205">
        <v>572.99099999999999</v>
      </c>
      <c r="EF72" s="205">
        <v>89.135999999999996</v>
      </c>
      <c r="EG72" s="204"/>
      <c r="EH72" s="208">
        <f t="shared" si="193"/>
        <v>3356.7629999999999</v>
      </c>
      <c r="EI72" s="203"/>
      <c r="EJ72" s="205"/>
      <c r="EK72" s="205"/>
      <c r="EL72" s="205"/>
      <c r="EM72" s="204"/>
      <c r="EN72" s="208">
        <f t="shared" si="194"/>
        <v>0</v>
      </c>
      <c r="EO72" s="203"/>
      <c r="EP72" s="205"/>
      <c r="EQ72" s="205"/>
      <c r="ER72" s="205"/>
      <c r="ES72" s="204"/>
      <c r="ET72" s="308">
        <f t="shared" si="195"/>
        <v>0</v>
      </c>
      <c r="EU72" s="203">
        <v>715.774</v>
      </c>
      <c r="EV72" s="205">
        <f>5939.833+336.5</f>
        <v>6276.3329999999996</v>
      </c>
      <c r="EW72" s="205"/>
      <c r="EX72" s="205">
        <f>436.226+1209.285+5741.0857</f>
        <v>7386.5967000000001</v>
      </c>
      <c r="EY72" s="205"/>
      <c r="EZ72" s="205">
        <f>369.094</f>
        <v>369.09399999999999</v>
      </c>
      <c r="FA72" s="204">
        <f>918.004+238.547+865.567+432.18</f>
        <v>2454.2979999999998</v>
      </c>
      <c r="FB72" s="208">
        <f t="shared" si="196"/>
        <v>17202.095699999998</v>
      </c>
      <c r="FC72" s="208">
        <f t="shared" si="197"/>
        <v>20558.858699999997</v>
      </c>
      <c r="FD72" s="203"/>
      <c r="FE72" s="205"/>
      <c r="FF72" s="204">
        <f>296.684+687.083</f>
        <v>983.76700000000005</v>
      </c>
      <c r="FG72" s="208">
        <f t="shared" si="198"/>
        <v>983.76700000000005</v>
      </c>
      <c r="FH72" s="203">
        <v>159.078</v>
      </c>
      <c r="FI72" s="205"/>
      <c r="FJ72" s="205"/>
      <c r="FK72" s="205">
        <f>491.38+804.625+81.684</f>
        <v>1377.6890000000001</v>
      </c>
      <c r="FL72" s="204"/>
      <c r="FM72" s="208">
        <f t="shared" si="199"/>
        <v>1536.7670000000001</v>
      </c>
      <c r="FN72" s="203">
        <v>1536.6379999999999</v>
      </c>
      <c r="FO72" s="205"/>
      <c r="FP72" s="205"/>
      <c r="FQ72" s="205"/>
      <c r="FR72" s="208">
        <f t="shared" si="165"/>
        <v>1536.6379999999999</v>
      </c>
      <c r="FS72" s="203">
        <v>162.048</v>
      </c>
      <c r="FT72" s="205"/>
      <c r="FU72" s="205">
        <v>1328.3050000000001</v>
      </c>
      <c r="FV72" s="205"/>
      <c r="FW72" s="204">
        <f>1872.547</f>
        <v>1872.547</v>
      </c>
      <c r="FX72" s="208">
        <f t="shared" si="166"/>
        <v>3362.9</v>
      </c>
      <c r="FY72" s="203">
        <f>1097.667+100+381.833</f>
        <v>1579.5</v>
      </c>
      <c r="FZ72" s="205"/>
      <c r="GA72" s="205"/>
      <c r="GB72" s="205">
        <f>2495.767+635.218</f>
        <v>3130.9849999999997</v>
      </c>
      <c r="GC72" s="204">
        <f>409.925+199.125</f>
        <v>609.04999999999995</v>
      </c>
      <c r="GD72" s="208">
        <f t="shared" si="167"/>
        <v>5319.5349999999999</v>
      </c>
      <c r="GE72" s="208">
        <f t="shared" si="168"/>
        <v>12739.607</v>
      </c>
      <c r="GF72" s="203"/>
      <c r="GG72" s="205"/>
      <c r="GH72" s="205"/>
      <c r="GI72" s="205"/>
      <c r="GJ72" s="205">
        <f>307.078+1204.938</f>
        <v>1512.0160000000001</v>
      </c>
      <c r="GK72" s="208">
        <f t="shared" si="169"/>
        <v>1512.0160000000001</v>
      </c>
      <c r="GL72" s="203">
        <f>1847.795+2720.275</f>
        <v>4568.07</v>
      </c>
      <c r="GM72" s="205">
        <v>2615.6680000000001</v>
      </c>
      <c r="GN72" s="205">
        <f>814.542+608.07</f>
        <v>1422.6120000000001</v>
      </c>
      <c r="GO72" s="204">
        <v>116.96599999999999</v>
      </c>
      <c r="GP72" s="208">
        <f t="shared" si="170"/>
        <v>8723.3159999999989</v>
      </c>
      <c r="GQ72" s="203"/>
      <c r="GR72" s="205"/>
      <c r="GS72" s="205"/>
      <c r="GT72" s="205">
        <f>43433.989+467.6</f>
        <v>43901.589</v>
      </c>
      <c r="GU72" s="204"/>
      <c r="GV72" s="208">
        <f t="shared" si="200"/>
        <v>43901.589</v>
      </c>
      <c r="GW72" s="203">
        <v>123.613</v>
      </c>
      <c r="GX72" s="205">
        <v>228.68100000000001</v>
      </c>
      <c r="GY72" s="205"/>
      <c r="GZ72" s="205"/>
      <c r="HA72" s="205">
        <f>10565.8+2587.159</f>
        <v>13152.958999999999</v>
      </c>
      <c r="HB72" s="204">
        <f>3475.305+107.88+784.477</f>
        <v>4367.6620000000003</v>
      </c>
      <c r="HC72" s="208">
        <f t="shared" si="201"/>
        <v>17872.915000000001</v>
      </c>
      <c r="HD72" s="208">
        <f t="shared" si="202"/>
        <v>72009.83600000001</v>
      </c>
      <c r="HE72" s="203">
        <f>6586.759+158.074+2418.077</f>
        <v>9162.91</v>
      </c>
      <c r="HF72" s="205"/>
      <c r="HG72" s="205"/>
      <c r="HH72" s="205"/>
      <c r="HI72" s="208">
        <f t="shared" si="203"/>
        <v>9162.91</v>
      </c>
      <c r="HJ72" s="203"/>
      <c r="HK72" s="205">
        <v>298.45</v>
      </c>
      <c r="HL72" s="205">
        <f>1453.181+1830.557</f>
        <v>3283.7380000000003</v>
      </c>
      <c r="HM72" s="205">
        <f>191.3+1834.694+342.931+988.448</f>
        <v>3357.3729999999996</v>
      </c>
      <c r="HN72" s="204"/>
      <c r="HO72" s="245">
        <f t="shared" si="204"/>
        <v>6939.5609999999997</v>
      </c>
      <c r="HP72" s="203">
        <f>523.147+6480.548+344.827</f>
        <v>7348.5219999999999</v>
      </c>
      <c r="HQ72" s="205">
        <f>1976.403+336.5+280.5+303.013</f>
        <v>2896.4160000000002</v>
      </c>
      <c r="HR72" s="205">
        <v>834.76</v>
      </c>
      <c r="HS72" s="205"/>
      <c r="HT72" s="204">
        <v>715.58</v>
      </c>
      <c r="HU72" s="208">
        <f t="shared" si="205"/>
        <v>11795.278</v>
      </c>
      <c r="HV72" s="203">
        <v>354.5</v>
      </c>
      <c r="HW72" s="205"/>
      <c r="HX72" s="205">
        <v>260.12599999999998</v>
      </c>
      <c r="HY72" s="208">
        <f t="shared" si="171"/>
        <v>614.62599999999998</v>
      </c>
      <c r="HZ72" s="203">
        <v>698.5</v>
      </c>
      <c r="IA72" s="205">
        <f>1585.27+295.5</f>
        <v>1880.77</v>
      </c>
      <c r="IB72" s="204">
        <f>243.968+185.524+1333.39</f>
        <v>1762.8820000000001</v>
      </c>
      <c r="IC72" s="208">
        <f t="shared" si="206"/>
        <v>4342.152</v>
      </c>
      <c r="ID72" s="208">
        <f t="shared" si="172"/>
        <v>32854.527000000002</v>
      </c>
      <c r="IE72" s="203">
        <f>329.703+454.8+6307.952</f>
        <v>7092.4549999999999</v>
      </c>
      <c r="IF72" s="204"/>
      <c r="IG72" s="208">
        <f t="shared" si="207"/>
        <v>7092.4549999999999</v>
      </c>
      <c r="IH72" s="203"/>
      <c r="II72" s="205">
        <v>40415.495999999999</v>
      </c>
      <c r="IJ72" s="205">
        <v>114.616</v>
      </c>
      <c r="IK72" s="205"/>
      <c r="IL72" s="204"/>
      <c r="IM72" s="208">
        <f t="shared" si="208"/>
        <v>40530.112000000001</v>
      </c>
      <c r="IN72" s="203">
        <v>555.81500000000005</v>
      </c>
      <c r="IO72" s="205"/>
      <c r="IP72" s="204">
        <f>2732.828+7627.84+3737.878+3691.026</f>
        <v>17789.572</v>
      </c>
      <c r="IQ72" s="208">
        <f t="shared" si="209"/>
        <v>18345.386999999999</v>
      </c>
      <c r="IR72" s="203">
        <f>4392.139+94.188</f>
        <v>4486.3270000000002</v>
      </c>
      <c r="IS72" s="205">
        <v>2117.4490000000001</v>
      </c>
      <c r="IT72" s="205"/>
      <c r="IU72" s="205"/>
      <c r="IV72" s="204">
        <f>1071.552+184.828</f>
        <v>1256.3799999999999</v>
      </c>
      <c r="IW72" s="208">
        <f t="shared" si="210"/>
        <v>7860.1559999999999</v>
      </c>
      <c r="IX72" s="203"/>
      <c r="IY72" s="205">
        <v>106.955</v>
      </c>
      <c r="IZ72" s="205"/>
      <c r="JA72" s="205">
        <v>12326.683999999999</v>
      </c>
      <c r="JB72" s="204">
        <f>602.3+1247.137</f>
        <v>1849.4369999999999</v>
      </c>
      <c r="JC72" s="208">
        <f t="shared" si="211"/>
        <v>14283.075999999999</v>
      </c>
      <c r="JD72" s="208">
        <f t="shared" si="212"/>
        <v>88111.186000000002</v>
      </c>
      <c r="JE72" s="203">
        <f>144.46+1894.827</f>
        <v>2039.287</v>
      </c>
      <c r="JF72" s="205">
        <f>3743.099+894.35</f>
        <v>4637.4490000000005</v>
      </c>
      <c r="JG72" s="205"/>
      <c r="JH72" s="205"/>
      <c r="JI72" s="204">
        <f>1050.29+472</f>
        <v>1522.29</v>
      </c>
      <c r="JJ72" s="208">
        <f t="shared" si="213"/>
        <v>8199.0260000000017</v>
      </c>
      <c r="JK72" s="203"/>
      <c r="JL72" s="205"/>
      <c r="JM72" s="205"/>
      <c r="JN72" s="205"/>
      <c r="JO72" s="204"/>
      <c r="JP72" s="208">
        <f t="shared" si="214"/>
        <v>0</v>
      </c>
      <c r="JQ72" s="203"/>
      <c r="JR72" s="205"/>
      <c r="JS72" s="205"/>
      <c r="JT72" s="205"/>
      <c r="JU72" s="204"/>
      <c r="JV72" s="208">
        <f t="shared" si="215"/>
        <v>0</v>
      </c>
      <c r="JW72" s="203"/>
      <c r="JX72" s="205"/>
      <c r="JY72" s="205"/>
      <c r="JZ72" s="205"/>
      <c r="KA72" s="205"/>
      <c r="KB72" s="204"/>
      <c r="KC72" s="208">
        <f t="shared" si="216"/>
        <v>0</v>
      </c>
      <c r="KD72" s="208">
        <f t="shared" si="217"/>
        <v>8199.0260000000017</v>
      </c>
      <c r="KE72" s="203"/>
      <c r="KF72" s="205"/>
      <c r="KG72" s="205"/>
      <c r="KH72" s="205"/>
      <c r="KI72" s="204"/>
      <c r="KJ72" s="208">
        <f t="shared" si="218"/>
        <v>0</v>
      </c>
      <c r="KK72" s="203"/>
      <c r="KL72" s="205"/>
      <c r="KM72" s="205"/>
      <c r="KN72" s="205"/>
      <c r="KO72" s="204"/>
      <c r="KP72" s="208">
        <f t="shared" si="219"/>
        <v>0</v>
      </c>
      <c r="KQ72" s="203"/>
      <c r="KR72" s="205"/>
      <c r="KS72" s="205"/>
      <c r="KT72" s="205"/>
      <c r="KU72" s="204"/>
      <c r="KV72" s="208">
        <f t="shared" si="220"/>
        <v>0</v>
      </c>
      <c r="KW72" s="203"/>
      <c r="KX72" s="205"/>
      <c r="KY72" s="205"/>
      <c r="KZ72" s="205"/>
      <c r="LA72" s="204"/>
      <c r="LB72" s="208">
        <f t="shared" si="221"/>
        <v>0</v>
      </c>
      <c r="LC72" s="202"/>
      <c r="LD72" s="244"/>
      <c r="LE72" s="245"/>
      <c r="LF72" s="208">
        <f t="shared" si="222"/>
        <v>0</v>
      </c>
      <c r="LG72" s="208">
        <f t="shared" si="223"/>
        <v>0</v>
      </c>
    </row>
    <row r="73" spans="2:319" s="91" customFormat="1">
      <c r="B73" s="167" t="s">
        <v>402</v>
      </c>
      <c r="C73" s="167">
        <f>883.284+1041.262</f>
        <v>1924.5459999999998</v>
      </c>
      <c r="D73" s="202">
        <f t="shared" si="163"/>
        <v>1924.5459999999998</v>
      </c>
      <c r="E73" s="167">
        <v>142.1</v>
      </c>
      <c r="F73" s="177"/>
      <c r="G73" s="177"/>
      <c r="H73" s="177">
        <f>631.375+238.248</f>
        <v>869.62300000000005</v>
      </c>
      <c r="I73" s="178"/>
      <c r="J73" s="202">
        <f t="shared" si="224"/>
        <v>1011.7230000000001</v>
      </c>
      <c r="K73" s="167"/>
      <c r="L73" s="177">
        <v>200.8</v>
      </c>
      <c r="M73" s="177">
        <f>855.753+456.469</f>
        <v>1312.222</v>
      </c>
      <c r="N73" s="178"/>
      <c r="O73" s="202">
        <f t="shared" si="230"/>
        <v>1513.0219999999999</v>
      </c>
      <c r="P73" s="167"/>
      <c r="Q73" s="177"/>
      <c r="R73" s="177"/>
      <c r="S73" s="177"/>
      <c r="T73" s="178"/>
      <c r="U73" s="202">
        <f t="shared" si="173"/>
        <v>0</v>
      </c>
      <c r="V73" s="167"/>
      <c r="W73" s="177"/>
      <c r="X73" s="177"/>
      <c r="Y73" s="177"/>
      <c r="Z73" s="177"/>
      <c r="AA73" s="208">
        <f t="shared" si="174"/>
        <v>0</v>
      </c>
      <c r="AB73" s="208">
        <f t="shared" si="226"/>
        <v>4449.2909999999993</v>
      </c>
      <c r="AC73" s="203">
        <f>778.075+507.661</f>
        <v>1285.7360000000001</v>
      </c>
      <c r="AD73" s="205">
        <f>338.269+423.597</f>
        <v>761.86599999999999</v>
      </c>
      <c r="AE73" s="205">
        <v>448.428</v>
      </c>
      <c r="AF73" s="205"/>
      <c r="AG73" s="204">
        <v>86.516999999999996</v>
      </c>
      <c r="AH73" s="208">
        <f t="shared" si="227"/>
        <v>2582.547</v>
      </c>
      <c r="AI73" s="203"/>
      <c r="AJ73" s="205"/>
      <c r="AK73" s="205"/>
      <c r="AL73" s="205"/>
      <c r="AM73" s="204"/>
      <c r="AN73" s="208">
        <f t="shared" si="175"/>
        <v>0</v>
      </c>
      <c r="AO73" s="203"/>
      <c r="AP73" s="205"/>
      <c r="AQ73" s="205"/>
      <c r="AR73" s="205">
        <v>303.01299999999998</v>
      </c>
      <c r="AS73" s="204"/>
      <c r="AT73" s="208">
        <f t="shared" si="176"/>
        <v>303.01299999999998</v>
      </c>
      <c r="AU73" s="203">
        <v>445.61799999999999</v>
      </c>
      <c r="AV73" s="205"/>
      <c r="AW73" s="205"/>
      <c r="AX73" s="205"/>
      <c r="AY73" s="204"/>
      <c r="AZ73" s="208">
        <f t="shared" si="177"/>
        <v>445.61799999999999</v>
      </c>
      <c r="BA73" s="208">
        <f t="shared" si="178"/>
        <v>3331.1779999999999</v>
      </c>
      <c r="BB73" s="203">
        <f>129.986+600.384+524.86</f>
        <v>1255.23</v>
      </c>
      <c r="BC73" s="205"/>
      <c r="BD73" s="205"/>
      <c r="BE73" s="205">
        <f>114.191+545.827</f>
        <v>660.01800000000003</v>
      </c>
      <c r="BF73" s="204"/>
      <c r="BG73" s="208">
        <f t="shared" si="179"/>
        <v>1915.248</v>
      </c>
      <c r="BH73" s="203"/>
      <c r="BI73" s="205">
        <v>106.623</v>
      </c>
      <c r="BJ73" s="205">
        <v>174.364</v>
      </c>
      <c r="BK73" s="205"/>
      <c r="BL73" s="204"/>
      <c r="BM73" s="208">
        <f t="shared" si="164"/>
        <v>280.98700000000002</v>
      </c>
      <c r="BN73" s="203">
        <v>115.5</v>
      </c>
      <c r="BO73" s="205"/>
      <c r="BP73" s="205"/>
      <c r="BQ73" s="204"/>
      <c r="BR73" s="208">
        <f t="shared" si="180"/>
        <v>115.5</v>
      </c>
      <c r="BS73" s="203"/>
      <c r="BT73" s="205"/>
      <c r="BU73" s="205">
        <f>484.346+116.14</f>
        <v>600.48599999999999</v>
      </c>
      <c r="BV73" s="205">
        <f>170</f>
        <v>170</v>
      </c>
      <c r="BW73" s="204"/>
      <c r="BX73" s="208">
        <f t="shared" si="181"/>
        <v>770.48599999999999</v>
      </c>
      <c r="BY73" s="203"/>
      <c r="BZ73" s="205"/>
      <c r="CA73" s="208">
        <f t="shared" si="182"/>
        <v>0</v>
      </c>
      <c r="CB73" s="208">
        <f t="shared" si="183"/>
        <v>3082.221</v>
      </c>
      <c r="CC73" s="203"/>
      <c r="CD73" s="205"/>
      <c r="CE73" s="205"/>
      <c r="CF73" s="208">
        <f t="shared" si="228"/>
        <v>0</v>
      </c>
      <c r="CG73" s="203"/>
      <c r="CH73" s="205">
        <f>426.358</f>
        <v>426.358</v>
      </c>
      <c r="CI73" s="205"/>
      <c r="CJ73" s="204"/>
      <c r="CK73" s="208">
        <f t="shared" si="184"/>
        <v>426.358</v>
      </c>
      <c r="CL73" s="203"/>
      <c r="CM73" s="205">
        <v>1809.6079999999999</v>
      </c>
      <c r="CN73" s="205"/>
      <c r="CO73" s="205"/>
      <c r="CP73" s="204"/>
      <c r="CQ73" s="208">
        <f t="shared" si="185"/>
        <v>1809.6079999999999</v>
      </c>
      <c r="CR73" s="203">
        <v>372.28300000000002</v>
      </c>
      <c r="CS73" s="205"/>
      <c r="CT73" s="205"/>
      <c r="CU73" s="205"/>
      <c r="CV73" s="204"/>
      <c r="CW73" s="208">
        <f t="shared" si="186"/>
        <v>372.28300000000002</v>
      </c>
      <c r="CX73" s="203">
        <f>407.6+254.727+263.404</f>
        <v>925.73099999999999</v>
      </c>
      <c r="CY73" s="205">
        <f>1813.5+1273.278</f>
        <v>3086.7780000000002</v>
      </c>
      <c r="CZ73" s="205">
        <v>290.346</v>
      </c>
      <c r="DA73" s="204">
        <f>11739.723+110.076+167.62</f>
        <v>12017.419</v>
      </c>
      <c r="DB73" s="208">
        <f t="shared" si="187"/>
        <v>16320.273999999999</v>
      </c>
      <c r="DC73" s="208">
        <f t="shared" si="229"/>
        <v>18928.523000000001</v>
      </c>
      <c r="DD73" s="203"/>
      <c r="DE73" s="205"/>
      <c r="DF73" s="205"/>
      <c r="DG73" s="205"/>
      <c r="DH73" s="205"/>
      <c r="DI73" s="208">
        <f t="shared" si="188"/>
        <v>0</v>
      </c>
      <c r="DJ73" s="203"/>
      <c r="DK73" s="205">
        <v>1176.1010000000001</v>
      </c>
      <c r="DL73" s="205">
        <f>267.028+1058.186</f>
        <v>1325.2139999999999</v>
      </c>
      <c r="DM73" s="205"/>
      <c r="DN73" s="204"/>
      <c r="DO73" s="208">
        <f t="shared" si="189"/>
        <v>2501.3150000000001</v>
      </c>
      <c r="DP73" s="203"/>
      <c r="DQ73" s="205"/>
      <c r="DR73" s="205">
        <v>99.863</v>
      </c>
      <c r="DS73" s="205"/>
      <c r="DT73" s="204"/>
      <c r="DU73" s="245">
        <f t="shared" si="190"/>
        <v>99.863</v>
      </c>
      <c r="DV73" s="203"/>
      <c r="DW73" s="205"/>
      <c r="DX73" s="205"/>
      <c r="DY73" s="205"/>
      <c r="DZ73" s="204"/>
      <c r="EA73" s="208">
        <f t="shared" si="191"/>
        <v>0</v>
      </c>
      <c r="EB73" s="208">
        <f t="shared" si="192"/>
        <v>2601.1779999999999</v>
      </c>
      <c r="EC73" s="203"/>
      <c r="ED73" s="205"/>
      <c r="EE73" s="205"/>
      <c r="EF73" s="205"/>
      <c r="EG73" s="204"/>
      <c r="EH73" s="208">
        <f t="shared" si="193"/>
        <v>0</v>
      </c>
      <c r="EI73" s="203"/>
      <c r="EJ73" s="205"/>
      <c r="EK73" s="205"/>
      <c r="EL73" s="205"/>
      <c r="EM73" s="204"/>
      <c r="EN73" s="208">
        <f t="shared" si="194"/>
        <v>0</v>
      </c>
      <c r="EO73" s="203"/>
      <c r="EP73" s="205"/>
      <c r="EQ73" s="205"/>
      <c r="ER73" s="205"/>
      <c r="ES73" s="204"/>
      <c r="ET73" s="308">
        <f t="shared" si="195"/>
        <v>0</v>
      </c>
      <c r="EU73" s="203"/>
      <c r="EV73" s="205"/>
      <c r="EW73" s="205"/>
      <c r="EX73" s="205"/>
      <c r="EY73" s="205"/>
      <c r="EZ73" s="205"/>
      <c r="FA73" s="204">
        <v>285.47199999999998</v>
      </c>
      <c r="FB73" s="208">
        <f t="shared" si="196"/>
        <v>285.47199999999998</v>
      </c>
      <c r="FC73" s="208">
        <f t="shared" si="197"/>
        <v>285.47199999999998</v>
      </c>
      <c r="FD73" s="203">
        <f>805.864+916.45</f>
        <v>1722.3140000000001</v>
      </c>
      <c r="FE73" s="205"/>
      <c r="FF73" s="204"/>
      <c r="FG73" s="208">
        <f t="shared" si="198"/>
        <v>1722.3140000000001</v>
      </c>
      <c r="FH73" s="203">
        <v>106.499</v>
      </c>
      <c r="FI73" s="205"/>
      <c r="FJ73" s="205"/>
      <c r="FK73" s="205"/>
      <c r="FL73" s="204"/>
      <c r="FM73" s="208">
        <f t="shared" si="199"/>
        <v>106.499</v>
      </c>
      <c r="FN73" s="203">
        <v>416.61</v>
      </c>
      <c r="FO73" s="205"/>
      <c r="FP73" s="205"/>
      <c r="FQ73" s="205"/>
      <c r="FR73" s="208">
        <f t="shared" si="165"/>
        <v>416.61</v>
      </c>
      <c r="FS73" s="203">
        <f>411.14+1957.02</f>
        <v>2368.16</v>
      </c>
      <c r="FT73" s="205"/>
      <c r="FU73" s="205"/>
      <c r="FV73" s="205"/>
      <c r="FW73" s="204">
        <v>550.36099999999999</v>
      </c>
      <c r="FX73" s="208">
        <f t="shared" si="166"/>
        <v>2918.5209999999997</v>
      </c>
      <c r="FY73" s="203"/>
      <c r="FZ73" s="205"/>
      <c r="GA73" s="205"/>
      <c r="GB73" s="205"/>
      <c r="GC73" s="204"/>
      <c r="GD73" s="208">
        <f t="shared" si="167"/>
        <v>0</v>
      </c>
      <c r="GE73" s="208">
        <f t="shared" si="168"/>
        <v>5163.9439999999995</v>
      </c>
      <c r="GF73" s="203"/>
      <c r="GG73" s="205"/>
      <c r="GH73" s="205"/>
      <c r="GI73" s="205"/>
      <c r="GJ73" s="205"/>
      <c r="GK73" s="208">
        <f t="shared" si="169"/>
        <v>0</v>
      </c>
      <c r="GL73" s="203"/>
      <c r="GM73" s="205"/>
      <c r="GN73" s="205"/>
      <c r="GO73" s="204"/>
      <c r="GP73" s="208">
        <f t="shared" si="170"/>
        <v>0</v>
      </c>
      <c r="GQ73" s="203"/>
      <c r="GR73" s="205">
        <v>391.72199999999998</v>
      </c>
      <c r="GS73" s="205"/>
      <c r="GT73" s="205">
        <v>1006.809</v>
      </c>
      <c r="GU73" s="204"/>
      <c r="GV73" s="208">
        <f t="shared" si="200"/>
        <v>1398.5309999999999</v>
      </c>
      <c r="GW73" s="203"/>
      <c r="GX73" s="205"/>
      <c r="GY73" s="205"/>
      <c r="GZ73" s="205"/>
      <c r="HA73" s="205"/>
      <c r="HB73" s="204">
        <v>513.59</v>
      </c>
      <c r="HC73" s="208">
        <f t="shared" si="201"/>
        <v>513.59</v>
      </c>
      <c r="HD73" s="208">
        <f t="shared" si="202"/>
        <v>1912.1210000000001</v>
      </c>
      <c r="HE73" s="203"/>
      <c r="HF73" s="205"/>
      <c r="HG73" s="205"/>
      <c r="HH73" s="205"/>
      <c r="HI73" s="208">
        <f t="shared" si="203"/>
        <v>0</v>
      </c>
      <c r="HJ73" s="203"/>
      <c r="HK73" s="205"/>
      <c r="HL73" s="205"/>
      <c r="HM73" s="205">
        <f>3388.581+417.63</f>
        <v>3806.2110000000002</v>
      </c>
      <c r="HN73" s="204"/>
      <c r="HO73" s="245">
        <f t="shared" si="204"/>
        <v>3806.2110000000002</v>
      </c>
      <c r="HP73" s="203"/>
      <c r="HQ73" s="205">
        <v>106.056</v>
      </c>
      <c r="HR73" s="205"/>
      <c r="HS73" s="205"/>
      <c r="HT73" s="204"/>
      <c r="HU73" s="208">
        <f t="shared" si="205"/>
        <v>106.056</v>
      </c>
      <c r="HV73" s="203"/>
      <c r="HW73" s="205"/>
      <c r="HX73" s="205"/>
      <c r="HY73" s="208">
        <f t="shared" si="171"/>
        <v>0</v>
      </c>
      <c r="HZ73" s="203"/>
      <c r="IA73" s="205"/>
      <c r="IB73" s="204"/>
      <c r="IC73" s="208">
        <f t="shared" si="206"/>
        <v>0</v>
      </c>
      <c r="ID73" s="208">
        <f t="shared" si="172"/>
        <v>3912.2670000000003</v>
      </c>
      <c r="IE73" s="203"/>
      <c r="IF73" s="204"/>
      <c r="IG73" s="208">
        <f t="shared" si="207"/>
        <v>0</v>
      </c>
      <c r="IH73" s="203"/>
      <c r="II73" s="205"/>
      <c r="IJ73" s="205"/>
      <c r="IK73" s="205">
        <v>8762.0679999999993</v>
      </c>
      <c r="IL73" s="204"/>
      <c r="IM73" s="208">
        <f t="shared" si="208"/>
        <v>8762.0679999999993</v>
      </c>
      <c r="IN73" s="203"/>
      <c r="IO73" s="205"/>
      <c r="IP73" s="204"/>
      <c r="IQ73" s="208">
        <f t="shared" si="209"/>
        <v>0</v>
      </c>
      <c r="IR73" s="203"/>
      <c r="IS73" s="205"/>
      <c r="IT73" s="205">
        <v>3388.8150000000001</v>
      </c>
      <c r="IU73" s="205"/>
      <c r="IV73" s="204"/>
      <c r="IW73" s="208">
        <f t="shared" si="210"/>
        <v>3388.8150000000001</v>
      </c>
      <c r="IX73" s="203">
        <f>142.247+85.968</f>
        <v>228.21500000000003</v>
      </c>
      <c r="IY73" s="205"/>
      <c r="IZ73" s="205">
        <v>8762.0679999999993</v>
      </c>
      <c r="JA73" s="205"/>
      <c r="JB73" s="204"/>
      <c r="JC73" s="208">
        <f t="shared" si="211"/>
        <v>8990.2829999999994</v>
      </c>
      <c r="JD73" s="208">
        <f t="shared" si="212"/>
        <v>21141.165999999997</v>
      </c>
      <c r="JE73" s="203">
        <v>586.72400000000005</v>
      </c>
      <c r="JF73" s="205"/>
      <c r="JG73" s="205"/>
      <c r="JH73" s="205"/>
      <c r="JI73" s="204"/>
      <c r="JJ73" s="208">
        <f t="shared" si="213"/>
        <v>586.72400000000005</v>
      </c>
      <c r="JK73" s="203"/>
      <c r="JL73" s="205"/>
      <c r="JM73" s="205"/>
      <c r="JN73" s="205"/>
      <c r="JO73" s="204"/>
      <c r="JP73" s="208">
        <f t="shared" si="214"/>
        <v>0</v>
      </c>
      <c r="JQ73" s="203"/>
      <c r="JR73" s="205"/>
      <c r="JS73" s="205"/>
      <c r="JT73" s="205"/>
      <c r="JU73" s="204"/>
      <c r="JV73" s="208">
        <f t="shared" si="215"/>
        <v>0</v>
      </c>
      <c r="JW73" s="203"/>
      <c r="JX73" s="205"/>
      <c r="JY73" s="205"/>
      <c r="JZ73" s="205"/>
      <c r="KA73" s="205"/>
      <c r="KB73" s="204"/>
      <c r="KC73" s="208">
        <f t="shared" si="216"/>
        <v>0</v>
      </c>
      <c r="KD73" s="208">
        <f t="shared" si="217"/>
        <v>586.72400000000005</v>
      </c>
      <c r="KE73" s="203"/>
      <c r="KF73" s="205"/>
      <c r="KG73" s="205"/>
      <c r="KH73" s="205"/>
      <c r="KI73" s="204"/>
      <c r="KJ73" s="208">
        <f t="shared" si="218"/>
        <v>0</v>
      </c>
      <c r="KK73" s="203"/>
      <c r="KL73" s="205"/>
      <c r="KM73" s="205"/>
      <c r="KN73" s="205"/>
      <c r="KO73" s="204"/>
      <c r="KP73" s="208">
        <f t="shared" si="219"/>
        <v>0</v>
      </c>
      <c r="KQ73" s="203"/>
      <c r="KR73" s="205"/>
      <c r="KS73" s="205"/>
      <c r="KT73" s="205"/>
      <c r="KU73" s="204"/>
      <c r="KV73" s="208">
        <f t="shared" si="220"/>
        <v>0</v>
      </c>
      <c r="KW73" s="203"/>
      <c r="KX73" s="205"/>
      <c r="KY73" s="205"/>
      <c r="KZ73" s="205"/>
      <c r="LA73" s="204"/>
      <c r="LB73" s="208">
        <f t="shared" si="221"/>
        <v>0</v>
      </c>
      <c r="LC73" s="202"/>
      <c r="LD73" s="244"/>
      <c r="LE73" s="245"/>
      <c r="LF73" s="208">
        <f t="shared" si="222"/>
        <v>0</v>
      </c>
      <c r="LG73" s="208">
        <f t="shared" si="223"/>
        <v>0</v>
      </c>
    </row>
    <row r="74" spans="2:319" s="91" customFormat="1">
      <c r="B74" s="167" t="s">
        <v>403</v>
      </c>
      <c r="C74" s="167">
        <f>30+30+84.5</f>
        <v>144.5</v>
      </c>
      <c r="D74" s="202">
        <f t="shared" si="163"/>
        <v>144.5</v>
      </c>
      <c r="E74" s="167"/>
      <c r="F74" s="177"/>
      <c r="G74" s="177"/>
      <c r="H74" s="177"/>
      <c r="I74" s="178"/>
      <c r="J74" s="202">
        <f t="shared" si="224"/>
        <v>0</v>
      </c>
      <c r="K74" s="167">
        <v>448.5</v>
      </c>
      <c r="L74" s="177"/>
      <c r="M74" s="177"/>
      <c r="N74" s="178"/>
      <c r="O74" s="202">
        <f t="shared" si="230"/>
        <v>448.5</v>
      </c>
      <c r="P74" s="167">
        <f>321.7+316.2</f>
        <v>637.9</v>
      </c>
      <c r="Q74" s="177"/>
      <c r="R74" s="177"/>
      <c r="S74" s="177"/>
      <c r="T74" s="178"/>
      <c r="U74" s="202">
        <f t="shared" si="173"/>
        <v>637.9</v>
      </c>
      <c r="V74" s="167"/>
      <c r="W74" s="177"/>
      <c r="X74" s="177"/>
      <c r="Y74" s="177">
        <f>1475.483+784.5</f>
        <v>2259.9830000000002</v>
      </c>
      <c r="Z74" s="177"/>
      <c r="AA74" s="208">
        <f t="shared" si="174"/>
        <v>2259.9830000000002</v>
      </c>
      <c r="AB74" s="208">
        <f t="shared" si="226"/>
        <v>3490.8830000000003</v>
      </c>
      <c r="AC74" s="203">
        <f>368.216+84.5</f>
        <v>452.71600000000001</v>
      </c>
      <c r="AD74" s="205"/>
      <c r="AE74" s="205">
        <f>30+30+459.8</f>
        <v>519.79999999999995</v>
      </c>
      <c r="AF74" s="205"/>
      <c r="AG74" s="204"/>
      <c r="AH74" s="208">
        <f t="shared" si="227"/>
        <v>972.51599999999996</v>
      </c>
      <c r="AI74" s="203"/>
      <c r="AJ74" s="205"/>
      <c r="AK74" s="205"/>
      <c r="AL74" s="205"/>
      <c r="AM74" s="204"/>
      <c r="AN74" s="208">
        <f t="shared" si="175"/>
        <v>0</v>
      </c>
      <c r="AO74" s="203"/>
      <c r="AP74" s="205"/>
      <c r="AQ74" s="205"/>
      <c r="AR74" s="205"/>
      <c r="AS74" s="204"/>
      <c r="AT74" s="208">
        <f t="shared" si="176"/>
        <v>0</v>
      </c>
      <c r="AU74" s="203"/>
      <c r="AV74" s="205"/>
      <c r="AW74" s="205"/>
      <c r="AX74" s="205"/>
      <c r="AY74" s="204"/>
      <c r="AZ74" s="208">
        <f t="shared" si="177"/>
        <v>0</v>
      </c>
      <c r="BA74" s="208">
        <f t="shared" si="178"/>
        <v>972.51599999999996</v>
      </c>
      <c r="BB74" s="203">
        <v>168.5</v>
      </c>
      <c r="BC74" s="205">
        <v>1401</v>
      </c>
      <c r="BD74" s="205"/>
      <c r="BE74" s="205"/>
      <c r="BF74" s="204"/>
      <c r="BG74" s="208">
        <f t="shared" si="179"/>
        <v>1569.5</v>
      </c>
      <c r="BH74" s="203"/>
      <c r="BI74" s="205"/>
      <c r="BJ74" s="205"/>
      <c r="BK74" s="205"/>
      <c r="BL74" s="204"/>
      <c r="BM74" s="208">
        <f t="shared" si="164"/>
        <v>0</v>
      </c>
      <c r="BN74" s="203"/>
      <c r="BO74" s="205"/>
      <c r="BP74" s="205"/>
      <c r="BQ74" s="204"/>
      <c r="BR74" s="208">
        <f t="shared" si="180"/>
        <v>0</v>
      </c>
      <c r="BS74" s="203"/>
      <c r="BT74" s="205"/>
      <c r="BU74" s="205">
        <v>60</v>
      </c>
      <c r="BV74" s="205"/>
      <c r="BW74" s="204"/>
      <c r="BX74" s="208">
        <f t="shared" si="181"/>
        <v>60</v>
      </c>
      <c r="BY74" s="203"/>
      <c r="BZ74" s="205"/>
      <c r="CA74" s="208">
        <f t="shared" si="182"/>
        <v>0</v>
      </c>
      <c r="CB74" s="208">
        <f t="shared" si="183"/>
        <v>1629.5</v>
      </c>
      <c r="CC74" s="203"/>
      <c r="CD74" s="205"/>
      <c r="CE74" s="205"/>
      <c r="CF74" s="208">
        <f t="shared" si="228"/>
        <v>0</v>
      </c>
      <c r="CG74" s="203"/>
      <c r="CH74" s="205">
        <v>84.5</v>
      </c>
      <c r="CI74" s="205">
        <f>30+1000</f>
        <v>1030</v>
      </c>
      <c r="CJ74" s="204"/>
      <c r="CK74" s="208">
        <f t="shared" si="184"/>
        <v>1114.5</v>
      </c>
      <c r="CL74" s="203"/>
      <c r="CM74" s="205"/>
      <c r="CN74" s="205"/>
      <c r="CO74" s="205"/>
      <c r="CP74" s="204"/>
      <c r="CQ74" s="208">
        <f t="shared" si="185"/>
        <v>0</v>
      </c>
      <c r="CR74" s="203"/>
      <c r="CS74" s="205"/>
      <c r="CT74" s="205"/>
      <c r="CU74" s="205"/>
      <c r="CV74" s="204"/>
      <c r="CW74" s="208">
        <f t="shared" si="186"/>
        <v>0</v>
      </c>
      <c r="CX74" s="203"/>
      <c r="CY74" s="205"/>
      <c r="CZ74" s="205"/>
      <c r="DA74" s="204"/>
      <c r="DB74" s="208">
        <f t="shared" si="187"/>
        <v>0</v>
      </c>
      <c r="DC74" s="208">
        <f t="shared" si="229"/>
        <v>1114.5</v>
      </c>
      <c r="DD74" s="203">
        <v>850</v>
      </c>
      <c r="DE74" s="205"/>
      <c r="DF74" s="205"/>
      <c r="DG74" s="205"/>
      <c r="DH74" s="205"/>
      <c r="DI74" s="208">
        <f t="shared" si="188"/>
        <v>850</v>
      </c>
      <c r="DJ74" s="203">
        <v>870</v>
      </c>
      <c r="DK74" s="205">
        <v>30</v>
      </c>
      <c r="DL74" s="205"/>
      <c r="DM74" s="205"/>
      <c r="DN74" s="204"/>
      <c r="DO74" s="208">
        <f t="shared" si="189"/>
        <v>900</v>
      </c>
      <c r="DP74" s="203"/>
      <c r="DQ74" s="205"/>
      <c r="DR74" s="205">
        <v>452.1</v>
      </c>
      <c r="DS74" s="205"/>
      <c r="DT74" s="204"/>
      <c r="DU74" s="245">
        <f t="shared" si="190"/>
        <v>452.1</v>
      </c>
      <c r="DV74" s="203"/>
      <c r="DW74" s="205">
        <v>84.5</v>
      </c>
      <c r="DX74" s="205"/>
      <c r="DY74" s="205"/>
      <c r="DZ74" s="204"/>
      <c r="EA74" s="208">
        <f t="shared" si="191"/>
        <v>84.5</v>
      </c>
      <c r="EB74" s="208">
        <f t="shared" si="192"/>
        <v>2286.6</v>
      </c>
      <c r="EC74" s="203"/>
      <c r="ED74" s="205"/>
      <c r="EE74" s="205">
        <v>30</v>
      </c>
      <c r="EF74" s="205"/>
      <c r="EG74" s="204"/>
      <c r="EH74" s="208">
        <f t="shared" si="193"/>
        <v>30</v>
      </c>
      <c r="EI74" s="203"/>
      <c r="EJ74" s="205"/>
      <c r="EK74" s="205"/>
      <c r="EL74" s="205"/>
      <c r="EM74" s="204"/>
      <c r="EN74" s="208">
        <f t="shared" si="194"/>
        <v>0</v>
      </c>
      <c r="EO74" s="203"/>
      <c r="EP74" s="205"/>
      <c r="EQ74" s="205"/>
      <c r="ER74" s="205"/>
      <c r="ES74" s="204">
        <f>30+726.2</f>
        <v>756.2</v>
      </c>
      <c r="ET74" s="308">
        <f t="shared" si="195"/>
        <v>756.2</v>
      </c>
      <c r="EU74" s="203"/>
      <c r="EV74" s="205"/>
      <c r="EW74" s="205"/>
      <c r="EX74" s="205"/>
      <c r="EY74" s="205"/>
      <c r="EZ74" s="205"/>
      <c r="FA74" s="204"/>
      <c r="FB74" s="208">
        <f t="shared" si="196"/>
        <v>0</v>
      </c>
      <c r="FC74" s="208">
        <f t="shared" si="197"/>
        <v>786.2</v>
      </c>
      <c r="FD74" s="203"/>
      <c r="FE74" s="205"/>
      <c r="FF74" s="204"/>
      <c r="FG74" s="208">
        <f t="shared" si="198"/>
        <v>0</v>
      </c>
      <c r="FH74" s="203"/>
      <c r="FI74" s="205"/>
      <c r="FJ74" s="205"/>
      <c r="FK74" s="205"/>
      <c r="FL74" s="204">
        <v>100.5</v>
      </c>
      <c r="FM74" s="208">
        <f t="shared" si="199"/>
        <v>100.5</v>
      </c>
      <c r="FN74" s="203">
        <f>158.864+44.944</f>
        <v>203.80799999999999</v>
      </c>
      <c r="FO74" s="205"/>
      <c r="FP74" s="205"/>
      <c r="FQ74" s="205"/>
      <c r="FR74" s="208">
        <f t="shared" si="165"/>
        <v>203.80799999999999</v>
      </c>
      <c r="FS74" s="203"/>
      <c r="FT74" s="205"/>
      <c r="FU74" s="205"/>
      <c r="FV74" s="205"/>
      <c r="FW74" s="204"/>
      <c r="FX74" s="208">
        <f t="shared" si="166"/>
        <v>0</v>
      </c>
      <c r="FY74" s="203"/>
      <c r="FZ74" s="205"/>
      <c r="GA74" s="205"/>
      <c r="GB74" s="205"/>
      <c r="GC74" s="204"/>
      <c r="GD74" s="208">
        <f t="shared" si="167"/>
        <v>0</v>
      </c>
      <c r="GE74" s="208">
        <f t="shared" si="168"/>
        <v>304.30799999999999</v>
      </c>
      <c r="GF74" s="203"/>
      <c r="GG74" s="205">
        <v>111.9</v>
      </c>
      <c r="GH74" s="205"/>
      <c r="GI74" s="205"/>
      <c r="GJ74" s="205"/>
      <c r="GK74" s="208">
        <f t="shared" si="169"/>
        <v>111.9</v>
      </c>
      <c r="GL74" s="203">
        <v>88</v>
      </c>
      <c r="GM74" s="205">
        <v>437.1</v>
      </c>
      <c r="GN74" s="205"/>
      <c r="GO74" s="204"/>
      <c r="GP74" s="208">
        <f t="shared" si="170"/>
        <v>525.1</v>
      </c>
      <c r="GQ74" s="203"/>
      <c r="GR74" s="205"/>
      <c r="GS74" s="205"/>
      <c r="GT74" s="205"/>
      <c r="GU74" s="204">
        <v>437.1</v>
      </c>
      <c r="GV74" s="208">
        <f t="shared" si="200"/>
        <v>437.1</v>
      </c>
      <c r="GW74" s="203"/>
      <c r="GX74" s="205"/>
      <c r="GY74" s="205"/>
      <c r="GZ74" s="205">
        <v>907</v>
      </c>
      <c r="HA74" s="205">
        <v>30</v>
      </c>
      <c r="HB74" s="204"/>
      <c r="HC74" s="208">
        <f t="shared" si="201"/>
        <v>937</v>
      </c>
      <c r="HD74" s="208">
        <f t="shared" si="202"/>
        <v>2011.1</v>
      </c>
      <c r="HE74" s="203"/>
      <c r="HF74" s="205">
        <v>84.5</v>
      </c>
      <c r="HG74" s="205">
        <v>1117</v>
      </c>
      <c r="HH74" s="205"/>
      <c r="HI74" s="208">
        <f t="shared" si="203"/>
        <v>1201.5</v>
      </c>
      <c r="HJ74" s="203"/>
      <c r="HK74" s="205"/>
      <c r="HL74" s="205"/>
      <c r="HM74" s="205"/>
      <c r="HN74" s="204"/>
      <c r="HO74" s="245">
        <f t="shared" si="204"/>
        <v>0</v>
      </c>
      <c r="HP74" s="203"/>
      <c r="HQ74" s="205"/>
      <c r="HR74" s="205"/>
      <c r="HS74" s="205"/>
      <c r="HT74" s="204">
        <v>30</v>
      </c>
      <c r="HU74" s="208">
        <f t="shared" si="205"/>
        <v>30</v>
      </c>
      <c r="HV74" s="203"/>
      <c r="HW74" s="205"/>
      <c r="HX74" s="205"/>
      <c r="HY74" s="208">
        <f t="shared" si="171"/>
        <v>0</v>
      </c>
      <c r="HZ74" s="203"/>
      <c r="IA74" s="205"/>
      <c r="IB74" s="204"/>
      <c r="IC74" s="208">
        <f t="shared" si="206"/>
        <v>0</v>
      </c>
      <c r="ID74" s="208">
        <f t="shared" si="172"/>
        <v>1231.5</v>
      </c>
      <c r="IE74" s="203"/>
      <c r="IF74" s="204"/>
      <c r="IG74" s="208">
        <f t="shared" si="207"/>
        <v>0</v>
      </c>
      <c r="IH74" s="203"/>
      <c r="II74" s="205"/>
      <c r="IJ74" s="205"/>
      <c r="IK74" s="205"/>
      <c r="IL74" s="204">
        <f>437.1+84.5</f>
        <v>521.6</v>
      </c>
      <c r="IM74" s="208">
        <f t="shared" si="208"/>
        <v>521.6</v>
      </c>
      <c r="IN74" s="203"/>
      <c r="IO74" s="205">
        <f>1086.9+30</f>
        <v>1116.9000000000001</v>
      </c>
      <c r="IP74" s="204"/>
      <c r="IQ74" s="208">
        <f t="shared" si="209"/>
        <v>1116.9000000000001</v>
      </c>
      <c r="IR74" s="203"/>
      <c r="IS74" s="205"/>
      <c r="IT74" s="205"/>
      <c r="IU74" s="205"/>
      <c r="IV74" s="204"/>
      <c r="IW74" s="208">
        <f t="shared" si="210"/>
        <v>0</v>
      </c>
      <c r="IX74" s="203"/>
      <c r="IY74" s="205"/>
      <c r="IZ74" s="205"/>
      <c r="JA74" s="205"/>
      <c r="JB74" s="204"/>
      <c r="JC74" s="208">
        <f t="shared" si="211"/>
        <v>0</v>
      </c>
      <c r="JD74" s="208">
        <f t="shared" si="212"/>
        <v>1638.5</v>
      </c>
      <c r="JE74" s="203"/>
      <c r="JF74" s="205">
        <f>30+84.5</f>
        <v>114.5</v>
      </c>
      <c r="JG74" s="205"/>
      <c r="JH74" s="205"/>
      <c r="JI74" s="204"/>
      <c r="JJ74" s="208">
        <f t="shared" si="213"/>
        <v>114.5</v>
      </c>
      <c r="JK74" s="203"/>
      <c r="JL74" s="205"/>
      <c r="JM74" s="205"/>
      <c r="JN74" s="205"/>
      <c r="JO74" s="204"/>
      <c r="JP74" s="208">
        <f t="shared" si="214"/>
        <v>0</v>
      </c>
      <c r="JQ74" s="203"/>
      <c r="JR74" s="205"/>
      <c r="JS74" s="205"/>
      <c r="JT74" s="205"/>
      <c r="JU74" s="204"/>
      <c r="JV74" s="208">
        <f t="shared" si="215"/>
        <v>0</v>
      </c>
      <c r="JW74" s="203"/>
      <c r="JX74" s="205"/>
      <c r="JY74" s="205"/>
      <c r="JZ74" s="205"/>
      <c r="KA74" s="205"/>
      <c r="KB74" s="204"/>
      <c r="KC74" s="208">
        <f t="shared" si="216"/>
        <v>0</v>
      </c>
      <c r="KD74" s="208">
        <f t="shared" si="217"/>
        <v>114.5</v>
      </c>
      <c r="KE74" s="203"/>
      <c r="KF74" s="205"/>
      <c r="KG74" s="205"/>
      <c r="KH74" s="205"/>
      <c r="KI74" s="204"/>
      <c r="KJ74" s="208">
        <f t="shared" si="218"/>
        <v>0</v>
      </c>
      <c r="KK74" s="203"/>
      <c r="KL74" s="205"/>
      <c r="KM74" s="205"/>
      <c r="KN74" s="205"/>
      <c r="KO74" s="204"/>
      <c r="KP74" s="208">
        <f t="shared" si="219"/>
        <v>0</v>
      </c>
      <c r="KQ74" s="203"/>
      <c r="KR74" s="205"/>
      <c r="KS74" s="205"/>
      <c r="KT74" s="205"/>
      <c r="KU74" s="204"/>
      <c r="KV74" s="208">
        <f t="shared" si="220"/>
        <v>0</v>
      </c>
      <c r="KW74" s="203"/>
      <c r="KX74" s="205"/>
      <c r="KY74" s="205"/>
      <c r="KZ74" s="205"/>
      <c r="LA74" s="204"/>
      <c r="LB74" s="208">
        <f t="shared" si="221"/>
        <v>0</v>
      </c>
      <c r="LC74" s="202"/>
      <c r="LD74" s="244"/>
      <c r="LE74" s="245"/>
      <c r="LF74" s="208">
        <f t="shared" si="222"/>
        <v>0</v>
      </c>
      <c r="LG74" s="208">
        <f t="shared" si="223"/>
        <v>0</v>
      </c>
    </row>
    <row r="75" spans="2:319" s="91" customFormat="1">
      <c r="B75" s="167" t="s">
        <v>88</v>
      </c>
      <c r="C75" s="167"/>
      <c r="D75" s="202">
        <f t="shared" si="163"/>
        <v>0</v>
      </c>
      <c r="E75" s="167"/>
      <c r="F75" s="177"/>
      <c r="G75" s="177">
        <v>684.9</v>
      </c>
      <c r="H75" s="177"/>
      <c r="I75" s="178"/>
      <c r="J75" s="202">
        <f t="shared" si="224"/>
        <v>684.9</v>
      </c>
      <c r="K75" s="167">
        <v>49252.75</v>
      </c>
      <c r="L75" s="177"/>
      <c r="M75" s="177"/>
      <c r="N75" s="178">
        <f>2855.518+975.658</f>
        <v>3831.1759999999999</v>
      </c>
      <c r="O75" s="202">
        <f t="shared" si="230"/>
        <v>53083.925999999999</v>
      </c>
      <c r="P75" s="167"/>
      <c r="Q75" s="177">
        <f>289.433+8121.75+49252.75+336.268</f>
        <v>58000.201000000001</v>
      </c>
      <c r="R75" s="177">
        <v>548.74300000000005</v>
      </c>
      <c r="S75" s="177"/>
      <c r="T75" s="178">
        <v>798.47500000000002</v>
      </c>
      <c r="U75" s="202">
        <f t="shared" si="173"/>
        <v>59347.419000000002</v>
      </c>
      <c r="V75" s="167">
        <f>100000+4609.243+1077.385</f>
        <v>105686.628</v>
      </c>
      <c r="W75" s="177">
        <v>616.46</v>
      </c>
      <c r="X75" s="177">
        <f>2320.493+4389.861+7457.36+2583.323+1904.661+2513.668+2512.148+3349.394+2503.676+2081.603+3349.394+6698.394+3859.644+2428.426</f>
        <v>47952.044999999998</v>
      </c>
      <c r="Y75" s="177"/>
      <c r="Z75" s="177"/>
      <c r="AA75" s="208">
        <f t="shared" si="174"/>
        <v>154255.133</v>
      </c>
      <c r="AB75" s="208">
        <f t="shared" si="226"/>
        <v>267371.37800000003</v>
      </c>
      <c r="AC75" s="203"/>
      <c r="AD75" s="205">
        <v>305</v>
      </c>
      <c r="AE75" s="205">
        <f>10047.393+3128.763+2028.407+2459.458+6698.393+7072.694+6698.393+3454.451</f>
        <v>41587.951999999997</v>
      </c>
      <c r="AF75" s="205"/>
      <c r="AG75" s="204"/>
      <c r="AH75" s="208">
        <f t="shared" si="227"/>
        <v>41892.951999999997</v>
      </c>
      <c r="AI75" s="203">
        <v>62.45</v>
      </c>
      <c r="AJ75" s="205">
        <f>34477.75+802.61</f>
        <v>35280.36</v>
      </c>
      <c r="AK75" s="205">
        <f>1854.7+1252.627</f>
        <v>3107.3270000000002</v>
      </c>
      <c r="AL75" s="205">
        <v>1351.76</v>
      </c>
      <c r="AM75" s="204"/>
      <c r="AN75" s="208">
        <f t="shared" si="175"/>
        <v>39801.896999999997</v>
      </c>
      <c r="AO75" s="203">
        <v>9850</v>
      </c>
      <c r="AP75" s="205">
        <f>121.15+155.61+296+914.999+2305+100+900</f>
        <v>4792.759</v>
      </c>
      <c r="AQ75" s="205"/>
      <c r="AR75" s="205">
        <v>630.45899999999995</v>
      </c>
      <c r="AS75" s="204">
        <v>39402.75</v>
      </c>
      <c r="AT75" s="208">
        <f t="shared" si="176"/>
        <v>54675.968000000001</v>
      </c>
      <c r="AU75" s="203">
        <f>176.715+99.62+798.475+9003.975</f>
        <v>10078.785</v>
      </c>
      <c r="AV75" s="205">
        <v>238.80199999999999</v>
      </c>
      <c r="AW75" s="205">
        <v>83.215000000000003</v>
      </c>
      <c r="AX75" s="205">
        <f>1064.475+578.8+382+968.535</f>
        <v>2993.81</v>
      </c>
      <c r="AY75" s="204">
        <f>468.96+1842.388</f>
        <v>2311.348</v>
      </c>
      <c r="AZ75" s="208">
        <f t="shared" si="177"/>
        <v>15705.96</v>
      </c>
      <c r="BA75" s="208">
        <f t="shared" si="178"/>
        <v>152076.777</v>
      </c>
      <c r="BB75" s="203">
        <f>1149.078+899.359+305</f>
        <v>2353.4369999999999</v>
      </c>
      <c r="BC75" s="205">
        <f>573.036+1105.9+740.6+848.743</f>
        <v>3268.279</v>
      </c>
      <c r="BD75" s="205"/>
      <c r="BE75" s="205">
        <f>58.923+840.37</f>
        <v>899.29300000000001</v>
      </c>
      <c r="BF75" s="204">
        <v>200</v>
      </c>
      <c r="BG75" s="208">
        <f t="shared" si="179"/>
        <v>6721.009</v>
      </c>
      <c r="BH75" s="203">
        <v>4964.893</v>
      </c>
      <c r="BI75" s="205">
        <f>2634.456+34477.75</f>
        <v>37112.205999999998</v>
      </c>
      <c r="BJ75" s="205">
        <f>243.862+1357.774+206</f>
        <v>1807.636</v>
      </c>
      <c r="BK75" s="205">
        <f>255.675+988.753+234.64+185</f>
        <v>1664.0680000000002</v>
      </c>
      <c r="BL75" s="204">
        <f>1655.293+2130.996+2055.695+2340.766+2552.194+2379.116+6698.393+2455.037+2892.319+2393.387+4679.442+681.573</f>
        <v>32914.210999999996</v>
      </c>
      <c r="BM75" s="208">
        <f t="shared" si="164"/>
        <v>78463.013999999996</v>
      </c>
      <c r="BN75" s="203">
        <v>1206.3789999999999</v>
      </c>
      <c r="BO75" s="205"/>
      <c r="BP75" s="205">
        <f>1071.793+395</f>
        <v>1466.7929999999999</v>
      </c>
      <c r="BQ75" s="204">
        <v>7432.9960000000001</v>
      </c>
      <c r="BR75" s="208">
        <f t="shared" si="180"/>
        <v>10106.168</v>
      </c>
      <c r="BS75" s="203">
        <f>3553.522+39402.75</f>
        <v>42956.271999999997</v>
      </c>
      <c r="BT75" s="205">
        <v>798.47500000000002</v>
      </c>
      <c r="BU75" s="205">
        <f>500+400</f>
        <v>900</v>
      </c>
      <c r="BV75" s="205">
        <f>2128.475+1067.208+5516.493</f>
        <v>8712.1759999999995</v>
      </c>
      <c r="BW75" s="204">
        <f>2166.95+1986.847+3854.586+2427.4+909.619</f>
        <v>11345.402</v>
      </c>
      <c r="BX75" s="208">
        <f t="shared" si="181"/>
        <v>64712.324999999997</v>
      </c>
      <c r="BY75" s="203">
        <v>265.67500000000001</v>
      </c>
      <c r="BZ75" s="205"/>
      <c r="CA75" s="208">
        <f t="shared" si="182"/>
        <v>265.67500000000001</v>
      </c>
      <c r="CB75" s="208">
        <f t="shared" si="183"/>
        <v>160268.19099999999</v>
      </c>
      <c r="CC75" s="203">
        <f>1670.2+2826.1+5039.6</f>
        <v>9535.9000000000015</v>
      </c>
      <c r="CD75" s="205">
        <v>305</v>
      </c>
      <c r="CE75" s="205">
        <v>558.1</v>
      </c>
      <c r="CF75" s="208">
        <f t="shared" si="228"/>
        <v>10399.000000000002</v>
      </c>
      <c r="CG75" s="203">
        <v>214.47</v>
      </c>
      <c r="CH75" s="205">
        <f>3372.341+1735.846+2197.251+3349.394</f>
        <v>10654.832</v>
      </c>
      <c r="CI75" s="205">
        <f>1064.475+943.539</f>
        <v>2008.0139999999999</v>
      </c>
      <c r="CJ75" s="204">
        <f>303.013+1510.99+507.9+186.82+1373.225</f>
        <v>3881.9479999999999</v>
      </c>
      <c r="CK75" s="208">
        <f t="shared" si="184"/>
        <v>16759.263999999999</v>
      </c>
      <c r="CL75" s="203">
        <v>265.17599999999999</v>
      </c>
      <c r="CM75" s="205">
        <f>685.76+254.689+409.699</f>
        <v>1350.1479999999999</v>
      </c>
      <c r="CN75" s="205">
        <v>9850</v>
      </c>
      <c r="CO75" s="205"/>
      <c r="CP75" s="204">
        <v>338.03899999999999</v>
      </c>
      <c r="CQ75" s="208">
        <f t="shared" si="185"/>
        <v>11803.363000000001</v>
      </c>
      <c r="CR75" s="203">
        <f>2824.006+1991.862+73877.75</f>
        <v>78693.618000000002</v>
      </c>
      <c r="CS75" s="205">
        <v>251.34</v>
      </c>
      <c r="CT75" s="205">
        <v>2546.0189999999998</v>
      </c>
      <c r="CU75" s="205"/>
      <c r="CV75" s="204">
        <v>798.47500000000002</v>
      </c>
      <c r="CW75" s="208">
        <f t="shared" si="186"/>
        <v>82289.452000000005</v>
      </c>
      <c r="CX75" s="203"/>
      <c r="CY75" s="205">
        <v>1281.3</v>
      </c>
      <c r="CZ75" s="205"/>
      <c r="DA75" s="204">
        <v>977.93</v>
      </c>
      <c r="DB75" s="208">
        <f t="shared" si="187"/>
        <v>2259.23</v>
      </c>
      <c r="DC75" s="208">
        <f t="shared" si="229"/>
        <v>123510.30899999999</v>
      </c>
      <c r="DD75" s="203">
        <f>179.27</f>
        <v>179.27</v>
      </c>
      <c r="DE75" s="205">
        <f>535.27+205.756+449.619+679.012+382.35+485.1+379+305</f>
        <v>3421.107</v>
      </c>
      <c r="DF75" s="205">
        <f>536.587+604.5</f>
        <v>1141.087</v>
      </c>
      <c r="DG75" s="205">
        <v>203.73500000000001</v>
      </c>
      <c r="DH75" s="205">
        <f>84.5+359.29</f>
        <v>443.79</v>
      </c>
      <c r="DI75" s="208">
        <f t="shared" si="188"/>
        <v>5388.9889999999996</v>
      </c>
      <c r="DJ75" s="203">
        <f>148+2858.184+1511.459</f>
        <v>4517.643</v>
      </c>
      <c r="DK75" s="205">
        <f>499.074</f>
        <v>499.07400000000001</v>
      </c>
      <c r="DL75" s="205"/>
      <c r="DM75" s="205"/>
      <c r="DN75" s="204">
        <f>360.9+847.44+121.45+3444.126+714.905</f>
        <v>5488.8209999999999</v>
      </c>
      <c r="DO75" s="208">
        <f t="shared" si="189"/>
        <v>10505.538</v>
      </c>
      <c r="DP75" s="203"/>
      <c r="DQ75" s="205">
        <f>4689.093+140.697</f>
        <v>4829.79</v>
      </c>
      <c r="DR75" s="205">
        <f>924.417+362.5+702.793</f>
        <v>1989.71</v>
      </c>
      <c r="DS75" s="205">
        <f>131.034+49252.75</f>
        <v>49383.784</v>
      </c>
      <c r="DT75" s="204">
        <v>830.95</v>
      </c>
      <c r="DU75" s="245">
        <f t="shared" si="190"/>
        <v>57034.233999999997</v>
      </c>
      <c r="DV75" s="203">
        <f>590.5+333.279</f>
        <v>923.779</v>
      </c>
      <c r="DW75" s="205">
        <v>219.62799999999999</v>
      </c>
      <c r="DX75" s="205">
        <f>153.31+293.781</f>
        <v>447.09100000000001</v>
      </c>
      <c r="DY75" s="205">
        <v>190.39400000000001</v>
      </c>
      <c r="DZ75" s="204"/>
      <c r="EA75" s="208">
        <f t="shared" si="191"/>
        <v>1780.8920000000001</v>
      </c>
      <c r="EB75" s="208">
        <f t="shared" si="192"/>
        <v>74709.652999999991</v>
      </c>
      <c r="EC75" s="203">
        <v>290.5</v>
      </c>
      <c r="ED75" s="205">
        <f>756.797+544.97</f>
        <v>1301.7670000000001</v>
      </c>
      <c r="EE75" s="205"/>
      <c r="EF75" s="205">
        <f>269.805+305+709.361</f>
        <v>1284.1660000000002</v>
      </c>
      <c r="EG75" s="204">
        <f>781.6+2071.594+876.8</f>
        <v>3729.9939999999997</v>
      </c>
      <c r="EH75" s="208">
        <f t="shared" si="193"/>
        <v>6606.4269999999997</v>
      </c>
      <c r="EI75" s="203"/>
      <c r="EJ75" s="205"/>
      <c r="EK75" s="205"/>
      <c r="EL75" s="205"/>
      <c r="EM75" s="204"/>
      <c r="EN75" s="208">
        <f t="shared" si="194"/>
        <v>0</v>
      </c>
      <c r="EO75" s="203">
        <f>318.5+4419.229</f>
        <v>4737.7290000000003</v>
      </c>
      <c r="EP75" s="205"/>
      <c r="EQ75" s="205">
        <f>450+437.1</f>
        <v>887.1</v>
      </c>
      <c r="ER75" s="205"/>
      <c r="ES75" s="204">
        <v>106.7</v>
      </c>
      <c r="ET75" s="308">
        <f t="shared" si="195"/>
        <v>5731.5290000000005</v>
      </c>
      <c r="EU75" s="203">
        <v>49252.75</v>
      </c>
      <c r="EV75" s="205">
        <v>7675.0569999999998</v>
      </c>
      <c r="EW75" s="205"/>
      <c r="EX75" s="205">
        <f>1775.063+290.5</f>
        <v>2065.5630000000001</v>
      </c>
      <c r="EY75" s="205"/>
      <c r="EZ75" s="205">
        <v>638.49</v>
      </c>
      <c r="FA75" s="204">
        <f>956.69+3131.7</f>
        <v>4088.39</v>
      </c>
      <c r="FB75" s="208">
        <f t="shared" si="196"/>
        <v>63720.25</v>
      </c>
      <c r="FC75" s="208">
        <f t="shared" si="197"/>
        <v>76058.205999999991</v>
      </c>
      <c r="FD75" s="203">
        <f>286.532+1353.261</f>
        <v>1639.7929999999999</v>
      </c>
      <c r="FE75" s="205">
        <f>476.276+371.304+797.633</f>
        <v>1645.213</v>
      </c>
      <c r="FF75" s="204">
        <f>17015.875+192.691+71.3</f>
        <v>17279.865999999998</v>
      </c>
      <c r="FG75" s="208">
        <f t="shared" si="198"/>
        <v>20564.871999999999</v>
      </c>
      <c r="FH75" s="203">
        <v>114.532</v>
      </c>
      <c r="FI75" s="205">
        <f>165.7+1228.265</f>
        <v>1393.9650000000001</v>
      </c>
      <c r="FJ75" s="205">
        <f>355+704.782+354.5</f>
        <v>1414.2820000000002</v>
      </c>
      <c r="FK75" s="205">
        <f>173.9+198.74</f>
        <v>372.64</v>
      </c>
      <c r="FL75" s="204">
        <f>244.85+360+7338.501</f>
        <v>7943.3510000000006</v>
      </c>
      <c r="FM75" s="208">
        <f t="shared" si="199"/>
        <v>11238.77</v>
      </c>
      <c r="FN75" s="203">
        <f>10478.076+330.9+673.6</f>
        <v>11482.575999999999</v>
      </c>
      <c r="FO75" s="205">
        <f>348.047+500</f>
        <v>848.04700000000003</v>
      </c>
      <c r="FP75" s="205">
        <f>297.608+214.47</f>
        <v>512.07799999999997</v>
      </c>
      <c r="FQ75" s="205">
        <v>546.80899999999997</v>
      </c>
      <c r="FR75" s="208">
        <f t="shared" si="165"/>
        <v>13389.509999999998</v>
      </c>
      <c r="FS75" s="203">
        <v>49252.75</v>
      </c>
      <c r="FT75" s="205">
        <v>2276.3319999999999</v>
      </c>
      <c r="FU75" s="205">
        <v>3853.2710000000002</v>
      </c>
      <c r="FV75" s="205">
        <v>15267.5</v>
      </c>
      <c r="FW75" s="204"/>
      <c r="FX75" s="208">
        <f t="shared" si="166"/>
        <v>70649.853000000003</v>
      </c>
      <c r="FY75" s="203"/>
      <c r="FZ75" s="205">
        <f>148+275.66</f>
        <v>423.66</v>
      </c>
      <c r="GA75" s="205"/>
      <c r="GB75" s="205">
        <f>800.97+2128.5+2129.872</f>
        <v>5059.3420000000006</v>
      </c>
      <c r="GC75" s="204">
        <v>1587.0319999999999</v>
      </c>
      <c r="GD75" s="208">
        <f t="shared" si="167"/>
        <v>7070.0340000000006</v>
      </c>
      <c r="GE75" s="208">
        <f t="shared" si="168"/>
        <v>122913.039</v>
      </c>
      <c r="GF75" s="203"/>
      <c r="GG75" s="205">
        <v>179.6</v>
      </c>
      <c r="GH75" s="205">
        <v>84.5</v>
      </c>
      <c r="GI75" s="205">
        <f>2462.5+97155.318</f>
        <v>99617.817999999999</v>
      </c>
      <c r="GJ75" s="205">
        <f>2699.342+1781.829+8020.363</f>
        <v>12501.534</v>
      </c>
      <c r="GK75" s="208">
        <f t="shared" si="169"/>
        <v>112383.452</v>
      </c>
      <c r="GL75" s="203"/>
      <c r="GM75" s="205">
        <v>369.5</v>
      </c>
      <c r="GN75" s="205"/>
      <c r="GO75" s="204"/>
      <c r="GP75" s="208">
        <f t="shared" si="170"/>
        <v>369.5</v>
      </c>
      <c r="GQ75" s="203">
        <f>3091.902+1095.263+49252.75+308.524</f>
        <v>53748.438999999998</v>
      </c>
      <c r="GR75" s="205">
        <f>350+106.7+1078.526</f>
        <v>1535.2260000000001</v>
      </c>
      <c r="GS75" s="205">
        <v>620</v>
      </c>
      <c r="GT75" s="205">
        <f>6900+4042.759</f>
        <v>10942.759</v>
      </c>
      <c r="GU75" s="204"/>
      <c r="GV75" s="208">
        <f t="shared" si="200"/>
        <v>66846.423999999999</v>
      </c>
      <c r="GW75" s="203">
        <v>1627.71</v>
      </c>
      <c r="GX75" s="205"/>
      <c r="GY75" s="205">
        <f>5668.851+3500+1571.86</f>
        <v>10740.710999999999</v>
      </c>
      <c r="GZ75" s="205">
        <f>6619.7+148</f>
        <v>6767.7</v>
      </c>
      <c r="HA75" s="205">
        <f>10089.257+429.548</f>
        <v>10518.805</v>
      </c>
      <c r="HB75" s="204">
        <f>5381.783+298.153+2268.195</f>
        <v>7948.1310000000012</v>
      </c>
      <c r="HC75" s="208">
        <f t="shared" si="201"/>
        <v>37603.057000000001</v>
      </c>
      <c r="HD75" s="208">
        <f t="shared" si="202"/>
        <v>217202.43299999999</v>
      </c>
      <c r="HE75" s="203">
        <f>244.2+4256.5</f>
        <v>4500.7</v>
      </c>
      <c r="HF75" s="205">
        <v>4925</v>
      </c>
      <c r="HG75" s="205"/>
      <c r="HH75" s="205">
        <f>450.552+700</f>
        <v>1150.5520000000001</v>
      </c>
      <c r="HI75" s="208">
        <f t="shared" si="203"/>
        <v>10576.252</v>
      </c>
      <c r="HJ75" s="203">
        <f>161.693+178.75+4925+1889.396</f>
        <v>7154.8389999999999</v>
      </c>
      <c r="HK75" s="205">
        <f>400+384.021</f>
        <v>784.02099999999996</v>
      </c>
      <c r="HL75" s="205"/>
      <c r="HM75" s="205"/>
      <c r="HN75" s="204">
        <f>4925+4925+4235.5+4925+2220</f>
        <v>21230.5</v>
      </c>
      <c r="HO75" s="245">
        <f t="shared" si="204"/>
        <v>29169.360000000001</v>
      </c>
      <c r="HP75" s="203">
        <v>590.5</v>
      </c>
      <c r="HQ75" s="205">
        <f>73877.75+583.6+1144.1+435+1551.543</f>
        <v>77591.993000000017</v>
      </c>
      <c r="HR75" s="205"/>
      <c r="HS75" s="205">
        <v>12702.606</v>
      </c>
      <c r="HT75" s="204">
        <f>142.373+44.64+730.13</f>
        <v>917.14300000000003</v>
      </c>
      <c r="HU75" s="208">
        <f t="shared" si="205"/>
        <v>91802.242000000013</v>
      </c>
      <c r="HV75" s="203">
        <f>5000+926.745+609.032+3175.46</f>
        <v>9711.237000000001</v>
      </c>
      <c r="HW75" s="205">
        <f>235.12+188.51+964.85</f>
        <v>1388.48</v>
      </c>
      <c r="HX75" s="205">
        <f>142.7+376.748+1274.84</f>
        <v>1794.288</v>
      </c>
      <c r="HY75" s="208">
        <f t="shared" si="171"/>
        <v>12894.005000000001</v>
      </c>
      <c r="HZ75" s="203"/>
      <c r="IA75" s="205">
        <f>798.391+20500</f>
        <v>21298.391</v>
      </c>
      <c r="IB75" s="204">
        <f>633.87</f>
        <v>633.87</v>
      </c>
      <c r="IC75" s="208">
        <f t="shared" si="206"/>
        <v>21932.260999999999</v>
      </c>
      <c r="ID75" s="208">
        <f t="shared" si="172"/>
        <v>166374.12000000002</v>
      </c>
      <c r="IE75" s="203">
        <f>212.9+5929.209</f>
        <v>6142.1089999999995</v>
      </c>
      <c r="IF75" s="204">
        <f>2414.164+192.402</f>
        <v>2606.5660000000003</v>
      </c>
      <c r="IG75" s="208">
        <f t="shared" si="207"/>
        <v>8748.6749999999993</v>
      </c>
      <c r="IH75" s="203">
        <f>28.117+33.61</f>
        <v>61.727000000000004</v>
      </c>
      <c r="II75" s="205">
        <v>510</v>
      </c>
      <c r="IJ75" s="205"/>
      <c r="IK75" s="205">
        <v>183.81299999999999</v>
      </c>
      <c r="IL75" s="204"/>
      <c r="IM75" s="208">
        <f t="shared" si="208"/>
        <v>755.54</v>
      </c>
      <c r="IN75" s="203">
        <f>1804.68+600</f>
        <v>2404.6800000000003</v>
      </c>
      <c r="IO75" s="205">
        <v>231.94300000000001</v>
      </c>
      <c r="IP75" s="204">
        <f>714.7+1397.193+3600</f>
        <v>5711.893</v>
      </c>
      <c r="IQ75" s="208">
        <f t="shared" si="209"/>
        <v>8348.5159999999996</v>
      </c>
      <c r="IR75" s="203">
        <v>73877.75</v>
      </c>
      <c r="IS75" s="205">
        <f>350+215.895+89.348</f>
        <v>655.24299999999994</v>
      </c>
      <c r="IT75" s="205">
        <f>111.393+394.241</f>
        <v>505.63400000000001</v>
      </c>
      <c r="IU75" s="205">
        <v>2238</v>
      </c>
      <c r="IV75" s="204">
        <v>3029.88</v>
      </c>
      <c r="IW75" s="208">
        <f t="shared" si="210"/>
        <v>80306.507000000012</v>
      </c>
      <c r="IX75" s="203">
        <v>802.52099999999996</v>
      </c>
      <c r="IY75" s="205">
        <f>1347.287+4998.383</f>
        <v>6345.67</v>
      </c>
      <c r="IZ75" s="205">
        <v>2197.7330000000002</v>
      </c>
      <c r="JA75" s="205">
        <v>494.93200000000002</v>
      </c>
      <c r="JB75" s="204">
        <v>340</v>
      </c>
      <c r="JC75" s="208">
        <f t="shared" si="211"/>
        <v>10180.856</v>
      </c>
      <c r="JD75" s="208">
        <f t="shared" si="212"/>
        <v>108340.09400000001</v>
      </c>
      <c r="JE75" s="203"/>
      <c r="JF75" s="205">
        <v>426.78</v>
      </c>
      <c r="JG75" s="205">
        <f>2993.9+246.898</f>
        <v>3240.7980000000002</v>
      </c>
      <c r="JH75" s="205">
        <v>1466.183</v>
      </c>
      <c r="JI75" s="204"/>
      <c r="JJ75" s="208">
        <f t="shared" si="213"/>
        <v>5133.7610000000004</v>
      </c>
      <c r="JK75" s="203"/>
      <c r="JL75" s="205"/>
      <c r="JM75" s="205"/>
      <c r="JN75" s="205"/>
      <c r="JO75" s="204"/>
      <c r="JP75" s="208">
        <f t="shared" si="214"/>
        <v>0</v>
      </c>
      <c r="JQ75" s="203"/>
      <c r="JR75" s="205"/>
      <c r="JS75" s="205"/>
      <c r="JT75" s="205"/>
      <c r="JU75" s="204"/>
      <c r="JV75" s="208">
        <f t="shared" si="215"/>
        <v>0</v>
      </c>
      <c r="JW75" s="203"/>
      <c r="JX75" s="205"/>
      <c r="JY75" s="205"/>
      <c r="JZ75" s="205"/>
      <c r="KA75" s="205"/>
      <c r="KB75" s="204"/>
      <c r="KC75" s="208">
        <f t="shared" si="216"/>
        <v>0</v>
      </c>
      <c r="KD75" s="208">
        <v>350000</v>
      </c>
      <c r="KE75" s="203"/>
      <c r="KF75" s="205"/>
      <c r="KG75" s="205"/>
      <c r="KH75" s="205"/>
      <c r="KI75" s="204"/>
      <c r="KJ75" s="208">
        <f t="shared" si="218"/>
        <v>0</v>
      </c>
      <c r="KK75" s="203"/>
      <c r="KL75" s="205"/>
      <c r="KM75" s="205"/>
      <c r="KN75" s="205"/>
      <c r="KO75" s="204"/>
      <c r="KP75" s="208">
        <f t="shared" si="219"/>
        <v>0</v>
      </c>
      <c r="KQ75" s="203"/>
      <c r="KR75" s="205"/>
      <c r="KS75" s="205"/>
      <c r="KT75" s="205"/>
      <c r="KU75" s="204"/>
      <c r="KV75" s="208">
        <f t="shared" si="220"/>
        <v>0</v>
      </c>
      <c r="KW75" s="203"/>
      <c r="KX75" s="205"/>
      <c r="KY75" s="205"/>
      <c r="KZ75" s="205"/>
      <c r="LA75" s="204"/>
      <c r="LB75" s="208">
        <f t="shared" si="221"/>
        <v>0</v>
      </c>
      <c r="LC75" s="202"/>
      <c r="LD75" s="244"/>
      <c r="LE75" s="245"/>
      <c r="LF75" s="208">
        <f t="shared" si="222"/>
        <v>0</v>
      </c>
      <c r="LG75" s="208">
        <v>350000</v>
      </c>
    </row>
    <row r="76" spans="2:319" s="91" customFormat="1">
      <c r="B76" s="167" t="s">
        <v>100</v>
      </c>
      <c r="C76" s="167"/>
      <c r="D76" s="202">
        <f t="shared" si="163"/>
        <v>0</v>
      </c>
      <c r="E76" s="167"/>
      <c r="F76" s="177"/>
      <c r="G76" s="177"/>
      <c r="H76" s="177"/>
      <c r="I76" s="178"/>
      <c r="J76" s="202">
        <f t="shared" si="224"/>
        <v>0</v>
      </c>
      <c r="K76" s="167"/>
      <c r="L76" s="177">
        <f>10845.238+71428.571</f>
        <v>82273.808999999994</v>
      </c>
      <c r="M76" s="177"/>
      <c r="N76" s="178"/>
      <c r="O76" s="202">
        <f t="shared" si="230"/>
        <v>82273.808999999994</v>
      </c>
      <c r="P76" s="167"/>
      <c r="Q76" s="177"/>
      <c r="R76" s="177"/>
      <c r="S76" s="177"/>
      <c r="T76" s="178"/>
      <c r="U76" s="202">
        <f t="shared" si="173"/>
        <v>0</v>
      </c>
      <c r="V76" s="167"/>
      <c r="W76" s="177"/>
      <c r="X76" s="177"/>
      <c r="Y76" s="177"/>
      <c r="Z76" s="177"/>
      <c r="AA76" s="208">
        <f t="shared" si="174"/>
        <v>0</v>
      </c>
      <c r="AB76" s="208">
        <f t="shared" si="226"/>
        <v>82273.808999999994</v>
      </c>
      <c r="AC76" s="203"/>
      <c r="AD76" s="205"/>
      <c r="AE76" s="205"/>
      <c r="AF76" s="205"/>
      <c r="AG76" s="204"/>
      <c r="AH76" s="208">
        <f t="shared" si="227"/>
        <v>0</v>
      </c>
      <c r="AI76" s="203"/>
      <c r="AJ76" s="205">
        <f>43696.714+172714.286</f>
        <v>216411</v>
      </c>
      <c r="AK76" s="205"/>
      <c r="AL76" s="205"/>
      <c r="AM76" s="204"/>
      <c r="AN76" s="208">
        <f t="shared" si="175"/>
        <v>216411</v>
      </c>
      <c r="AO76" s="203"/>
      <c r="AP76" s="205"/>
      <c r="AQ76" s="205">
        <f>841.855+134398.285+172.175+10936.649</f>
        <v>146348.96400000001</v>
      </c>
      <c r="AR76" s="205"/>
      <c r="AS76" s="204"/>
      <c r="AT76" s="208">
        <f t="shared" si="176"/>
        <v>146348.96400000001</v>
      </c>
      <c r="AU76" s="203"/>
      <c r="AV76" s="205"/>
      <c r="AW76" s="205"/>
      <c r="AX76" s="205"/>
      <c r="AY76" s="204"/>
      <c r="AZ76" s="208">
        <f t="shared" si="177"/>
        <v>0</v>
      </c>
      <c r="BA76" s="208">
        <f t="shared" si="178"/>
        <v>362759.96400000004</v>
      </c>
      <c r="BB76" s="203"/>
      <c r="BC76" s="205"/>
      <c r="BD76" s="205"/>
      <c r="BE76" s="205"/>
      <c r="BF76" s="204"/>
      <c r="BG76" s="208">
        <f t="shared" si="179"/>
        <v>0</v>
      </c>
      <c r="BH76" s="203">
        <f>1072.55+4290.2</f>
        <v>5362.75</v>
      </c>
      <c r="BI76" s="205"/>
      <c r="BJ76" s="205"/>
      <c r="BK76" s="205"/>
      <c r="BL76" s="204"/>
      <c r="BM76" s="208">
        <f t="shared" si="164"/>
        <v>5362.75</v>
      </c>
      <c r="BN76" s="203"/>
      <c r="BO76" s="205"/>
      <c r="BP76" s="205"/>
      <c r="BQ76" s="204"/>
      <c r="BR76" s="208">
        <f t="shared" si="180"/>
        <v>0</v>
      </c>
      <c r="BS76" s="203"/>
      <c r="BT76" s="205"/>
      <c r="BU76" s="205"/>
      <c r="BV76" s="205"/>
      <c r="BW76" s="204"/>
      <c r="BX76" s="208">
        <f t="shared" si="181"/>
        <v>0</v>
      </c>
      <c r="BY76" s="203"/>
      <c r="BZ76" s="205"/>
      <c r="CA76" s="208">
        <f t="shared" si="182"/>
        <v>0</v>
      </c>
      <c r="CB76" s="208">
        <f t="shared" si="183"/>
        <v>5362.75</v>
      </c>
      <c r="CC76" s="203">
        <v>9194.4439999999995</v>
      </c>
      <c r="CD76" s="205"/>
      <c r="CE76" s="205"/>
      <c r="CF76" s="208">
        <f t="shared" si="228"/>
        <v>9194.4439999999995</v>
      </c>
      <c r="CG76" s="203"/>
      <c r="CH76" s="205"/>
      <c r="CI76" s="205"/>
      <c r="CJ76" s="204"/>
      <c r="CK76" s="208">
        <f t="shared" si="184"/>
        <v>0</v>
      </c>
      <c r="CL76" s="203"/>
      <c r="CM76" s="205"/>
      <c r="CN76" s="205"/>
      <c r="CO76" s="205"/>
      <c r="CP76" s="204"/>
      <c r="CQ76" s="208">
        <f t="shared" si="185"/>
        <v>0</v>
      </c>
      <c r="CR76" s="203"/>
      <c r="CS76" s="205"/>
      <c r="CT76" s="205"/>
      <c r="CU76" s="205"/>
      <c r="CV76" s="204"/>
      <c r="CW76" s="208">
        <f t="shared" si="186"/>
        <v>0</v>
      </c>
      <c r="CX76" s="203"/>
      <c r="CY76" s="205"/>
      <c r="CZ76" s="205"/>
      <c r="DA76" s="204"/>
      <c r="DB76" s="208">
        <f t="shared" si="187"/>
        <v>0</v>
      </c>
      <c r="DC76" s="208">
        <f t="shared" si="229"/>
        <v>9194.4439999999995</v>
      </c>
      <c r="DD76" s="203"/>
      <c r="DE76" s="205"/>
      <c r="DF76" s="205"/>
      <c r="DG76" s="205"/>
      <c r="DH76" s="205"/>
      <c r="DI76" s="208">
        <f t="shared" si="188"/>
        <v>0</v>
      </c>
      <c r="DJ76" s="203"/>
      <c r="DK76" s="205"/>
      <c r="DL76" s="205"/>
      <c r="DM76" s="205"/>
      <c r="DN76" s="204"/>
      <c r="DO76" s="208">
        <f t="shared" si="189"/>
        <v>0</v>
      </c>
      <c r="DP76" s="203"/>
      <c r="DQ76" s="205"/>
      <c r="DR76" s="205"/>
      <c r="DS76" s="205"/>
      <c r="DT76" s="204"/>
      <c r="DU76" s="245">
        <f t="shared" si="190"/>
        <v>0</v>
      </c>
      <c r="DV76" s="203"/>
      <c r="DW76" s="205"/>
      <c r="DX76" s="205"/>
      <c r="DY76" s="205"/>
      <c r="DZ76" s="204"/>
      <c r="EA76" s="208">
        <f t="shared" si="191"/>
        <v>0</v>
      </c>
      <c r="EB76" s="208">
        <f t="shared" si="192"/>
        <v>0</v>
      </c>
      <c r="EC76" s="203"/>
      <c r="ED76" s="205"/>
      <c r="EE76" s="205"/>
      <c r="EF76" s="205"/>
      <c r="EG76" s="204"/>
      <c r="EH76" s="208">
        <f t="shared" si="193"/>
        <v>0</v>
      </c>
      <c r="EI76" s="203"/>
      <c r="EJ76" s="205"/>
      <c r="EK76" s="205"/>
      <c r="EL76" s="205"/>
      <c r="EM76" s="204">
        <f>1082+4328+80000+20000</f>
        <v>105410</v>
      </c>
      <c r="EN76" s="208">
        <f t="shared" si="194"/>
        <v>105410</v>
      </c>
      <c r="EO76" s="203"/>
      <c r="EP76" s="205"/>
      <c r="EQ76" s="205"/>
      <c r="ER76" s="205"/>
      <c r="ES76" s="204"/>
      <c r="ET76" s="308">
        <f t="shared" si="195"/>
        <v>0</v>
      </c>
      <c r="EU76" s="203"/>
      <c r="EV76" s="205"/>
      <c r="EW76" s="205"/>
      <c r="EX76" s="205"/>
      <c r="EY76" s="205"/>
      <c r="EZ76" s="205"/>
      <c r="FA76" s="204"/>
      <c r="FB76" s="208">
        <f t="shared" si="196"/>
        <v>0</v>
      </c>
      <c r="FC76" s="208">
        <f t="shared" si="197"/>
        <v>105410</v>
      </c>
      <c r="FD76" s="203"/>
      <c r="FE76" s="205"/>
      <c r="FF76" s="204"/>
      <c r="FG76" s="208">
        <f t="shared" si="198"/>
        <v>0</v>
      </c>
      <c r="FH76" s="203"/>
      <c r="FI76" s="205"/>
      <c r="FJ76" s="205"/>
      <c r="FK76" s="205">
        <v>33245.764000000003</v>
      </c>
      <c r="FL76" s="204"/>
      <c r="FM76" s="208">
        <f t="shared" si="199"/>
        <v>33245.764000000003</v>
      </c>
      <c r="FN76" s="203"/>
      <c r="FO76" s="205"/>
      <c r="FP76" s="205"/>
      <c r="FQ76" s="205"/>
      <c r="FR76" s="208">
        <f t="shared" si="165"/>
        <v>0</v>
      </c>
      <c r="FS76" s="203"/>
      <c r="FT76" s="205"/>
      <c r="FU76" s="205"/>
      <c r="FV76" s="205">
        <f>12887.998+92.154+11884.349+436.814</f>
        <v>25301.314999999999</v>
      </c>
      <c r="FW76" s="204"/>
      <c r="FX76" s="208">
        <f t="shared" si="166"/>
        <v>25301.314999999999</v>
      </c>
      <c r="FY76" s="203">
        <v>123263.507</v>
      </c>
      <c r="FZ76" s="205"/>
      <c r="GA76" s="205">
        <f>9222.222+71428.571</f>
        <v>80650.792999999991</v>
      </c>
      <c r="GB76" s="205"/>
      <c r="GC76" s="204"/>
      <c r="GD76" s="208">
        <f t="shared" si="167"/>
        <v>203914.3</v>
      </c>
      <c r="GE76" s="208">
        <f t="shared" si="168"/>
        <v>262461.37899999996</v>
      </c>
      <c r="GF76" s="203"/>
      <c r="GG76" s="205"/>
      <c r="GH76" s="205"/>
      <c r="GI76" s="205"/>
      <c r="GJ76" s="205"/>
      <c r="GK76" s="208">
        <f t="shared" si="169"/>
        <v>0</v>
      </c>
      <c r="GL76" s="203"/>
      <c r="GM76" s="205"/>
      <c r="GN76" s="205"/>
      <c r="GO76" s="204"/>
      <c r="GP76" s="208">
        <f t="shared" si="170"/>
        <v>0</v>
      </c>
      <c r="GQ76" s="203"/>
      <c r="GR76" s="205"/>
      <c r="GS76" s="205"/>
      <c r="GT76" s="205"/>
      <c r="GU76" s="204"/>
      <c r="GV76" s="208">
        <f t="shared" si="200"/>
        <v>0</v>
      </c>
      <c r="GW76" s="203"/>
      <c r="GX76" s="205">
        <f>28571.429+4842.836</f>
        <v>33414.264999999999</v>
      </c>
      <c r="GY76" s="205"/>
      <c r="GZ76" s="205"/>
      <c r="HA76" s="205"/>
      <c r="HB76" s="204"/>
      <c r="HC76" s="208">
        <f t="shared" si="201"/>
        <v>33414.264999999999</v>
      </c>
      <c r="HD76" s="208">
        <f t="shared" si="202"/>
        <v>33414.264999999999</v>
      </c>
      <c r="HE76" s="203"/>
      <c r="HF76" s="205"/>
      <c r="HG76" s="205"/>
      <c r="HH76" s="205"/>
      <c r="HI76" s="208">
        <f t="shared" si="203"/>
        <v>0</v>
      </c>
      <c r="HJ76" s="203"/>
      <c r="HK76" s="205"/>
      <c r="HL76" s="205"/>
      <c r="HM76" s="205"/>
      <c r="HN76" s="204"/>
      <c r="HO76" s="245">
        <f t="shared" si="204"/>
        <v>0</v>
      </c>
      <c r="HP76" s="203">
        <f>172714.286+718.978+2875.911+38208.238</f>
        <v>214517.413</v>
      </c>
      <c r="HQ76" s="205"/>
      <c r="HR76" s="205"/>
      <c r="HS76" s="205"/>
      <c r="HT76" s="204"/>
      <c r="HU76" s="208">
        <f t="shared" si="205"/>
        <v>214517.413</v>
      </c>
      <c r="HV76" s="203"/>
      <c r="HW76" s="205"/>
      <c r="HX76" s="205"/>
      <c r="HY76" s="208">
        <f t="shared" si="171"/>
        <v>0</v>
      </c>
      <c r="HZ76" s="203"/>
      <c r="IA76" s="205"/>
      <c r="IB76" s="204"/>
      <c r="IC76" s="208">
        <f t="shared" si="206"/>
        <v>0</v>
      </c>
      <c r="ID76" s="208">
        <f t="shared" si="172"/>
        <v>214517.413</v>
      </c>
      <c r="IE76" s="203"/>
      <c r="IF76" s="204"/>
      <c r="IG76" s="208">
        <f t="shared" si="207"/>
        <v>0</v>
      </c>
      <c r="IH76" s="203"/>
      <c r="II76" s="205"/>
      <c r="IJ76" s="205">
        <v>7970</v>
      </c>
      <c r="IK76" s="205"/>
      <c r="IL76" s="204"/>
      <c r="IM76" s="208">
        <f t="shared" si="208"/>
        <v>7970</v>
      </c>
      <c r="IN76" s="203"/>
      <c r="IO76" s="205"/>
      <c r="IP76" s="204"/>
      <c r="IQ76" s="208">
        <f t="shared" si="209"/>
        <v>0</v>
      </c>
      <c r="IR76" s="203"/>
      <c r="IS76" s="205"/>
      <c r="IT76" s="205"/>
      <c r="IU76" s="205"/>
      <c r="IV76" s="204"/>
      <c r="IW76" s="208">
        <f t="shared" si="210"/>
        <v>0</v>
      </c>
      <c r="IX76" s="203"/>
      <c r="IY76" s="205"/>
      <c r="IZ76" s="205"/>
      <c r="JA76" s="205"/>
      <c r="JB76" s="204"/>
      <c r="JC76" s="208">
        <f t="shared" si="211"/>
        <v>0</v>
      </c>
      <c r="JD76" s="208">
        <f t="shared" si="212"/>
        <v>7970</v>
      </c>
      <c r="JE76" s="203"/>
      <c r="JF76" s="205"/>
      <c r="JG76" s="205"/>
      <c r="JH76" s="205"/>
      <c r="JI76" s="204"/>
      <c r="JJ76" s="208">
        <f t="shared" si="213"/>
        <v>0</v>
      </c>
      <c r="JK76" s="203"/>
      <c r="JL76" s="205"/>
      <c r="JM76" s="205"/>
      <c r="JN76" s="205"/>
      <c r="JO76" s="204"/>
      <c r="JP76" s="208">
        <f t="shared" si="214"/>
        <v>0</v>
      </c>
      <c r="JQ76" s="203"/>
      <c r="JR76" s="205"/>
      <c r="JS76" s="205"/>
      <c r="JT76" s="205"/>
      <c r="JU76" s="204"/>
      <c r="JV76" s="208">
        <f t="shared" si="215"/>
        <v>0</v>
      </c>
      <c r="JW76" s="203"/>
      <c r="JX76" s="205"/>
      <c r="JY76" s="205"/>
      <c r="JZ76" s="205"/>
      <c r="KA76" s="205"/>
      <c r="KB76" s="204"/>
      <c r="KC76" s="208">
        <f t="shared" si="216"/>
        <v>0</v>
      </c>
      <c r="KD76" s="208">
        <f>CMT!F46+CMT!F47+CMT!F48</f>
        <v>136317.76200000002</v>
      </c>
      <c r="KE76" s="203"/>
      <c r="KF76" s="205"/>
      <c r="KG76" s="205"/>
      <c r="KH76" s="205"/>
      <c r="KI76" s="204"/>
      <c r="KJ76" s="208">
        <f t="shared" si="218"/>
        <v>0</v>
      </c>
      <c r="KK76" s="203"/>
      <c r="KL76" s="205"/>
      <c r="KM76" s="205"/>
      <c r="KN76" s="205"/>
      <c r="KO76" s="204"/>
      <c r="KP76" s="208">
        <f t="shared" si="219"/>
        <v>0</v>
      </c>
      <c r="KQ76" s="203"/>
      <c r="KR76" s="205"/>
      <c r="KS76" s="205"/>
      <c r="KT76" s="205"/>
      <c r="KU76" s="204"/>
      <c r="KV76" s="208">
        <f t="shared" si="220"/>
        <v>0</v>
      </c>
      <c r="KW76" s="203"/>
      <c r="KX76" s="205"/>
      <c r="KY76" s="205"/>
      <c r="KZ76" s="205"/>
      <c r="LA76" s="204"/>
      <c r="LB76" s="208">
        <f t="shared" si="221"/>
        <v>0</v>
      </c>
      <c r="LC76" s="202"/>
      <c r="LD76" s="244"/>
      <c r="LE76" s="245"/>
      <c r="LF76" s="208">
        <f t="shared" si="222"/>
        <v>0</v>
      </c>
      <c r="LG76" s="208">
        <f>CMT!F50+CMT!F51</f>
        <v>91486.14</v>
      </c>
    </row>
    <row r="77" spans="2:319" s="91" customFormat="1">
      <c r="B77" s="167" t="s">
        <v>101</v>
      </c>
      <c r="C77" s="167"/>
      <c r="D77" s="202">
        <f t="shared" si="163"/>
        <v>0</v>
      </c>
      <c r="E77" s="167"/>
      <c r="F77" s="177"/>
      <c r="G77" s="177"/>
      <c r="H77" s="177"/>
      <c r="I77" s="178"/>
      <c r="J77" s="202">
        <f t="shared" si="224"/>
        <v>0</v>
      </c>
      <c r="K77" s="167"/>
      <c r="L77" s="177"/>
      <c r="M77" s="177"/>
      <c r="N77" s="178"/>
      <c r="O77" s="202">
        <f t="shared" si="230"/>
        <v>0</v>
      </c>
      <c r="P77" s="167"/>
      <c r="Q77" s="177"/>
      <c r="R77" s="177"/>
      <c r="S77" s="177"/>
      <c r="T77" s="178"/>
      <c r="U77" s="202">
        <f t="shared" si="173"/>
        <v>0</v>
      </c>
      <c r="V77" s="167"/>
      <c r="W77" s="177"/>
      <c r="X77" s="177"/>
      <c r="Y77" s="177"/>
      <c r="Z77" s="177"/>
      <c r="AA77" s="208">
        <f t="shared" si="174"/>
        <v>0</v>
      </c>
      <c r="AB77" s="208">
        <f t="shared" si="226"/>
        <v>0</v>
      </c>
      <c r="AC77" s="203"/>
      <c r="AD77" s="205"/>
      <c r="AE77" s="205"/>
      <c r="AF77" s="205"/>
      <c r="AG77" s="204"/>
      <c r="AH77" s="208">
        <f t="shared" si="227"/>
        <v>0</v>
      </c>
      <c r="AI77" s="203"/>
      <c r="AJ77" s="205"/>
      <c r="AK77" s="205"/>
      <c r="AL77" s="205"/>
      <c r="AM77" s="204"/>
      <c r="AN77" s="208">
        <f t="shared" si="175"/>
        <v>0</v>
      </c>
      <c r="AO77" s="203"/>
      <c r="AP77" s="205"/>
      <c r="AQ77" s="205"/>
      <c r="AR77" s="205"/>
      <c r="AS77" s="204"/>
      <c r="AT77" s="208">
        <f t="shared" si="176"/>
        <v>0</v>
      </c>
      <c r="AU77" s="203"/>
      <c r="AV77" s="205"/>
      <c r="AW77" s="205"/>
      <c r="AX77" s="205"/>
      <c r="AY77" s="204"/>
      <c r="AZ77" s="208">
        <f t="shared" si="177"/>
        <v>0</v>
      </c>
      <c r="BA77" s="208">
        <f t="shared" si="178"/>
        <v>0</v>
      </c>
      <c r="BB77" s="203"/>
      <c r="BC77" s="205"/>
      <c r="BD77" s="205"/>
      <c r="BE77" s="205"/>
      <c r="BF77" s="204"/>
      <c r="BG77" s="208">
        <f t="shared" si="179"/>
        <v>0</v>
      </c>
      <c r="BH77" s="203"/>
      <c r="BI77" s="205"/>
      <c r="BJ77" s="205"/>
      <c r="BK77" s="205"/>
      <c r="BL77" s="204"/>
      <c r="BM77" s="208">
        <f t="shared" si="164"/>
        <v>0</v>
      </c>
      <c r="BN77" s="203"/>
      <c r="BO77" s="205"/>
      <c r="BP77" s="205"/>
      <c r="BQ77" s="204"/>
      <c r="BR77" s="208">
        <f t="shared" si="180"/>
        <v>0</v>
      </c>
      <c r="BS77" s="203"/>
      <c r="BT77" s="205"/>
      <c r="BU77" s="205"/>
      <c r="BV77" s="205"/>
      <c r="BW77" s="204"/>
      <c r="BX77" s="208">
        <f t="shared" si="181"/>
        <v>0</v>
      </c>
      <c r="BY77" s="203"/>
      <c r="BZ77" s="205"/>
      <c r="CA77" s="208">
        <f t="shared" si="182"/>
        <v>0</v>
      </c>
      <c r="CB77" s="208">
        <f t="shared" si="183"/>
        <v>0</v>
      </c>
      <c r="CC77" s="203"/>
      <c r="CD77" s="205"/>
      <c r="CE77" s="205"/>
      <c r="CF77" s="208">
        <f t="shared" si="228"/>
        <v>0</v>
      </c>
      <c r="CG77" s="203"/>
      <c r="CH77" s="205"/>
      <c r="CI77" s="205"/>
      <c r="CJ77" s="204"/>
      <c r="CK77" s="208">
        <f t="shared" si="184"/>
        <v>0</v>
      </c>
      <c r="CL77" s="203"/>
      <c r="CM77" s="205"/>
      <c r="CN77" s="205"/>
      <c r="CO77" s="205"/>
      <c r="CP77" s="204"/>
      <c r="CQ77" s="208">
        <f t="shared" si="185"/>
        <v>0</v>
      </c>
      <c r="CR77" s="203"/>
      <c r="CS77" s="205"/>
      <c r="CT77" s="205"/>
      <c r="CU77" s="205"/>
      <c r="CV77" s="204"/>
      <c r="CW77" s="208">
        <f t="shared" si="186"/>
        <v>0</v>
      </c>
      <c r="CX77" s="203"/>
      <c r="CY77" s="205"/>
      <c r="CZ77" s="205"/>
      <c r="DA77" s="204"/>
      <c r="DB77" s="208">
        <f t="shared" si="187"/>
        <v>0</v>
      </c>
      <c r="DC77" s="208">
        <f t="shared" si="229"/>
        <v>0</v>
      </c>
      <c r="DD77" s="203"/>
      <c r="DE77" s="205"/>
      <c r="DF77" s="205"/>
      <c r="DG77" s="205"/>
      <c r="DH77" s="205"/>
      <c r="DI77" s="208">
        <f t="shared" si="188"/>
        <v>0</v>
      </c>
      <c r="DJ77" s="203"/>
      <c r="DK77" s="205"/>
      <c r="DL77" s="205"/>
      <c r="DM77" s="205"/>
      <c r="DN77" s="204"/>
      <c r="DO77" s="208">
        <f t="shared" si="189"/>
        <v>0</v>
      </c>
      <c r="DP77" s="203"/>
      <c r="DQ77" s="205"/>
      <c r="DR77" s="205"/>
      <c r="DS77" s="205"/>
      <c r="DT77" s="204"/>
      <c r="DU77" s="245">
        <f t="shared" si="190"/>
        <v>0</v>
      </c>
      <c r="DV77" s="203"/>
      <c r="DW77" s="205"/>
      <c r="DX77" s="205"/>
      <c r="DY77" s="205"/>
      <c r="DZ77" s="204"/>
      <c r="EA77" s="208">
        <f t="shared" si="191"/>
        <v>0</v>
      </c>
      <c r="EB77" s="208">
        <f t="shared" si="192"/>
        <v>0</v>
      </c>
      <c r="EC77" s="203"/>
      <c r="ED77" s="205"/>
      <c r="EE77" s="205"/>
      <c r="EF77" s="205"/>
      <c r="EG77" s="204"/>
      <c r="EH77" s="208">
        <f t="shared" si="193"/>
        <v>0</v>
      </c>
      <c r="EI77" s="203"/>
      <c r="EJ77" s="205"/>
      <c r="EK77" s="205"/>
      <c r="EL77" s="205"/>
      <c r="EM77" s="204"/>
      <c r="EN77" s="208">
        <f t="shared" si="194"/>
        <v>0</v>
      </c>
      <c r="EO77" s="203"/>
      <c r="EP77" s="205"/>
      <c r="EQ77" s="205"/>
      <c r="ER77" s="205"/>
      <c r="ES77" s="204"/>
      <c r="ET77" s="308">
        <f t="shared" si="195"/>
        <v>0</v>
      </c>
      <c r="EU77" s="203"/>
      <c r="EV77" s="205"/>
      <c r="EW77" s="205"/>
      <c r="EX77" s="205"/>
      <c r="EY77" s="205"/>
      <c r="EZ77" s="205"/>
      <c r="FA77" s="204"/>
      <c r="FB77" s="208">
        <f t="shared" si="196"/>
        <v>0</v>
      </c>
      <c r="FC77" s="208">
        <f t="shared" si="197"/>
        <v>0</v>
      </c>
      <c r="FD77" s="203"/>
      <c r="FE77" s="205"/>
      <c r="FF77" s="204"/>
      <c r="FG77" s="208">
        <f t="shared" si="198"/>
        <v>0</v>
      </c>
      <c r="FH77" s="203"/>
      <c r="FI77" s="205"/>
      <c r="FJ77" s="205"/>
      <c r="FK77" s="205"/>
      <c r="FL77" s="204"/>
      <c r="FM77" s="208">
        <f t="shared" si="199"/>
        <v>0</v>
      </c>
      <c r="FN77" s="203"/>
      <c r="FO77" s="205"/>
      <c r="FP77" s="205"/>
      <c r="FQ77" s="205"/>
      <c r="FR77" s="208">
        <f t="shared" si="165"/>
        <v>0</v>
      </c>
      <c r="FS77" s="203"/>
      <c r="FT77" s="205"/>
      <c r="FU77" s="205"/>
      <c r="FV77" s="205"/>
      <c r="FW77" s="204"/>
      <c r="FX77" s="208">
        <f t="shared" si="166"/>
        <v>0</v>
      </c>
      <c r="FY77" s="203"/>
      <c r="FZ77" s="205"/>
      <c r="GA77" s="205"/>
      <c r="GB77" s="205"/>
      <c r="GC77" s="204"/>
      <c r="GD77" s="208">
        <f t="shared" si="167"/>
        <v>0</v>
      </c>
      <c r="GE77" s="208">
        <f t="shared" si="168"/>
        <v>0</v>
      </c>
      <c r="GF77" s="203"/>
      <c r="GG77" s="205"/>
      <c r="GH77" s="205"/>
      <c r="GI77" s="205"/>
      <c r="GJ77" s="205"/>
      <c r="GK77" s="208">
        <f t="shared" si="169"/>
        <v>0</v>
      </c>
      <c r="GL77" s="203"/>
      <c r="GM77" s="205"/>
      <c r="GN77" s="205"/>
      <c r="GO77" s="204"/>
      <c r="GP77" s="208">
        <f t="shared" si="170"/>
        <v>0</v>
      </c>
      <c r="GQ77" s="203"/>
      <c r="GR77" s="205"/>
      <c r="GS77" s="205"/>
      <c r="GT77" s="205"/>
      <c r="GU77" s="204"/>
      <c r="GV77" s="208">
        <f t="shared" si="200"/>
        <v>0</v>
      </c>
      <c r="GW77" s="203"/>
      <c r="GX77" s="205"/>
      <c r="GY77" s="205"/>
      <c r="GZ77" s="205"/>
      <c r="HA77" s="205"/>
      <c r="HB77" s="204"/>
      <c r="HC77" s="208">
        <f t="shared" si="201"/>
        <v>0</v>
      </c>
      <c r="HD77" s="208">
        <f t="shared" si="202"/>
        <v>0</v>
      </c>
      <c r="HE77" s="203"/>
      <c r="HF77" s="205"/>
      <c r="HG77" s="205"/>
      <c r="HH77" s="205"/>
      <c r="HI77" s="208">
        <f t="shared" si="203"/>
        <v>0</v>
      </c>
      <c r="HJ77" s="203"/>
      <c r="HK77" s="205"/>
      <c r="HL77" s="205"/>
      <c r="HM77" s="205"/>
      <c r="HN77" s="204"/>
      <c r="HO77" s="245">
        <f t="shared" si="204"/>
        <v>0</v>
      </c>
      <c r="HP77" s="203"/>
      <c r="HQ77" s="205"/>
      <c r="HR77" s="205"/>
      <c r="HS77" s="205"/>
      <c r="HT77" s="204"/>
      <c r="HU77" s="208">
        <f t="shared" si="205"/>
        <v>0</v>
      </c>
      <c r="HV77" s="203"/>
      <c r="HW77" s="205"/>
      <c r="HX77" s="205"/>
      <c r="HY77" s="208">
        <f t="shared" si="171"/>
        <v>0</v>
      </c>
      <c r="HZ77" s="203"/>
      <c r="IA77" s="205"/>
      <c r="IB77" s="204"/>
      <c r="IC77" s="208">
        <f t="shared" si="206"/>
        <v>0</v>
      </c>
      <c r="ID77" s="208">
        <f t="shared" si="172"/>
        <v>0</v>
      </c>
      <c r="IE77" s="203"/>
      <c r="IF77" s="204"/>
      <c r="IG77" s="208">
        <f t="shared" si="207"/>
        <v>0</v>
      </c>
      <c r="IH77" s="203"/>
      <c r="II77" s="205"/>
      <c r="IJ77" s="205">
        <v>590646.13699999999</v>
      </c>
      <c r="IK77" s="205"/>
      <c r="IL77" s="204"/>
      <c r="IM77" s="208">
        <f t="shared" si="208"/>
        <v>590646.13699999999</v>
      </c>
      <c r="IN77" s="203"/>
      <c r="IO77" s="205"/>
      <c r="IP77" s="204"/>
      <c r="IQ77" s="208">
        <f t="shared" si="209"/>
        <v>0</v>
      </c>
      <c r="IR77" s="203"/>
      <c r="IS77" s="205"/>
      <c r="IT77" s="205"/>
      <c r="IU77" s="205"/>
      <c r="IV77" s="204"/>
      <c r="IW77" s="208">
        <f t="shared" si="210"/>
        <v>0</v>
      </c>
      <c r="IX77" s="203"/>
      <c r="IY77" s="205"/>
      <c r="IZ77" s="205"/>
      <c r="JA77" s="205"/>
      <c r="JB77" s="204"/>
      <c r="JC77" s="208">
        <f t="shared" si="211"/>
        <v>0</v>
      </c>
      <c r="JD77" s="208">
        <f t="shared" si="212"/>
        <v>590646.13699999999</v>
      </c>
      <c r="JE77" s="203"/>
      <c r="JF77" s="205"/>
      <c r="JG77" s="205"/>
      <c r="JH77" s="205"/>
      <c r="JI77" s="204"/>
      <c r="JJ77" s="208">
        <f t="shared" si="213"/>
        <v>0</v>
      </c>
      <c r="JK77" s="203"/>
      <c r="JL77" s="205"/>
      <c r="JM77" s="205"/>
      <c r="JN77" s="205"/>
      <c r="JO77" s="204"/>
      <c r="JP77" s="208">
        <f t="shared" si="214"/>
        <v>0</v>
      </c>
      <c r="JQ77" s="203"/>
      <c r="JR77" s="205"/>
      <c r="JS77" s="205"/>
      <c r="JT77" s="205"/>
      <c r="JU77" s="204"/>
      <c r="JV77" s="208">
        <f t="shared" si="215"/>
        <v>0</v>
      </c>
      <c r="JW77" s="203"/>
      <c r="JX77" s="205"/>
      <c r="JY77" s="205"/>
      <c r="JZ77" s="205"/>
      <c r="KA77" s="205"/>
      <c r="KB77" s="204"/>
      <c r="KC77" s="208">
        <f t="shared" si="216"/>
        <v>0</v>
      </c>
      <c r="KD77" s="208">
        <f t="shared" si="217"/>
        <v>0</v>
      </c>
      <c r="KE77" s="203"/>
      <c r="KF77" s="205"/>
      <c r="KG77" s="205"/>
      <c r="KH77" s="205"/>
      <c r="KI77" s="204"/>
      <c r="KJ77" s="208">
        <f t="shared" si="218"/>
        <v>0</v>
      </c>
      <c r="KK77" s="203"/>
      <c r="KL77" s="205"/>
      <c r="KM77" s="205"/>
      <c r="KN77" s="205"/>
      <c r="KO77" s="204"/>
      <c r="KP77" s="208">
        <f t="shared" si="219"/>
        <v>0</v>
      </c>
      <c r="KQ77" s="203"/>
      <c r="KR77" s="205"/>
      <c r="KS77" s="205"/>
      <c r="KT77" s="205"/>
      <c r="KU77" s="204"/>
      <c r="KV77" s="208">
        <f t="shared" si="220"/>
        <v>0</v>
      </c>
      <c r="KW77" s="203"/>
      <c r="KX77" s="205"/>
      <c r="KY77" s="205"/>
      <c r="KZ77" s="205"/>
      <c r="LA77" s="204"/>
      <c r="LB77" s="208">
        <f t="shared" si="221"/>
        <v>0</v>
      </c>
      <c r="LC77" s="202"/>
      <c r="LD77" s="244"/>
      <c r="LE77" s="245"/>
      <c r="LF77" s="208">
        <f t="shared" si="222"/>
        <v>0</v>
      </c>
      <c r="LG77" s="208">
        <f t="shared" si="223"/>
        <v>0</v>
      </c>
    </row>
    <row r="78" spans="2:319" s="91" customFormat="1">
      <c r="B78" s="167" t="s">
        <v>462</v>
      </c>
      <c r="C78" s="167"/>
      <c r="D78" s="202"/>
      <c r="E78" s="167"/>
      <c r="F78" s="177"/>
      <c r="G78" s="177"/>
      <c r="H78" s="177"/>
      <c r="I78" s="178"/>
      <c r="J78" s="202"/>
      <c r="K78" s="167"/>
      <c r="L78" s="177"/>
      <c r="M78" s="177"/>
      <c r="N78" s="178"/>
      <c r="O78" s="202"/>
      <c r="P78" s="167"/>
      <c r="Q78" s="177"/>
      <c r="R78" s="177"/>
      <c r="S78" s="177"/>
      <c r="T78" s="178"/>
      <c r="U78" s="202"/>
      <c r="V78" s="167"/>
      <c r="W78" s="177"/>
      <c r="X78" s="177"/>
      <c r="Y78" s="177"/>
      <c r="Z78" s="177"/>
      <c r="AA78" s="208"/>
      <c r="AB78" s="208">
        <f t="shared" si="226"/>
        <v>0</v>
      </c>
      <c r="AC78" s="203"/>
      <c r="AD78" s="205"/>
      <c r="AE78" s="205"/>
      <c r="AF78" s="205"/>
      <c r="AG78" s="204"/>
      <c r="AH78" s="208"/>
      <c r="AI78" s="203"/>
      <c r="AJ78" s="205"/>
      <c r="AK78" s="205"/>
      <c r="AL78" s="205"/>
      <c r="AM78" s="204"/>
      <c r="AN78" s="208"/>
      <c r="AO78" s="203"/>
      <c r="AP78" s="205"/>
      <c r="AQ78" s="205"/>
      <c r="AR78" s="205"/>
      <c r="AS78" s="204"/>
      <c r="AT78" s="208"/>
      <c r="AU78" s="203"/>
      <c r="AV78" s="205"/>
      <c r="AW78" s="205"/>
      <c r="AX78" s="205"/>
      <c r="AY78" s="204"/>
      <c r="AZ78" s="208"/>
      <c r="BA78" s="208">
        <f t="shared" si="178"/>
        <v>0</v>
      </c>
      <c r="BB78" s="203">
        <v>600000</v>
      </c>
      <c r="BC78" s="205">
        <v>515735</v>
      </c>
      <c r="BD78" s="205"/>
      <c r="BE78" s="205"/>
      <c r="BF78" s="204"/>
      <c r="BG78" s="208">
        <f t="shared" si="179"/>
        <v>1115735</v>
      </c>
      <c r="BH78" s="203"/>
      <c r="BI78" s="205">
        <v>261518.78099999999</v>
      </c>
      <c r="BJ78" s="205"/>
      <c r="BK78" s="205"/>
      <c r="BL78" s="204"/>
      <c r="BM78" s="208">
        <f t="shared" si="164"/>
        <v>261518.78099999999</v>
      </c>
      <c r="BN78" s="203"/>
      <c r="BO78" s="205"/>
      <c r="BP78" s="205"/>
      <c r="BQ78" s="204"/>
      <c r="BR78" s="208">
        <f t="shared" si="180"/>
        <v>0</v>
      </c>
      <c r="BS78" s="203"/>
      <c r="BT78" s="205"/>
      <c r="BU78" s="205"/>
      <c r="BV78" s="205"/>
      <c r="BW78" s="204"/>
      <c r="BX78" s="208">
        <f t="shared" si="181"/>
        <v>0</v>
      </c>
      <c r="BY78" s="203"/>
      <c r="BZ78" s="205"/>
      <c r="CA78" s="208">
        <f t="shared" si="182"/>
        <v>0</v>
      </c>
      <c r="CB78" s="208">
        <f t="shared" si="183"/>
        <v>1377253.781</v>
      </c>
      <c r="CC78" s="203"/>
      <c r="CD78" s="205"/>
      <c r="CE78" s="205">
        <v>40001.57</v>
      </c>
      <c r="CF78" s="208">
        <f t="shared" si="228"/>
        <v>40001.57</v>
      </c>
      <c r="CG78" s="203"/>
      <c r="CH78" s="205"/>
      <c r="CI78" s="205"/>
      <c r="CJ78" s="204"/>
      <c r="CK78" s="208">
        <f t="shared" si="184"/>
        <v>0</v>
      </c>
      <c r="CL78" s="203"/>
      <c r="CM78" s="205"/>
      <c r="CN78" s="205"/>
      <c r="CO78" s="205"/>
      <c r="CP78" s="204"/>
      <c r="CQ78" s="208">
        <f t="shared" si="185"/>
        <v>0</v>
      </c>
      <c r="CR78" s="203"/>
      <c r="CS78" s="205"/>
      <c r="CT78" s="205"/>
      <c r="CU78" s="205"/>
      <c r="CV78" s="204"/>
      <c r="CW78" s="208">
        <f t="shared" si="186"/>
        <v>0</v>
      </c>
      <c r="CX78" s="203"/>
      <c r="CY78" s="205"/>
      <c r="CZ78" s="205"/>
      <c r="DA78" s="204">
        <v>38668.118999999999</v>
      </c>
      <c r="DB78" s="208">
        <f t="shared" si="187"/>
        <v>38668.118999999999</v>
      </c>
      <c r="DC78" s="208">
        <f t="shared" si="229"/>
        <v>78669.688999999998</v>
      </c>
      <c r="DD78" s="203"/>
      <c r="DE78" s="205"/>
      <c r="DF78" s="205"/>
      <c r="DG78" s="205"/>
      <c r="DH78" s="205"/>
      <c r="DI78" s="208">
        <f t="shared" si="188"/>
        <v>0</v>
      </c>
      <c r="DJ78" s="203"/>
      <c r="DK78" s="205"/>
      <c r="DL78" s="205"/>
      <c r="DM78" s="205"/>
      <c r="DN78" s="204"/>
      <c r="DO78" s="208">
        <f t="shared" si="189"/>
        <v>0</v>
      </c>
      <c r="DP78" s="203"/>
      <c r="DQ78" s="205"/>
      <c r="DR78" s="205"/>
      <c r="DS78" s="205"/>
      <c r="DT78" s="204"/>
      <c r="DU78" s="245">
        <f t="shared" si="190"/>
        <v>0</v>
      </c>
      <c r="DV78" s="203"/>
      <c r="DW78" s="205"/>
      <c r="DX78" s="205"/>
      <c r="DY78" s="205"/>
      <c r="DZ78" s="204"/>
      <c r="EA78" s="208">
        <f t="shared" si="191"/>
        <v>0</v>
      </c>
      <c r="EB78" s="208">
        <f t="shared" si="192"/>
        <v>0</v>
      </c>
      <c r="EC78" s="203"/>
      <c r="ED78" s="205"/>
      <c r="EE78" s="205"/>
      <c r="EF78" s="205"/>
      <c r="EG78" s="204"/>
      <c r="EH78" s="208">
        <f t="shared" si="193"/>
        <v>0</v>
      </c>
      <c r="EI78" s="203"/>
      <c r="EJ78" s="205"/>
      <c r="EK78" s="205"/>
      <c r="EL78" s="205"/>
      <c r="EM78" s="204"/>
      <c r="EN78" s="208">
        <f t="shared" si="194"/>
        <v>0</v>
      </c>
      <c r="EO78" s="203"/>
      <c r="EP78" s="205"/>
      <c r="EQ78" s="205"/>
      <c r="ER78" s="205"/>
      <c r="ES78" s="204"/>
      <c r="ET78" s="308">
        <f t="shared" si="195"/>
        <v>0</v>
      </c>
      <c r="EU78" s="203"/>
      <c r="EV78" s="205"/>
      <c r="EW78" s="205"/>
      <c r="EX78" s="205"/>
      <c r="EY78" s="205"/>
      <c r="EZ78" s="205"/>
      <c r="FA78" s="204"/>
      <c r="FB78" s="208">
        <f t="shared" si="196"/>
        <v>0</v>
      </c>
      <c r="FC78" s="208">
        <f t="shared" si="197"/>
        <v>0</v>
      </c>
      <c r="FD78" s="203"/>
      <c r="FE78" s="205"/>
      <c r="FF78" s="204"/>
      <c r="FG78" s="208">
        <f t="shared" si="198"/>
        <v>0</v>
      </c>
      <c r="FH78" s="203"/>
      <c r="FI78" s="205"/>
      <c r="FJ78" s="205"/>
      <c r="FK78" s="205"/>
      <c r="FL78" s="204"/>
      <c r="FM78" s="208">
        <f t="shared" si="199"/>
        <v>0</v>
      </c>
      <c r="FN78" s="203"/>
      <c r="FO78" s="205"/>
      <c r="FP78" s="205"/>
      <c r="FQ78" s="205"/>
      <c r="FR78" s="208">
        <f t="shared" si="165"/>
        <v>0</v>
      </c>
      <c r="FS78" s="203"/>
      <c r="FT78" s="205"/>
      <c r="FU78" s="205"/>
      <c r="FV78" s="205"/>
      <c r="FW78" s="204"/>
      <c r="FX78" s="208">
        <f t="shared" si="166"/>
        <v>0</v>
      </c>
      <c r="FY78" s="203"/>
      <c r="FZ78" s="205"/>
      <c r="GA78" s="205">
        <v>-200000</v>
      </c>
      <c r="GB78" s="205"/>
      <c r="GC78" s="204"/>
      <c r="GD78" s="208">
        <f t="shared" si="167"/>
        <v>-200000</v>
      </c>
      <c r="GE78" s="208">
        <f t="shared" si="168"/>
        <v>-200000</v>
      </c>
      <c r="GF78" s="203"/>
      <c r="GG78" s="205"/>
      <c r="GH78" s="205"/>
      <c r="GI78" s="205"/>
      <c r="GJ78" s="205"/>
      <c r="GK78" s="208">
        <f t="shared" si="169"/>
        <v>0</v>
      </c>
      <c r="GL78" s="203"/>
      <c r="GM78" s="205"/>
      <c r="GN78" s="205"/>
      <c r="GO78" s="204"/>
      <c r="GP78" s="208">
        <f t="shared" si="170"/>
        <v>0</v>
      </c>
      <c r="GQ78" s="203"/>
      <c r="GR78" s="205"/>
      <c r="GS78" s="205"/>
      <c r="GT78" s="205"/>
      <c r="GU78" s="204"/>
      <c r="GV78" s="208">
        <f t="shared" si="200"/>
        <v>0</v>
      </c>
      <c r="GW78" s="203"/>
      <c r="GX78" s="205"/>
      <c r="GY78" s="205"/>
      <c r="GZ78" s="205"/>
      <c r="HA78" s="205"/>
      <c r="HB78" s="204"/>
      <c r="HC78" s="208">
        <f t="shared" si="201"/>
        <v>0</v>
      </c>
      <c r="HD78" s="208">
        <f t="shared" si="202"/>
        <v>0</v>
      </c>
      <c r="HE78" s="203"/>
      <c r="HF78" s="205"/>
      <c r="HG78" s="205"/>
      <c r="HH78" s="205"/>
      <c r="HI78" s="208">
        <f t="shared" si="203"/>
        <v>0</v>
      </c>
      <c r="HJ78" s="203"/>
      <c r="HK78" s="205"/>
      <c r="HL78" s="205"/>
      <c r="HM78" s="205"/>
      <c r="HN78" s="204"/>
      <c r="HO78" s="245">
        <f t="shared" si="204"/>
        <v>0</v>
      </c>
      <c r="HP78" s="203"/>
      <c r="HQ78" s="205"/>
      <c r="HR78" s="205"/>
      <c r="HS78" s="205"/>
      <c r="HT78" s="204"/>
      <c r="HU78" s="208">
        <f t="shared" si="205"/>
        <v>0</v>
      </c>
      <c r="HV78" s="203"/>
      <c r="HW78" s="205"/>
      <c r="HX78" s="205"/>
      <c r="HY78" s="208">
        <f t="shared" si="171"/>
        <v>0</v>
      </c>
      <c r="HZ78" s="203"/>
      <c r="IA78" s="205"/>
      <c r="IB78" s="204"/>
      <c r="IC78" s="208">
        <f t="shared" si="206"/>
        <v>0</v>
      </c>
      <c r="ID78" s="208">
        <f t="shared" si="172"/>
        <v>0</v>
      </c>
      <c r="IE78" s="203"/>
      <c r="IF78" s="204"/>
      <c r="IG78" s="208">
        <f t="shared" si="207"/>
        <v>0</v>
      </c>
      <c r="IH78" s="203"/>
      <c r="II78" s="205"/>
      <c r="IJ78" s="205"/>
      <c r="IK78" s="205"/>
      <c r="IL78" s="204"/>
      <c r="IM78" s="208">
        <f t="shared" si="208"/>
        <v>0</v>
      </c>
      <c r="IN78" s="203"/>
      <c r="IO78" s="205"/>
      <c r="IP78" s="204"/>
      <c r="IQ78" s="208">
        <f t="shared" si="209"/>
        <v>0</v>
      </c>
      <c r="IR78" s="203"/>
      <c r="IS78" s="205"/>
      <c r="IT78" s="205"/>
      <c r="IU78" s="205"/>
      <c r="IV78" s="204"/>
      <c r="IW78" s="208">
        <f t="shared" si="210"/>
        <v>0</v>
      </c>
      <c r="IX78" s="203"/>
      <c r="IY78" s="205"/>
      <c r="IZ78" s="205"/>
      <c r="JA78" s="205"/>
      <c r="JB78" s="204"/>
      <c r="JC78" s="208">
        <f t="shared" si="211"/>
        <v>0</v>
      </c>
      <c r="JD78" s="208">
        <f t="shared" si="212"/>
        <v>0</v>
      </c>
      <c r="JE78" s="203"/>
      <c r="JF78" s="205"/>
      <c r="JG78" s="205"/>
      <c r="JH78" s="205"/>
      <c r="JI78" s="204"/>
      <c r="JJ78" s="208">
        <f t="shared" si="213"/>
        <v>0</v>
      </c>
      <c r="JK78" s="203"/>
      <c r="JL78" s="205"/>
      <c r="JM78" s="205"/>
      <c r="JN78" s="205"/>
      <c r="JO78" s="204"/>
      <c r="JP78" s="208">
        <f t="shared" si="214"/>
        <v>0</v>
      </c>
      <c r="JQ78" s="203"/>
      <c r="JR78" s="205"/>
      <c r="JS78" s="205"/>
      <c r="JT78" s="205"/>
      <c r="JU78" s="204"/>
      <c r="JV78" s="208">
        <f t="shared" si="215"/>
        <v>0</v>
      </c>
      <c r="JW78" s="203"/>
      <c r="JX78" s="205"/>
      <c r="JY78" s="205"/>
      <c r="JZ78" s="205"/>
      <c r="KA78" s="205"/>
      <c r="KB78" s="204"/>
      <c r="KC78" s="208">
        <f t="shared" si="216"/>
        <v>0</v>
      </c>
      <c r="KD78" s="208">
        <f t="shared" si="217"/>
        <v>0</v>
      </c>
      <c r="KE78" s="203"/>
      <c r="KF78" s="205"/>
      <c r="KG78" s="205"/>
      <c r="KH78" s="205"/>
      <c r="KI78" s="204"/>
      <c r="KJ78" s="208">
        <f t="shared" si="218"/>
        <v>0</v>
      </c>
      <c r="KK78" s="203"/>
      <c r="KL78" s="205"/>
      <c r="KM78" s="205"/>
      <c r="KN78" s="205"/>
      <c r="KO78" s="204"/>
      <c r="KP78" s="208">
        <f t="shared" si="219"/>
        <v>0</v>
      </c>
      <c r="KQ78" s="203"/>
      <c r="KR78" s="205"/>
      <c r="KS78" s="205"/>
      <c r="KT78" s="205"/>
      <c r="KU78" s="204"/>
      <c r="KV78" s="208">
        <f t="shared" si="220"/>
        <v>0</v>
      </c>
      <c r="KW78" s="203"/>
      <c r="KX78" s="205"/>
      <c r="KY78" s="205"/>
      <c r="KZ78" s="205"/>
      <c r="LA78" s="204"/>
      <c r="LB78" s="208">
        <f t="shared" si="221"/>
        <v>0</v>
      </c>
      <c r="LC78" s="202"/>
      <c r="LD78" s="244"/>
      <c r="LE78" s="245"/>
      <c r="LF78" s="208">
        <f t="shared" si="222"/>
        <v>0</v>
      </c>
      <c r="LG78" s="208">
        <f t="shared" si="223"/>
        <v>0</v>
      </c>
    </row>
    <row r="79" spans="2:319" s="91" customFormat="1">
      <c r="B79" s="167" t="s">
        <v>89</v>
      </c>
      <c r="C79" s="167"/>
      <c r="D79" s="202">
        <f t="shared" si="163"/>
        <v>0</v>
      </c>
      <c r="E79" s="167"/>
      <c r="F79" s="177"/>
      <c r="G79" s="177"/>
      <c r="H79" s="177"/>
      <c r="I79" s="178"/>
      <c r="J79" s="202">
        <f t="shared" si="224"/>
        <v>0</v>
      </c>
      <c r="K79" s="167">
        <v>2340</v>
      </c>
      <c r="L79" s="177"/>
      <c r="M79" s="177"/>
      <c r="N79" s="178"/>
      <c r="O79" s="202">
        <f t="shared" si="230"/>
        <v>2340</v>
      </c>
      <c r="P79" s="167"/>
      <c r="Q79" s="177"/>
      <c r="R79" s="177"/>
      <c r="S79" s="177"/>
      <c r="T79" s="178"/>
      <c r="U79" s="202">
        <f t="shared" si="173"/>
        <v>0</v>
      </c>
      <c r="V79" s="167"/>
      <c r="W79" s="177"/>
      <c r="X79" s="177"/>
      <c r="Y79" s="177"/>
      <c r="Z79" s="177">
        <v>82168.479000000007</v>
      </c>
      <c r="AA79" s="208">
        <f t="shared" si="174"/>
        <v>82168.479000000007</v>
      </c>
      <c r="AB79" s="208">
        <f t="shared" si="226"/>
        <v>84508.479000000007</v>
      </c>
      <c r="AC79" s="203"/>
      <c r="AD79" s="205"/>
      <c r="AE79" s="205"/>
      <c r="AF79" s="205">
        <v>3070</v>
      </c>
      <c r="AG79" s="204"/>
      <c r="AH79" s="208">
        <f t="shared" si="227"/>
        <v>3070</v>
      </c>
      <c r="AI79" s="203"/>
      <c r="AJ79" s="205"/>
      <c r="AK79" s="205"/>
      <c r="AL79" s="205"/>
      <c r="AM79" s="204"/>
      <c r="AN79" s="208">
        <f t="shared" si="175"/>
        <v>0</v>
      </c>
      <c r="AO79" s="203"/>
      <c r="AP79" s="205"/>
      <c r="AQ79" s="205"/>
      <c r="AR79" s="205"/>
      <c r="AS79" s="204"/>
      <c r="AT79" s="208">
        <f t="shared" si="176"/>
        <v>0</v>
      </c>
      <c r="AU79" s="203"/>
      <c r="AV79" s="205"/>
      <c r="AW79" s="205"/>
      <c r="AX79" s="205"/>
      <c r="AY79" s="204"/>
      <c r="AZ79" s="208">
        <f t="shared" si="177"/>
        <v>0</v>
      </c>
      <c r="BA79" s="208">
        <f t="shared" si="178"/>
        <v>3070</v>
      </c>
      <c r="BB79" s="203"/>
      <c r="BC79" s="205"/>
      <c r="BD79" s="205">
        <f>6.098+57487.145</f>
        <v>57493.242999999995</v>
      </c>
      <c r="BE79" s="205"/>
      <c r="BF79" s="204"/>
      <c r="BG79" s="208">
        <f t="shared" si="179"/>
        <v>57493.242999999995</v>
      </c>
      <c r="BH79" s="203"/>
      <c r="BI79" s="205"/>
      <c r="BJ79" s="205"/>
      <c r="BK79" s="205"/>
      <c r="BL79" s="204"/>
      <c r="BM79" s="208">
        <f t="shared" si="164"/>
        <v>0</v>
      </c>
      <c r="BN79" s="203"/>
      <c r="BO79" s="205"/>
      <c r="BP79" s="205"/>
      <c r="BQ79" s="204"/>
      <c r="BR79" s="208">
        <f t="shared" si="180"/>
        <v>0</v>
      </c>
      <c r="BS79" s="203"/>
      <c r="BT79" s="205"/>
      <c r="BU79" s="205"/>
      <c r="BV79" s="205"/>
      <c r="BW79" s="204"/>
      <c r="BX79" s="208">
        <f t="shared" si="181"/>
        <v>0</v>
      </c>
      <c r="BY79" s="203"/>
      <c r="BZ79" s="205"/>
      <c r="CA79" s="208">
        <f t="shared" si="182"/>
        <v>0</v>
      </c>
      <c r="CB79" s="208">
        <f t="shared" si="183"/>
        <v>57493.242999999995</v>
      </c>
      <c r="CC79" s="203">
        <v>46041.093000000001</v>
      </c>
      <c r="CD79" s="205"/>
      <c r="CE79" s="205"/>
      <c r="CF79" s="208">
        <f t="shared" si="228"/>
        <v>46041.093000000001</v>
      </c>
      <c r="CG79" s="203"/>
      <c r="CH79" s="205"/>
      <c r="CI79" s="205"/>
      <c r="CJ79" s="204"/>
      <c r="CK79" s="208">
        <f t="shared" si="184"/>
        <v>0</v>
      </c>
      <c r="CL79" s="203"/>
      <c r="CM79" s="205"/>
      <c r="CN79" s="205"/>
      <c r="CO79" s="205"/>
      <c r="CP79" s="204"/>
      <c r="CQ79" s="208">
        <f t="shared" si="185"/>
        <v>0</v>
      </c>
      <c r="CR79" s="203"/>
      <c r="CS79" s="205"/>
      <c r="CT79" s="205"/>
      <c r="CU79" s="205"/>
      <c r="CV79" s="204"/>
      <c r="CW79" s="208">
        <f t="shared" si="186"/>
        <v>0</v>
      </c>
      <c r="CX79" s="203"/>
      <c r="CY79" s="205"/>
      <c r="CZ79" s="205"/>
      <c r="DA79" s="204">
        <v>54566.633000000002</v>
      </c>
      <c r="DB79" s="208">
        <f t="shared" si="187"/>
        <v>54566.633000000002</v>
      </c>
      <c r="DC79" s="208">
        <f t="shared" si="229"/>
        <v>100607.726</v>
      </c>
      <c r="DD79" s="203"/>
      <c r="DE79" s="205"/>
      <c r="DF79" s="205"/>
      <c r="DG79" s="205"/>
      <c r="DH79" s="205"/>
      <c r="DI79" s="208">
        <f t="shared" si="188"/>
        <v>0</v>
      </c>
      <c r="DJ79" s="203"/>
      <c r="DK79" s="205"/>
      <c r="DL79" s="205"/>
      <c r="DM79" s="205"/>
      <c r="DN79" s="204"/>
      <c r="DO79" s="208">
        <f t="shared" si="189"/>
        <v>0</v>
      </c>
      <c r="DP79" s="203"/>
      <c r="DQ79" s="205"/>
      <c r="DR79" s="205"/>
      <c r="DS79" s="205"/>
      <c r="DT79" s="204"/>
      <c r="DU79" s="245">
        <f t="shared" si="190"/>
        <v>0</v>
      </c>
      <c r="DV79" s="203"/>
      <c r="DW79" s="205">
        <v>60</v>
      </c>
      <c r="DX79" s="205"/>
      <c r="DY79" s="205"/>
      <c r="DZ79" s="204"/>
      <c r="EA79" s="208">
        <f t="shared" si="191"/>
        <v>60</v>
      </c>
      <c r="EB79" s="208">
        <f t="shared" si="192"/>
        <v>60</v>
      </c>
      <c r="EC79" s="203">
        <v>54793.508999999998</v>
      </c>
      <c r="ED79" s="205"/>
      <c r="EE79" s="205"/>
      <c r="EF79" s="205"/>
      <c r="EG79" s="204"/>
      <c r="EH79" s="208">
        <f t="shared" si="193"/>
        <v>54793.508999999998</v>
      </c>
      <c r="EI79" s="203"/>
      <c r="EJ79" s="205"/>
      <c r="EK79" s="205"/>
      <c r="EL79" s="205"/>
      <c r="EM79" s="204"/>
      <c r="EN79" s="208">
        <f t="shared" si="194"/>
        <v>0</v>
      </c>
      <c r="EO79" s="203"/>
      <c r="EP79" s="205"/>
      <c r="EQ79" s="205"/>
      <c r="ER79" s="205"/>
      <c r="ES79" s="204"/>
      <c r="ET79" s="308">
        <f t="shared" si="195"/>
        <v>0</v>
      </c>
      <c r="EU79" s="203"/>
      <c r="EV79" s="205"/>
      <c r="EW79" s="205"/>
      <c r="EX79" s="205"/>
      <c r="EY79" s="205"/>
      <c r="EZ79" s="205"/>
      <c r="FA79" s="204">
        <v>41512.317000000003</v>
      </c>
      <c r="FB79" s="208">
        <f t="shared" si="196"/>
        <v>41512.317000000003</v>
      </c>
      <c r="FC79" s="208">
        <f t="shared" si="197"/>
        <v>96305.826000000001</v>
      </c>
      <c r="FD79" s="203"/>
      <c r="FE79" s="205"/>
      <c r="FF79" s="204"/>
      <c r="FG79" s="208">
        <f t="shared" si="198"/>
        <v>0</v>
      </c>
      <c r="FH79" s="203"/>
      <c r="FI79" s="205"/>
      <c r="FJ79" s="205"/>
      <c r="FK79" s="205"/>
      <c r="FL79" s="204"/>
      <c r="FM79" s="208">
        <f t="shared" si="199"/>
        <v>0</v>
      </c>
      <c r="FN79" s="203"/>
      <c r="FO79" s="205"/>
      <c r="FP79" s="205"/>
      <c r="FQ79" s="205"/>
      <c r="FR79" s="208">
        <f t="shared" si="165"/>
        <v>0</v>
      </c>
      <c r="FS79" s="203"/>
      <c r="FT79" s="205"/>
      <c r="FU79" s="205"/>
      <c r="FV79" s="205"/>
      <c r="FW79" s="204"/>
      <c r="FX79" s="208">
        <f t="shared" si="166"/>
        <v>0</v>
      </c>
      <c r="FY79" s="203"/>
      <c r="FZ79" s="205"/>
      <c r="GA79" s="205"/>
      <c r="GB79" s="205">
        <v>57012.41</v>
      </c>
      <c r="GC79" s="204"/>
      <c r="GD79" s="208">
        <f t="shared" si="167"/>
        <v>57012.41</v>
      </c>
      <c r="GE79" s="208">
        <f t="shared" si="168"/>
        <v>57012.41</v>
      </c>
      <c r="GF79" s="203"/>
      <c r="GG79" s="205"/>
      <c r="GH79" s="205"/>
      <c r="GI79" s="205"/>
      <c r="GJ79" s="205"/>
      <c r="GK79" s="208">
        <f t="shared" si="169"/>
        <v>0</v>
      </c>
      <c r="GL79" s="203"/>
      <c r="GM79" s="205"/>
      <c r="GN79" s="205"/>
      <c r="GO79" s="204"/>
      <c r="GP79" s="208">
        <f t="shared" si="170"/>
        <v>0</v>
      </c>
      <c r="GQ79" s="203"/>
      <c r="GR79" s="205"/>
      <c r="GS79" s="205"/>
      <c r="GT79" s="205">
        <v>9515.6</v>
      </c>
      <c r="GU79" s="204"/>
      <c r="GV79" s="208">
        <f t="shared" si="200"/>
        <v>9515.6</v>
      </c>
      <c r="GW79" s="203"/>
      <c r="GX79" s="205"/>
      <c r="GY79" s="205"/>
      <c r="GZ79" s="205"/>
      <c r="HA79" s="205"/>
      <c r="HB79" s="204"/>
      <c r="HC79" s="208">
        <f t="shared" si="201"/>
        <v>0</v>
      </c>
      <c r="HD79" s="208">
        <f t="shared" si="202"/>
        <v>9515.6</v>
      </c>
      <c r="HE79" s="203">
        <v>61798.025999999998</v>
      </c>
      <c r="HF79" s="205"/>
      <c r="HG79" s="205">
        <v>37436.5</v>
      </c>
      <c r="HH79" s="205"/>
      <c r="HI79" s="208">
        <f t="shared" si="203"/>
        <v>99234.525999999998</v>
      </c>
      <c r="HJ79" s="203">
        <v>700</v>
      </c>
      <c r="HK79" s="205"/>
      <c r="HL79" s="205"/>
      <c r="HM79" s="205"/>
      <c r="HN79" s="204"/>
      <c r="HO79" s="245">
        <f t="shared" si="204"/>
        <v>700</v>
      </c>
      <c r="HP79" s="203"/>
      <c r="HQ79" s="205"/>
      <c r="HR79" s="205"/>
      <c r="HS79" s="205"/>
      <c r="HT79" s="204"/>
      <c r="HU79" s="208">
        <f t="shared" si="205"/>
        <v>0</v>
      </c>
      <c r="HV79" s="203"/>
      <c r="HW79" s="205"/>
      <c r="HX79" s="205"/>
      <c r="HY79" s="208">
        <f t="shared" si="171"/>
        <v>0</v>
      </c>
      <c r="HZ79" s="203"/>
      <c r="IA79" s="205"/>
      <c r="IB79" s="204">
        <f>1406.23+78151.55</f>
        <v>79557.78</v>
      </c>
      <c r="IC79" s="208">
        <f t="shared" si="206"/>
        <v>79557.78</v>
      </c>
      <c r="ID79" s="208">
        <f t="shared" si="172"/>
        <v>179492.30599999998</v>
      </c>
      <c r="IE79" s="203"/>
      <c r="IF79" s="204"/>
      <c r="IG79" s="208">
        <f t="shared" si="207"/>
        <v>0</v>
      </c>
      <c r="IH79" s="203"/>
      <c r="II79" s="205"/>
      <c r="IJ79" s="205"/>
      <c r="IK79" s="205"/>
      <c r="IL79" s="204"/>
      <c r="IM79" s="208">
        <f t="shared" si="208"/>
        <v>0</v>
      </c>
      <c r="IN79" s="203"/>
      <c r="IO79" s="205"/>
      <c r="IP79" s="204"/>
      <c r="IQ79" s="208">
        <f t="shared" si="209"/>
        <v>0</v>
      </c>
      <c r="IR79" s="203"/>
      <c r="IS79" s="205"/>
      <c r="IT79" s="205"/>
      <c r="IU79" s="205"/>
      <c r="IV79" s="204"/>
      <c r="IW79" s="208">
        <f t="shared" si="210"/>
        <v>0</v>
      </c>
      <c r="IX79" s="203"/>
      <c r="IY79" s="205"/>
      <c r="IZ79" s="205"/>
      <c r="JA79" s="205"/>
      <c r="JB79" s="204">
        <f>85723.774</f>
        <v>85723.774000000005</v>
      </c>
      <c r="JC79" s="208">
        <f t="shared" si="211"/>
        <v>85723.774000000005</v>
      </c>
      <c r="JD79" s="208">
        <f t="shared" si="212"/>
        <v>85723.774000000005</v>
      </c>
      <c r="JE79" s="203"/>
      <c r="JF79" s="205"/>
      <c r="JG79" s="205"/>
      <c r="JH79" s="205"/>
      <c r="JI79" s="204"/>
      <c r="JJ79" s="208">
        <f t="shared" si="213"/>
        <v>0</v>
      </c>
      <c r="JK79" s="203"/>
      <c r="JL79" s="205"/>
      <c r="JM79" s="205"/>
      <c r="JN79" s="205"/>
      <c r="JO79" s="204"/>
      <c r="JP79" s="208">
        <f t="shared" si="214"/>
        <v>0</v>
      </c>
      <c r="JQ79" s="203"/>
      <c r="JR79" s="205"/>
      <c r="JS79" s="205"/>
      <c r="JT79" s="205"/>
      <c r="JU79" s="204"/>
      <c r="JV79" s="208">
        <f t="shared" si="215"/>
        <v>0</v>
      </c>
      <c r="JW79" s="203"/>
      <c r="JX79" s="205"/>
      <c r="JY79" s="205"/>
      <c r="JZ79" s="205"/>
      <c r="KA79" s="205"/>
      <c r="KB79" s="204"/>
      <c r="KC79" s="208">
        <f t="shared" si="216"/>
        <v>0</v>
      </c>
      <c r="KD79" s="208">
        <v>75000</v>
      </c>
      <c r="KE79" s="203"/>
      <c r="KF79" s="205"/>
      <c r="KG79" s="205"/>
      <c r="KH79" s="205"/>
      <c r="KI79" s="204"/>
      <c r="KJ79" s="208">
        <f t="shared" si="218"/>
        <v>0</v>
      </c>
      <c r="KK79" s="203"/>
      <c r="KL79" s="205"/>
      <c r="KM79" s="205"/>
      <c r="KN79" s="205"/>
      <c r="KO79" s="204"/>
      <c r="KP79" s="208">
        <f t="shared" si="219"/>
        <v>0</v>
      </c>
      <c r="KQ79" s="203"/>
      <c r="KR79" s="205"/>
      <c r="KS79" s="205"/>
      <c r="KT79" s="205"/>
      <c r="KU79" s="204"/>
      <c r="KV79" s="208">
        <f t="shared" si="220"/>
        <v>0</v>
      </c>
      <c r="KW79" s="203"/>
      <c r="KX79" s="205"/>
      <c r="KY79" s="205"/>
      <c r="KZ79" s="205"/>
      <c r="LA79" s="204"/>
      <c r="LB79" s="208">
        <f t="shared" si="221"/>
        <v>0</v>
      </c>
      <c r="LC79" s="202"/>
      <c r="LD79" s="244"/>
      <c r="LE79" s="245"/>
      <c r="LF79" s="208">
        <f t="shared" si="222"/>
        <v>0</v>
      </c>
      <c r="LG79" s="208">
        <v>75000</v>
      </c>
    </row>
    <row r="80" spans="2:319" s="91" customFormat="1">
      <c r="B80" s="167" t="s">
        <v>177</v>
      </c>
      <c r="C80" s="167"/>
      <c r="D80" s="202">
        <f t="shared" si="163"/>
        <v>0</v>
      </c>
      <c r="E80" s="167"/>
      <c r="F80" s="177"/>
      <c r="G80" s="177"/>
      <c r="H80" s="177"/>
      <c r="I80" s="178">
        <f>1125000-1107056.25+600000-589680</f>
        <v>28263.75</v>
      </c>
      <c r="J80" s="202">
        <f t="shared" si="224"/>
        <v>28263.75</v>
      </c>
      <c r="K80" s="167"/>
      <c r="L80" s="177"/>
      <c r="M80" s="177"/>
      <c r="N80" s="178"/>
      <c r="O80" s="202">
        <f t="shared" si="230"/>
        <v>0</v>
      </c>
      <c r="P80" s="167"/>
      <c r="Q80" s="177"/>
      <c r="R80" s="177"/>
      <c r="S80" s="177"/>
      <c r="T80" s="178"/>
      <c r="U80" s="202">
        <f t="shared" si="173"/>
        <v>0</v>
      </c>
      <c r="V80" s="167"/>
      <c r="W80" s="177"/>
      <c r="X80" s="177"/>
      <c r="Y80" s="177"/>
      <c r="Z80" s="177"/>
      <c r="AA80" s="208">
        <f t="shared" si="174"/>
        <v>0</v>
      </c>
      <c r="AB80" s="208">
        <f t="shared" si="226"/>
        <v>28263.75</v>
      </c>
      <c r="AC80" s="203"/>
      <c r="AD80" s="205"/>
      <c r="AE80" s="205"/>
      <c r="AF80" s="205"/>
      <c r="AG80" s="204"/>
      <c r="AH80" s="208">
        <f t="shared" si="227"/>
        <v>0</v>
      </c>
      <c r="AI80" s="203"/>
      <c r="AJ80" s="205"/>
      <c r="AK80" s="205"/>
      <c r="AL80" s="205"/>
      <c r="AM80" s="204"/>
      <c r="AN80" s="208">
        <f t="shared" si="175"/>
        <v>0</v>
      </c>
      <c r="AO80" s="203"/>
      <c r="AP80" s="205"/>
      <c r="AQ80" s="205"/>
      <c r="AR80" s="205"/>
      <c r="AS80" s="204"/>
      <c r="AT80" s="208">
        <f t="shared" si="176"/>
        <v>0</v>
      </c>
      <c r="AU80" s="203"/>
      <c r="AV80" s="205"/>
      <c r="AW80" s="205"/>
      <c r="AX80" s="205"/>
      <c r="AY80" s="204"/>
      <c r="AZ80" s="208">
        <f t="shared" si="177"/>
        <v>0</v>
      </c>
      <c r="BA80" s="208">
        <f t="shared" si="178"/>
        <v>0</v>
      </c>
      <c r="BB80" s="203"/>
      <c r="BC80" s="205"/>
      <c r="BD80" s="205"/>
      <c r="BE80" s="205"/>
      <c r="BF80" s="204"/>
      <c r="BG80" s="208">
        <f t="shared" si="179"/>
        <v>0</v>
      </c>
      <c r="BH80" s="203"/>
      <c r="BI80" s="205"/>
      <c r="BJ80" s="205"/>
      <c r="BK80" s="205"/>
      <c r="BL80" s="204"/>
      <c r="BM80" s="208">
        <f t="shared" si="164"/>
        <v>0</v>
      </c>
      <c r="BN80" s="203"/>
      <c r="BO80" s="205"/>
      <c r="BP80" s="205"/>
      <c r="BQ80" s="204"/>
      <c r="BR80" s="208">
        <f t="shared" si="180"/>
        <v>0</v>
      </c>
      <c r="BS80" s="203"/>
      <c r="BT80" s="205"/>
      <c r="BU80" s="205"/>
      <c r="BV80" s="205"/>
      <c r="BW80" s="204"/>
      <c r="BX80" s="208">
        <f t="shared" si="181"/>
        <v>0</v>
      </c>
      <c r="BY80" s="203"/>
      <c r="BZ80" s="205"/>
      <c r="CA80" s="208">
        <f t="shared" si="182"/>
        <v>0</v>
      </c>
      <c r="CB80" s="208">
        <f t="shared" si="183"/>
        <v>0</v>
      </c>
      <c r="CC80" s="203"/>
      <c r="CD80" s="205"/>
      <c r="CE80" s="205"/>
      <c r="CF80" s="208">
        <f t="shared" si="228"/>
        <v>0</v>
      </c>
      <c r="CG80" s="203">
        <f>1125000-1107027.5+600000-589656.333</f>
        <v>28316.167000000016</v>
      </c>
      <c r="CH80" s="205"/>
      <c r="CI80" s="205"/>
      <c r="CJ80" s="204"/>
      <c r="CK80" s="208">
        <f t="shared" si="184"/>
        <v>28316.167000000016</v>
      </c>
      <c r="CL80" s="203"/>
      <c r="CM80" s="205"/>
      <c r="CN80" s="205"/>
      <c r="CO80" s="205"/>
      <c r="CP80" s="204"/>
      <c r="CQ80" s="208">
        <f t="shared" si="185"/>
        <v>0</v>
      </c>
      <c r="CR80" s="203"/>
      <c r="CS80" s="205"/>
      <c r="CT80" s="205"/>
      <c r="CU80" s="205"/>
      <c r="CV80" s="204"/>
      <c r="CW80" s="208">
        <f t="shared" si="186"/>
        <v>0</v>
      </c>
      <c r="CX80" s="203"/>
      <c r="CY80" s="205"/>
      <c r="CZ80" s="205"/>
      <c r="DA80" s="204"/>
      <c r="DB80" s="208">
        <f t="shared" si="187"/>
        <v>0</v>
      </c>
      <c r="DC80" s="208">
        <f t="shared" si="229"/>
        <v>28316.167000000016</v>
      </c>
      <c r="DD80" s="203"/>
      <c r="DE80" s="205"/>
      <c r="DF80" s="205"/>
      <c r="DG80" s="205"/>
      <c r="DH80" s="205"/>
      <c r="DI80" s="208">
        <f t="shared" si="188"/>
        <v>0</v>
      </c>
      <c r="DJ80" s="203"/>
      <c r="DK80" s="205"/>
      <c r="DL80" s="205"/>
      <c r="DM80" s="205"/>
      <c r="DN80" s="204"/>
      <c r="DO80" s="208">
        <f t="shared" si="189"/>
        <v>0</v>
      </c>
      <c r="DP80" s="203"/>
      <c r="DQ80" s="205"/>
      <c r="DR80" s="205"/>
      <c r="DS80" s="205"/>
      <c r="DT80" s="204"/>
      <c r="DU80" s="245">
        <f t="shared" si="190"/>
        <v>0</v>
      </c>
      <c r="DV80" s="203"/>
      <c r="DW80" s="205"/>
      <c r="DX80" s="205"/>
      <c r="DY80" s="205"/>
      <c r="DZ80" s="204"/>
      <c r="EA80" s="208">
        <f t="shared" si="191"/>
        <v>0</v>
      </c>
      <c r="EB80" s="208">
        <f t="shared" si="192"/>
        <v>0</v>
      </c>
      <c r="EC80" s="203"/>
      <c r="ED80" s="205"/>
      <c r="EE80" s="205"/>
      <c r="EF80" s="205"/>
      <c r="EG80" s="204"/>
      <c r="EH80" s="208">
        <f t="shared" si="193"/>
        <v>0</v>
      </c>
      <c r="EI80" s="203"/>
      <c r="EJ80" s="205"/>
      <c r="EK80" s="205"/>
      <c r="EL80" s="205"/>
      <c r="EM80" s="204"/>
      <c r="EN80" s="208">
        <f t="shared" si="194"/>
        <v>0</v>
      </c>
      <c r="EO80" s="203"/>
      <c r="EP80" s="205"/>
      <c r="EQ80" s="205"/>
      <c r="ER80" s="205"/>
      <c r="ES80" s="204"/>
      <c r="ET80" s="308">
        <f t="shared" si="195"/>
        <v>0</v>
      </c>
      <c r="EU80" s="203"/>
      <c r="EV80" s="205"/>
      <c r="EW80" s="205"/>
      <c r="EX80" s="205"/>
      <c r="EY80" s="205"/>
      <c r="EZ80" s="205"/>
      <c r="FA80" s="204"/>
      <c r="FB80" s="208">
        <f t="shared" si="196"/>
        <v>0</v>
      </c>
      <c r="FC80" s="208">
        <f t="shared" si="197"/>
        <v>0</v>
      </c>
      <c r="FD80" s="203"/>
      <c r="FE80" s="205"/>
      <c r="FF80" s="204"/>
      <c r="FG80" s="208">
        <f t="shared" si="198"/>
        <v>0</v>
      </c>
      <c r="FH80" s="203"/>
      <c r="FI80" s="205"/>
      <c r="FJ80" s="205"/>
      <c r="FK80" s="205">
        <f>1125000-1118896.875+600000-596486.667</f>
        <v>9616.4579999999842</v>
      </c>
      <c r="FL80" s="204"/>
      <c r="FM80" s="208">
        <f t="shared" si="199"/>
        <v>9616.4579999999842</v>
      </c>
      <c r="FN80" s="203"/>
      <c r="FO80" s="205"/>
      <c r="FP80" s="205"/>
      <c r="FQ80" s="205"/>
      <c r="FR80" s="208">
        <f t="shared" si="165"/>
        <v>0</v>
      </c>
      <c r="FS80" s="203"/>
      <c r="FT80" s="205"/>
      <c r="FU80" s="205"/>
      <c r="FV80" s="205"/>
      <c r="FW80" s="204"/>
      <c r="FX80" s="208">
        <f t="shared" si="166"/>
        <v>0</v>
      </c>
      <c r="FY80" s="203"/>
      <c r="FZ80" s="205"/>
      <c r="GA80" s="205"/>
      <c r="GB80" s="205"/>
      <c r="GC80" s="204"/>
      <c r="GD80" s="208">
        <f t="shared" si="167"/>
        <v>0</v>
      </c>
      <c r="GE80" s="208">
        <f t="shared" si="168"/>
        <v>9616.4579999999842</v>
      </c>
      <c r="GF80" s="203"/>
      <c r="GG80" s="205"/>
      <c r="GH80" s="205"/>
      <c r="GI80" s="205"/>
      <c r="GJ80" s="205"/>
      <c r="GK80" s="208">
        <f t="shared" si="169"/>
        <v>0</v>
      </c>
      <c r="GL80" s="203"/>
      <c r="GM80" s="205"/>
      <c r="GN80" s="205"/>
      <c r="GO80" s="204"/>
      <c r="GP80" s="208">
        <f t="shared" si="170"/>
        <v>0</v>
      </c>
      <c r="GQ80" s="203"/>
      <c r="GR80" s="205"/>
      <c r="GS80" s="205"/>
      <c r="GT80" s="205"/>
      <c r="GU80" s="204"/>
      <c r="GV80" s="208">
        <f t="shared" si="200"/>
        <v>0</v>
      </c>
      <c r="GW80" s="203"/>
      <c r="GX80" s="205"/>
      <c r="GY80" s="205"/>
      <c r="GZ80" s="205"/>
      <c r="HA80" s="205"/>
      <c r="HB80" s="204"/>
      <c r="HC80" s="208">
        <f t="shared" si="201"/>
        <v>0</v>
      </c>
      <c r="HD80" s="208">
        <f t="shared" si="202"/>
        <v>0</v>
      </c>
      <c r="HE80" s="203"/>
      <c r="HF80" s="205"/>
      <c r="HG80" s="205"/>
      <c r="HH80" s="205"/>
      <c r="HI80" s="208">
        <f t="shared" si="203"/>
        <v>0</v>
      </c>
      <c r="HJ80" s="203"/>
      <c r="HK80" s="205"/>
      <c r="HL80" s="205"/>
      <c r="HM80" s="205"/>
      <c r="HN80" s="204"/>
      <c r="HO80" s="245">
        <f t="shared" si="204"/>
        <v>0</v>
      </c>
      <c r="HP80" s="203">
        <f>1125000+600000-2968076.667-741383.75</f>
        <v>-1984460.4169999999</v>
      </c>
      <c r="HQ80" s="205"/>
      <c r="HR80" s="205"/>
      <c r="HS80" s="205"/>
      <c r="HT80" s="204"/>
      <c r="HU80" s="208">
        <f t="shared" si="205"/>
        <v>-1984460.4169999999</v>
      </c>
      <c r="HV80" s="203"/>
      <c r="HW80" s="205"/>
      <c r="HX80" s="205"/>
      <c r="HY80" s="208">
        <f t="shared" si="171"/>
        <v>0</v>
      </c>
      <c r="HZ80" s="203"/>
      <c r="IA80" s="205"/>
      <c r="IB80" s="204"/>
      <c r="IC80" s="208">
        <f t="shared" si="206"/>
        <v>0</v>
      </c>
      <c r="ID80" s="208">
        <f t="shared" si="172"/>
        <v>-1984460.4169999999</v>
      </c>
      <c r="IE80" s="203"/>
      <c r="IF80" s="204"/>
      <c r="IG80" s="208">
        <f t="shared" si="207"/>
        <v>0</v>
      </c>
      <c r="IH80" s="203"/>
      <c r="II80" s="205"/>
      <c r="IJ80" s="205"/>
      <c r="IK80" s="205"/>
      <c r="IL80" s="204"/>
      <c r="IM80" s="208">
        <f t="shared" si="208"/>
        <v>0</v>
      </c>
      <c r="IN80" s="203"/>
      <c r="IO80" s="205">
        <f>3000000+750000-2951930-734024.167</f>
        <v>64045.832999999984</v>
      </c>
      <c r="IP80" s="204"/>
      <c r="IQ80" s="208">
        <f t="shared" si="209"/>
        <v>64045.832999999984</v>
      </c>
      <c r="IR80" s="203"/>
      <c r="IS80" s="205"/>
      <c r="IT80" s="205"/>
      <c r="IU80" s="205"/>
      <c r="IV80" s="204"/>
      <c r="IW80" s="208">
        <f t="shared" si="210"/>
        <v>0</v>
      </c>
      <c r="IX80" s="203"/>
      <c r="IY80" s="205"/>
      <c r="IZ80" s="205"/>
      <c r="JA80" s="205"/>
      <c r="JB80" s="204"/>
      <c r="JC80" s="208">
        <f t="shared" si="211"/>
        <v>0</v>
      </c>
      <c r="JD80" s="208">
        <f t="shared" si="212"/>
        <v>64045.832999999984</v>
      </c>
      <c r="JE80" s="203"/>
      <c r="JF80" s="205"/>
      <c r="JG80" s="205"/>
      <c r="JH80" s="205"/>
      <c r="JI80" s="204"/>
      <c r="JJ80" s="208">
        <f t="shared" si="213"/>
        <v>0</v>
      </c>
      <c r="JK80" s="203"/>
      <c r="JL80" s="205"/>
      <c r="JM80" s="205"/>
      <c r="JN80" s="205"/>
      <c r="JO80" s="204"/>
      <c r="JP80" s="208">
        <f t="shared" si="214"/>
        <v>0</v>
      </c>
      <c r="JQ80" s="203"/>
      <c r="JR80" s="205"/>
      <c r="JS80" s="205"/>
      <c r="JT80" s="205"/>
      <c r="JU80" s="204"/>
      <c r="JV80" s="208">
        <f t="shared" si="215"/>
        <v>0</v>
      </c>
      <c r="JW80" s="203"/>
      <c r="JX80" s="205"/>
      <c r="JY80" s="205"/>
      <c r="JZ80" s="205"/>
      <c r="KA80" s="205"/>
      <c r="KB80" s="204"/>
      <c r="KC80" s="208">
        <f t="shared" si="216"/>
        <v>0</v>
      </c>
      <c r="KD80" s="208">
        <f t="shared" si="217"/>
        <v>0</v>
      </c>
      <c r="KE80" s="203"/>
      <c r="KF80" s="205"/>
      <c r="KG80" s="205"/>
      <c r="KH80" s="205"/>
      <c r="KI80" s="204"/>
      <c r="KJ80" s="208">
        <f t="shared" si="218"/>
        <v>0</v>
      </c>
      <c r="KK80" s="203"/>
      <c r="KL80" s="205"/>
      <c r="KM80" s="205"/>
      <c r="KN80" s="205"/>
      <c r="KO80" s="204"/>
      <c r="KP80" s="208">
        <f t="shared" si="219"/>
        <v>0</v>
      </c>
      <c r="KQ80" s="203"/>
      <c r="KR80" s="205"/>
      <c r="KS80" s="205"/>
      <c r="KT80" s="205"/>
      <c r="KU80" s="204"/>
      <c r="KV80" s="208">
        <f t="shared" si="220"/>
        <v>0</v>
      </c>
      <c r="KW80" s="203"/>
      <c r="KX80" s="205"/>
      <c r="KY80" s="205"/>
      <c r="KZ80" s="205"/>
      <c r="LA80" s="204"/>
      <c r="LB80" s="208">
        <f t="shared" si="221"/>
        <v>0</v>
      </c>
      <c r="LC80" s="202"/>
      <c r="LD80" s="244"/>
      <c r="LE80" s="245"/>
      <c r="LF80" s="208">
        <f t="shared" si="222"/>
        <v>0</v>
      </c>
      <c r="LG80" s="208">
        <f t="shared" si="223"/>
        <v>0</v>
      </c>
    </row>
    <row r="81" spans="2:325" s="91" customFormat="1">
      <c r="B81" s="167" t="s">
        <v>171</v>
      </c>
      <c r="C81" s="167"/>
      <c r="D81" s="202">
        <f t="shared" si="163"/>
        <v>0</v>
      </c>
      <c r="E81" s="167"/>
      <c r="F81" s="177">
        <v>21964.566999999999</v>
      </c>
      <c r="G81" s="177"/>
      <c r="H81" s="177"/>
      <c r="I81" s="178"/>
      <c r="J81" s="202">
        <f t="shared" si="224"/>
        <v>21964.566999999999</v>
      </c>
      <c r="K81" s="167"/>
      <c r="L81" s="177"/>
      <c r="M81" s="177"/>
      <c r="N81" s="178"/>
      <c r="O81" s="202">
        <f t="shared" si="230"/>
        <v>0</v>
      </c>
      <c r="P81" s="167"/>
      <c r="Q81" s="177"/>
      <c r="R81" s="177"/>
      <c r="S81" s="177"/>
      <c r="T81" s="178"/>
      <c r="U81" s="202">
        <f t="shared" si="173"/>
        <v>0</v>
      </c>
      <c r="V81" s="167"/>
      <c r="W81" s="177"/>
      <c r="X81" s="177"/>
      <c r="Y81" s="177"/>
      <c r="Z81" s="177"/>
      <c r="AA81" s="208">
        <f t="shared" si="174"/>
        <v>0</v>
      </c>
      <c r="AB81" s="208">
        <f t="shared" si="226"/>
        <v>21964.566999999999</v>
      </c>
      <c r="AC81" s="203">
        <v>7.08</v>
      </c>
      <c r="AD81" s="205"/>
      <c r="AE81" s="205"/>
      <c r="AF81" s="205"/>
      <c r="AG81" s="204"/>
      <c r="AH81" s="208">
        <f t="shared" si="227"/>
        <v>7.08</v>
      </c>
      <c r="AI81" s="203"/>
      <c r="AJ81" s="205"/>
      <c r="AK81" s="205"/>
      <c r="AL81" s="205"/>
      <c r="AM81" s="204"/>
      <c r="AN81" s="208">
        <f t="shared" si="175"/>
        <v>0</v>
      </c>
      <c r="AO81" s="203"/>
      <c r="AP81" s="205"/>
      <c r="AQ81" s="205"/>
      <c r="AR81" s="205"/>
      <c r="AS81" s="204"/>
      <c r="AT81" s="208">
        <f t="shared" si="176"/>
        <v>0</v>
      </c>
      <c r="AU81" s="203"/>
      <c r="AV81" s="205"/>
      <c r="AW81" s="205"/>
      <c r="AX81" s="205"/>
      <c r="AY81" s="204"/>
      <c r="AZ81" s="208">
        <f t="shared" si="177"/>
        <v>0</v>
      </c>
      <c r="BA81" s="208">
        <f t="shared" si="178"/>
        <v>7.08</v>
      </c>
      <c r="BB81" s="203"/>
      <c r="BC81" s="205"/>
      <c r="BD81" s="205"/>
      <c r="BE81" s="205"/>
      <c r="BF81" s="204"/>
      <c r="BG81" s="208">
        <f t="shared" si="179"/>
        <v>0</v>
      </c>
      <c r="BH81" s="203"/>
      <c r="BI81" s="205"/>
      <c r="BJ81" s="205"/>
      <c r="BK81" s="205"/>
      <c r="BL81" s="204"/>
      <c r="BM81" s="208">
        <f t="shared" si="164"/>
        <v>0</v>
      </c>
      <c r="BN81" s="203"/>
      <c r="BO81" s="205"/>
      <c r="BP81" s="205"/>
      <c r="BQ81" s="204"/>
      <c r="BR81" s="208">
        <f t="shared" si="180"/>
        <v>0</v>
      </c>
      <c r="BS81" s="203"/>
      <c r="BT81" s="205"/>
      <c r="BU81" s="205"/>
      <c r="BV81" s="205"/>
      <c r="BW81" s="204"/>
      <c r="BX81" s="208">
        <f t="shared" si="181"/>
        <v>0</v>
      </c>
      <c r="BY81" s="203"/>
      <c r="BZ81" s="205"/>
      <c r="CA81" s="208">
        <f t="shared" si="182"/>
        <v>0</v>
      </c>
      <c r="CB81" s="208">
        <f t="shared" si="183"/>
        <v>0</v>
      </c>
      <c r="CC81" s="203"/>
      <c r="CD81" s="205"/>
      <c r="CE81" s="205"/>
      <c r="CF81" s="208">
        <f t="shared" si="228"/>
        <v>0</v>
      </c>
      <c r="CG81" s="203">
        <v>29178.728999999999</v>
      </c>
      <c r="CH81" s="205"/>
      <c r="CI81" s="205"/>
      <c r="CJ81" s="204">
        <v>23.6</v>
      </c>
      <c r="CK81" s="208">
        <f t="shared" si="184"/>
        <v>29202.328999999998</v>
      </c>
      <c r="CL81" s="203"/>
      <c r="CM81" s="205"/>
      <c r="CN81" s="205"/>
      <c r="CO81" s="205"/>
      <c r="CP81" s="204"/>
      <c r="CQ81" s="208">
        <f t="shared" si="185"/>
        <v>0</v>
      </c>
      <c r="CR81" s="203"/>
      <c r="CS81" s="205"/>
      <c r="CT81" s="205"/>
      <c r="CU81" s="205"/>
      <c r="CV81" s="204"/>
      <c r="CW81" s="208">
        <f t="shared" si="186"/>
        <v>0</v>
      </c>
      <c r="CX81" s="203"/>
      <c r="CY81" s="205"/>
      <c r="CZ81" s="205"/>
      <c r="DA81" s="204"/>
      <c r="DB81" s="208">
        <f t="shared" si="187"/>
        <v>0</v>
      </c>
      <c r="DC81" s="208">
        <f t="shared" si="229"/>
        <v>29202.328999999998</v>
      </c>
      <c r="DD81" s="203"/>
      <c r="DE81" s="205"/>
      <c r="DF81" s="205"/>
      <c r="DG81" s="205"/>
      <c r="DH81" s="205"/>
      <c r="DI81" s="208">
        <f t="shared" si="188"/>
        <v>0</v>
      </c>
      <c r="DJ81" s="203"/>
      <c r="DK81" s="205"/>
      <c r="DL81" s="205"/>
      <c r="DM81" s="205"/>
      <c r="DN81" s="204"/>
      <c r="DO81" s="208">
        <f t="shared" si="189"/>
        <v>0</v>
      </c>
      <c r="DP81" s="203"/>
      <c r="DQ81" s="205"/>
      <c r="DR81" s="205"/>
      <c r="DS81" s="205"/>
      <c r="DT81" s="204"/>
      <c r="DU81" s="245">
        <f t="shared" si="190"/>
        <v>0</v>
      </c>
      <c r="DV81" s="203"/>
      <c r="DW81" s="205"/>
      <c r="DX81" s="205"/>
      <c r="DY81" s="205"/>
      <c r="DZ81" s="204"/>
      <c r="EA81" s="208">
        <f t="shared" si="191"/>
        <v>0</v>
      </c>
      <c r="EB81" s="208">
        <f t="shared" si="192"/>
        <v>0</v>
      </c>
      <c r="EC81" s="203">
        <v>118</v>
      </c>
      <c r="ED81" s="205"/>
      <c r="EE81" s="205"/>
      <c r="EF81" s="205"/>
      <c r="EG81" s="204"/>
      <c r="EH81" s="208">
        <f t="shared" si="193"/>
        <v>118</v>
      </c>
      <c r="EI81" s="203"/>
      <c r="EJ81" s="205"/>
      <c r="EK81" s="205"/>
      <c r="EL81" s="205"/>
      <c r="EM81" s="204"/>
      <c r="EN81" s="208">
        <f t="shared" si="194"/>
        <v>0</v>
      </c>
      <c r="EO81" s="203"/>
      <c r="EP81" s="205"/>
      <c r="EQ81" s="205"/>
      <c r="ER81" s="205"/>
      <c r="ES81" s="204"/>
      <c r="ET81" s="308">
        <f t="shared" si="195"/>
        <v>0</v>
      </c>
      <c r="EU81" s="203"/>
      <c r="EV81" s="205"/>
      <c r="EW81" s="205"/>
      <c r="EX81" s="205"/>
      <c r="EY81" s="205"/>
      <c r="EZ81" s="205"/>
      <c r="FA81" s="204"/>
      <c r="FB81" s="208">
        <f t="shared" si="196"/>
        <v>0</v>
      </c>
      <c r="FC81" s="208">
        <f t="shared" si="197"/>
        <v>118</v>
      </c>
      <c r="FD81" s="203"/>
      <c r="FE81" s="205"/>
      <c r="FF81" s="204">
        <v>23.6</v>
      </c>
      <c r="FG81" s="208">
        <f t="shared" si="198"/>
        <v>23.6</v>
      </c>
      <c r="FH81" s="203">
        <v>37280.733</v>
      </c>
      <c r="FI81" s="205"/>
      <c r="FJ81" s="205"/>
      <c r="FK81" s="205"/>
      <c r="FL81" s="204"/>
      <c r="FM81" s="208">
        <f t="shared" si="199"/>
        <v>37280.733</v>
      </c>
      <c r="FN81" s="203"/>
      <c r="FO81" s="205"/>
      <c r="FP81" s="205"/>
      <c r="FQ81" s="205"/>
      <c r="FR81" s="208">
        <f t="shared" si="165"/>
        <v>0</v>
      </c>
      <c r="FS81" s="203"/>
      <c r="FT81" s="205"/>
      <c r="FU81" s="205"/>
      <c r="FV81" s="205"/>
      <c r="FW81" s="204"/>
      <c r="FX81" s="208">
        <f t="shared" si="166"/>
        <v>0</v>
      </c>
      <c r="FY81" s="203"/>
      <c r="FZ81" s="205"/>
      <c r="GA81" s="205"/>
      <c r="GB81" s="205"/>
      <c r="GC81" s="204"/>
      <c r="GD81" s="208">
        <f t="shared" si="167"/>
        <v>0</v>
      </c>
      <c r="GE81" s="208">
        <f t="shared" si="168"/>
        <v>37304.332999999999</v>
      </c>
      <c r="GF81" s="203"/>
      <c r="GG81" s="205"/>
      <c r="GH81" s="205"/>
      <c r="GI81" s="205"/>
      <c r="GJ81" s="205"/>
      <c r="GK81" s="208">
        <f t="shared" si="169"/>
        <v>0</v>
      </c>
      <c r="GL81" s="203"/>
      <c r="GM81" s="205"/>
      <c r="GN81" s="205"/>
      <c r="GO81" s="204"/>
      <c r="GP81" s="208">
        <f t="shared" si="170"/>
        <v>0</v>
      </c>
      <c r="GQ81" s="203"/>
      <c r="GR81" s="205"/>
      <c r="GS81" s="205"/>
      <c r="GT81" s="205"/>
      <c r="GU81" s="204"/>
      <c r="GV81" s="208">
        <f t="shared" si="200"/>
        <v>0</v>
      </c>
      <c r="GW81" s="203"/>
      <c r="GX81" s="205"/>
      <c r="GY81" s="205"/>
      <c r="GZ81" s="205"/>
      <c r="HA81" s="205"/>
      <c r="HB81" s="204"/>
      <c r="HC81" s="208">
        <f t="shared" si="201"/>
        <v>0</v>
      </c>
      <c r="HD81" s="208">
        <f t="shared" si="202"/>
        <v>0</v>
      </c>
      <c r="HE81" s="203"/>
      <c r="HF81" s="205"/>
      <c r="HG81" s="205"/>
      <c r="HH81" s="205"/>
      <c r="HI81" s="208">
        <f t="shared" si="203"/>
        <v>0</v>
      </c>
      <c r="HJ81" s="203"/>
      <c r="HK81" s="205"/>
      <c r="HL81" s="205"/>
      <c r="HM81" s="205"/>
      <c r="HN81" s="204"/>
      <c r="HO81" s="245">
        <f t="shared" si="204"/>
        <v>0</v>
      </c>
      <c r="HP81" s="203"/>
      <c r="HQ81" s="205"/>
      <c r="HR81" s="205"/>
      <c r="HS81" s="205"/>
      <c r="HT81" s="204"/>
      <c r="HU81" s="208">
        <f t="shared" si="205"/>
        <v>0</v>
      </c>
      <c r="HV81" s="203"/>
      <c r="HW81" s="205"/>
      <c r="HX81" s="205"/>
      <c r="HY81" s="208">
        <f t="shared" si="171"/>
        <v>0</v>
      </c>
      <c r="HZ81" s="203"/>
      <c r="IA81" s="205"/>
      <c r="IB81" s="204"/>
      <c r="IC81" s="208">
        <f t="shared" si="206"/>
        <v>0</v>
      </c>
      <c r="ID81" s="208">
        <f t="shared" si="172"/>
        <v>0</v>
      </c>
      <c r="IE81" s="203"/>
      <c r="IF81" s="204"/>
      <c r="IG81" s="208">
        <f t="shared" si="207"/>
        <v>0</v>
      </c>
      <c r="IH81" s="203">
        <v>41984.05</v>
      </c>
      <c r="II81" s="205"/>
      <c r="IJ81" s="205"/>
      <c r="IK81" s="205"/>
      <c r="IL81" s="204"/>
      <c r="IM81" s="208">
        <f t="shared" si="208"/>
        <v>41984.05</v>
      </c>
      <c r="IN81" s="203"/>
      <c r="IO81" s="205"/>
      <c r="IP81" s="204"/>
      <c r="IQ81" s="208">
        <f t="shared" si="209"/>
        <v>0</v>
      </c>
      <c r="IR81" s="203"/>
      <c r="IS81" s="205"/>
      <c r="IT81" s="205"/>
      <c r="IU81" s="205"/>
      <c r="IV81" s="204"/>
      <c r="IW81" s="208">
        <f t="shared" si="210"/>
        <v>0</v>
      </c>
      <c r="IX81" s="203"/>
      <c r="IY81" s="205"/>
      <c r="IZ81" s="205">
        <f>2182.717+361.667</f>
        <v>2544.384</v>
      </c>
      <c r="JA81" s="205"/>
      <c r="JB81" s="204"/>
      <c r="JC81" s="208">
        <f t="shared" si="211"/>
        <v>2544.384</v>
      </c>
      <c r="JD81" s="208">
        <f t="shared" si="212"/>
        <v>44528.434000000001</v>
      </c>
      <c r="JE81" s="203"/>
      <c r="JF81" s="205"/>
      <c r="JG81" s="205"/>
      <c r="JH81" s="205"/>
      <c r="JI81" s="204"/>
      <c r="JJ81" s="208">
        <f t="shared" si="213"/>
        <v>0</v>
      </c>
      <c r="JK81" s="203"/>
      <c r="JL81" s="205"/>
      <c r="JM81" s="205"/>
      <c r="JN81" s="205"/>
      <c r="JO81" s="204"/>
      <c r="JP81" s="208">
        <f t="shared" si="214"/>
        <v>0</v>
      </c>
      <c r="JQ81" s="203"/>
      <c r="JR81" s="205"/>
      <c r="JS81" s="205"/>
      <c r="JT81" s="205"/>
      <c r="JU81" s="204"/>
      <c r="JV81" s="208">
        <f t="shared" si="215"/>
        <v>0</v>
      </c>
      <c r="JW81" s="203"/>
      <c r="JX81" s="205"/>
      <c r="JY81" s="205"/>
      <c r="JZ81" s="205"/>
      <c r="KA81" s="205"/>
      <c r="KB81" s="204"/>
      <c r="KC81" s="208">
        <f t="shared" si="216"/>
        <v>0</v>
      </c>
      <c r="KD81" s="208">
        <f t="shared" si="217"/>
        <v>0</v>
      </c>
      <c r="KE81" s="203"/>
      <c r="KF81" s="205"/>
      <c r="KG81" s="205"/>
      <c r="KH81" s="205"/>
      <c r="KI81" s="204"/>
      <c r="KJ81" s="208">
        <f t="shared" si="218"/>
        <v>0</v>
      </c>
      <c r="KK81" s="203"/>
      <c r="KL81" s="205"/>
      <c r="KM81" s="205"/>
      <c r="KN81" s="205"/>
      <c r="KO81" s="204"/>
      <c r="KP81" s="208">
        <f t="shared" si="219"/>
        <v>0</v>
      </c>
      <c r="KQ81" s="203"/>
      <c r="KR81" s="205"/>
      <c r="KS81" s="205"/>
      <c r="KT81" s="205"/>
      <c r="KU81" s="204"/>
      <c r="KV81" s="208">
        <f t="shared" si="220"/>
        <v>0</v>
      </c>
      <c r="KW81" s="203"/>
      <c r="KX81" s="205"/>
      <c r="KY81" s="205"/>
      <c r="KZ81" s="205"/>
      <c r="LA81" s="204"/>
      <c r="LB81" s="208">
        <f t="shared" si="221"/>
        <v>0</v>
      </c>
      <c r="LC81" s="202"/>
      <c r="LD81" s="244"/>
      <c r="LE81" s="245"/>
      <c r="LF81" s="208">
        <f t="shared" si="222"/>
        <v>0</v>
      </c>
      <c r="LG81" s="208">
        <f t="shared" si="223"/>
        <v>0</v>
      </c>
      <c r="LM81" s="16"/>
    </row>
    <row r="82" spans="2:325" s="91" customFormat="1">
      <c r="B82" s="93" t="s">
        <v>386</v>
      </c>
      <c r="C82" s="167"/>
      <c r="D82" s="202">
        <f t="shared" si="163"/>
        <v>0</v>
      </c>
      <c r="E82" s="167"/>
      <c r="F82" s="177">
        <v>421.14299999999997</v>
      </c>
      <c r="G82" s="177"/>
      <c r="H82" s="177"/>
      <c r="I82" s="178"/>
      <c r="J82" s="202">
        <f t="shared" si="224"/>
        <v>421.14299999999997</v>
      </c>
      <c r="K82" s="167"/>
      <c r="L82" s="177"/>
      <c r="M82" s="177"/>
      <c r="N82" s="178"/>
      <c r="O82" s="202">
        <f t="shared" si="230"/>
        <v>0</v>
      </c>
      <c r="P82" s="167"/>
      <c r="Q82" s="177"/>
      <c r="R82" s="177"/>
      <c r="S82" s="177"/>
      <c r="T82" s="178"/>
      <c r="U82" s="202">
        <f t="shared" si="173"/>
        <v>0</v>
      </c>
      <c r="V82" s="167"/>
      <c r="W82" s="177"/>
      <c r="X82" s="177"/>
      <c r="Y82" s="177"/>
      <c r="Z82" s="177"/>
      <c r="AA82" s="208">
        <f t="shared" si="174"/>
        <v>0</v>
      </c>
      <c r="AB82" s="208">
        <f t="shared" si="226"/>
        <v>421.14299999999997</v>
      </c>
      <c r="AC82" s="203"/>
      <c r="AD82" s="205"/>
      <c r="AE82" s="205"/>
      <c r="AF82" s="205"/>
      <c r="AG82" s="204"/>
      <c r="AH82" s="208">
        <f t="shared" si="227"/>
        <v>0</v>
      </c>
      <c r="AI82" s="203"/>
      <c r="AJ82" s="205"/>
      <c r="AK82" s="205"/>
      <c r="AL82" s="205"/>
      <c r="AM82" s="204"/>
      <c r="AN82" s="208">
        <f t="shared" si="175"/>
        <v>0</v>
      </c>
      <c r="AO82" s="203"/>
      <c r="AP82" s="205"/>
      <c r="AQ82" s="205"/>
      <c r="AR82" s="205"/>
      <c r="AS82" s="204"/>
      <c r="AT82" s="208">
        <f t="shared" si="176"/>
        <v>0</v>
      </c>
      <c r="AU82" s="203"/>
      <c r="AV82" s="205"/>
      <c r="AW82" s="205"/>
      <c r="AX82" s="205"/>
      <c r="AY82" s="204"/>
      <c r="AZ82" s="208">
        <f t="shared" si="177"/>
        <v>0</v>
      </c>
      <c r="BA82" s="208">
        <f t="shared" si="178"/>
        <v>0</v>
      </c>
      <c r="BB82" s="203"/>
      <c r="BC82" s="205"/>
      <c r="BD82" s="205"/>
      <c r="BE82" s="205"/>
      <c r="BF82" s="204"/>
      <c r="BG82" s="208">
        <f t="shared" si="179"/>
        <v>0</v>
      </c>
      <c r="BH82" s="203"/>
      <c r="BI82" s="205"/>
      <c r="BJ82" s="205"/>
      <c r="BK82" s="205"/>
      <c r="BL82" s="204"/>
      <c r="BM82" s="208">
        <f t="shared" si="164"/>
        <v>0</v>
      </c>
      <c r="BN82" s="203"/>
      <c r="BO82" s="205"/>
      <c r="BP82" s="205"/>
      <c r="BQ82" s="204"/>
      <c r="BR82" s="208">
        <f t="shared" si="180"/>
        <v>0</v>
      </c>
      <c r="BS82" s="203"/>
      <c r="BT82" s="205"/>
      <c r="BU82" s="205"/>
      <c r="BV82" s="205"/>
      <c r="BW82" s="204"/>
      <c r="BX82" s="208">
        <f t="shared" si="181"/>
        <v>0</v>
      </c>
      <c r="BY82" s="203"/>
      <c r="BZ82" s="205"/>
      <c r="CA82" s="208">
        <f t="shared" si="182"/>
        <v>0</v>
      </c>
      <c r="CB82" s="208">
        <f t="shared" si="183"/>
        <v>0</v>
      </c>
      <c r="CC82" s="203"/>
      <c r="CD82" s="205"/>
      <c r="CE82" s="205"/>
      <c r="CF82" s="208">
        <f t="shared" si="228"/>
        <v>0</v>
      </c>
      <c r="CG82" s="203">
        <v>1177.673</v>
      </c>
      <c r="CH82" s="205"/>
      <c r="CI82" s="205"/>
      <c r="CJ82" s="204"/>
      <c r="CK82" s="208">
        <f t="shared" si="184"/>
        <v>1177.673</v>
      </c>
      <c r="CL82" s="203"/>
      <c r="CM82" s="205"/>
      <c r="CN82" s="205"/>
      <c r="CO82" s="205"/>
      <c r="CP82" s="204"/>
      <c r="CQ82" s="208">
        <f t="shared" si="185"/>
        <v>0</v>
      </c>
      <c r="CR82" s="203"/>
      <c r="CS82" s="205"/>
      <c r="CT82" s="205"/>
      <c r="CU82" s="205"/>
      <c r="CV82" s="204"/>
      <c r="CW82" s="208">
        <f t="shared" si="186"/>
        <v>0</v>
      </c>
      <c r="CX82" s="203"/>
      <c r="CY82" s="205"/>
      <c r="CZ82" s="205"/>
      <c r="DA82" s="204"/>
      <c r="DB82" s="208">
        <f t="shared" si="187"/>
        <v>0</v>
      </c>
      <c r="DC82" s="208">
        <f t="shared" si="229"/>
        <v>1177.673</v>
      </c>
      <c r="DD82" s="203"/>
      <c r="DE82" s="205"/>
      <c r="DF82" s="205"/>
      <c r="DG82" s="205"/>
      <c r="DH82" s="205"/>
      <c r="DI82" s="208">
        <f t="shared" si="188"/>
        <v>0</v>
      </c>
      <c r="DJ82" s="203"/>
      <c r="DK82" s="205"/>
      <c r="DL82" s="205"/>
      <c r="DM82" s="205"/>
      <c r="DN82" s="204"/>
      <c r="DO82" s="208">
        <f t="shared" si="189"/>
        <v>0</v>
      </c>
      <c r="DP82" s="203"/>
      <c r="DQ82" s="205"/>
      <c r="DR82" s="205"/>
      <c r="DS82" s="205"/>
      <c r="DT82" s="204"/>
      <c r="DU82" s="245">
        <f t="shared" si="190"/>
        <v>0</v>
      </c>
      <c r="DV82" s="203"/>
      <c r="DW82" s="205"/>
      <c r="DX82" s="205"/>
      <c r="DY82" s="205"/>
      <c r="DZ82" s="204"/>
      <c r="EA82" s="208">
        <f t="shared" si="191"/>
        <v>0</v>
      </c>
      <c r="EB82" s="208">
        <f t="shared" si="192"/>
        <v>0</v>
      </c>
      <c r="EC82" s="203"/>
      <c r="ED82" s="205"/>
      <c r="EE82" s="205"/>
      <c r="EF82" s="205"/>
      <c r="EG82" s="204"/>
      <c r="EH82" s="208">
        <f t="shared" si="193"/>
        <v>0</v>
      </c>
      <c r="EI82" s="203"/>
      <c r="EJ82" s="205"/>
      <c r="EK82" s="205"/>
      <c r="EL82" s="205"/>
      <c r="EM82" s="204"/>
      <c r="EN82" s="208">
        <f t="shared" si="194"/>
        <v>0</v>
      </c>
      <c r="EO82" s="203"/>
      <c r="EP82" s="205"/>
      <c r="EQ82" s="205"/>
      <c r="ER82" s="205"/>
      <c r="ES82" s="204"/>
      <c r="ET82" s="308">
        <f t="shared" si="195"/>
        <v>0</v>
      </c>
      <c r="EU82" s="203"/>
      <c r="EV82" s="205"/>
      <c r="EW82" s="205"/>
      <c r="EX82" s="205"/>
      <c r="EY82" s="205"/>
      <c r="EZ82" s="205"/>
      <c r="FA82" s="204"/>
      <c r="FB82" s="208">
        <f t="shared" si="196"/>
        <v>0</v>
      </c>
      <c r="FC82" s="208">
        <f t="shared" si="197"/>
        <v>0</v>
      </c>
      <c r="FD82" s="203"/>
      <c r="FE82" s="205"/>
      <c r="FF82" s="204"/>
      <c r="FG82" s="208">
        <f t="shared" si="198"/>
        <v>0</v>
      </c>
      <c r="FH82" s="203">
        <v>2238.0859999999998</v>
      </c>
      <c r="FI82" s="205"/>
      <c r="FJ82" s="205"/>
      <c r="FK82" s="205"/>
      <c r="FL82" s="204"/>
      <c r="FM82" s="208">
        <f t="shared" si="199"/>
        <v>2238.0859999999998</v>
      </c>
      <c r="FN82" s="203"/>
      <c r="FO82" s="205"/>
      <c r="FP82" s="205"/>
      <c r="FQ82" s="205"/>
      <c r="FR82" s="208">
        <f t="shared" si="165"/>
        <v>0</v>
      </c>
      <c r="FS82" s="203"/>
      <c r="FT82" s="205"/>
      <c r="FU82" s="205"/>
      <c r="FV82" s="205"/>
      <c r="FW82" s="204"/>
      <c r="FX82" s="208">
        <f t="shared" si="166"/>
        <v>0</v>
      </c>
      <c r="FY82" s="203"/>
      <c r="FZ82" s="205"/>
      <c r="GA82" s="205"/>
      <c r="GB82" s="205"/>
      <c r="GC82" s="204"/>
      <c r="GD82" s="208">
        <f t="shared" si="167"/>
        <v>0</v>
      </c>
      <c r="GE82" s="208">
        <f t="shared" si="168"/>
        <v>2238.0859999999998</v>
      </c>
      <c r="GF82" s="203"/>
      <c r="GG82" s="205"/>
      <c r="GH82" s="205"/>
      <c r="GI82" s="205"/>
      <c r="GJ82" s="205"/>
      <c r="GK82" s="208">
        <f t="shared" si="169"/>
        <v>0</v>
      </c>
      <c r="GL82" s="203"/>
      <c r="GM82" s="205"/>
      <c r="GN82" s="205"/>
      <c r="GO82" s="204"/>
      <c r="GP82" s="208">
        <f t="shared" si="170"/>
        <v>0</v>
      </c>
      <c r="GQ82" s="203"/>
      <c r="GR82" s="205"/>
      <c r="GS82" s="205"/>
      <c r="GT82" s="205"/>
      <c r="GU82" s="204"/>
      <c r="GV82" s="208">
        <f t="shared" si="200"/>
        <v>0</v>
      </c>
      <c r="GW82" s="203"/>
      <c r="GX82" s="205"/>
      <c r="GY82" s="205"/>
      <c r="GZ82" s="205"/>
      <c r="HA82" s="205"/>
      <c r="HB82" s="204"/>
      <c r="HC82" s="208">
        <f t="shared" si="201"/>
        <v>0</v>
      </c>
      <c r="HD82" s="208">
        <f t="shared" si="202"/>
        <v>0</v>
      </c>
      <c r="HE82" s="203"/>
      <c r="HF82" s="205"/>
      <c r="HG82" s="205"/>
      <c r="HH82" s="205"/>
      <c r="HI82" s="208">
        <f t="shared" si="203"/>
        <v>0</v>
      </c>
      <c r="HJ82" s="203"/>
      <c r="HK82" s="205"/>
      <c r="HL82" s="205"/>
      <c r="HM82" s="205"/>
      <c r="HN82" s="204"/>
      <c r="HO82" s="245">
        <f t="shared" si="204"/>
        <v>0</v>
      </c>
      <c r="HP82" s="203"/>
      <c r="HQ82" s="205"/>
      <c r="HR82" s="205"/>
      <c r="HS82" s="205"/>
      <c r="HT82" s="204"/>
      <c r="HU82" s="208">
        <f t="shared" si="205"/>
        <v>0</v>
      </c>
      <c r="HV82" s="203"/>
      <c r="HW82" s="205"/>
      <c r="HX82" s="205"/>
      <c r="HY82" s="208">
        <f t="shared" si="171"/>
        <v>0</v>
      </c>
      <c r="HZ82" s="203"/>
      <c r="IA82" s="205"/>
      <c r="IB82" s="204"/>
      <c r="IC82" s="208">
        <f t="shared" si="206"/>
        <v>0</v>
      </c>
      <c r="ID82" s="208">
        <f t="shared" si="172"/>
        <v>0</v>
      </c>
      <c r="IE82" s="203"/>
      <c r="IF82" s="204"/>
      <c r="IG82" s="208">
        <f t="shared" si="207"/>
        <v>0</v>
      </c>
      <c r="IH82" s="203">
        <v>1542.2159999999999</v>
      </c>
      <c r="II82" s="205"/>
      <c r="IJ82" s="205"/>
      <c r="IK82" s="205"/>
      <c r="IL82" s="204"/>
      <c r="IM82" s="208">
        <f t="shared" si="208"/>
        <v>1542.2159999999999</v>
      </c>
      <c r="IN82" s="203"/>
      <c r="IO82" s="205"/>
      <c r="IP82" s="204"/>
      <c r="IQ82" s="208">
        <f t="shared" si="209"/>
        <v>0</v>
      </c>
      <c r="IR82" s="203"/>
      <c r="IS82" s="205"/>
      <c r="IT82" s="205"/>
      <c r="IU82" s="205"/>
      <c r="IV82" s="204"/>
      <c r="IW82" s="208">
        <f t="shared" si="210"/>
        <v>0</v>
      </c>
      <c r="IX82" s="203"/>
      <c r="IY82" s="205"/>
      <c r="IZ82" s="205"/>
      <c r="JA82" s="205"/>
      <c r="JB82" s="204"/>
      <c r="JC82" s="208">
        <f t="shared" si="211"/>
        <v>0</v>
      </c>
      <c r="JD82" s="208">
        <f t="shared" si="212"/>
        <v>1542.2159999999999</v>
      </c>
      <c r="JE82" s="203"/>
      <c r="JF82" s="205"/>
      <c r="JG82" s="205"/>
      <c r="JH82" s="205"/>
      <c r="JI82" s="204"/>
      <c r="JJ82" s="208">
        <f t="shared" si="213"/>
        <v>0</v>
      </c>
      <c r="JK82" s="203"/>
      <c r="JL82" s="205"/>
      <c r="JM82" s="205"/>
      <c r="JN82" s="205"/>
      <c r="JO82" s="204"/>
      <c r="JP82" s="208">
        <f t="shared" si="214"/>
        <v>0</v>
      </c>
      <c r="JQ82" s="203"/>
      <c r="JR82" s="205"/>
      <c r="JS82" s="205"/>
      <c r="JT82" s="205"/>
      <c r="JU82" s="204"/>
      <c r="JV82" s="208">
        <f t="shared" si="215"/>
        <v>0</v>
      </c>
      <c r="JW82" s="203"/>
      <c r="JX82" s="205"/>
      <c r="JY82" s="205"/>
      <c r="JZ82" s="205"/>
      <c r="KA82" s="205"/>
      <c r="KB82" s="204"/>
      <c r="KC82" s="208">
        <f t="shared" si="216"/>
        <v>0</v>
      </c>
      <c r="KD82" s="208">
        <f t="shared" si="217"/>
        <v>0</v>
      </c>
      <c r="KE82" s="203"/>
      <c r="KF82" s="205"/>
      <c r="KG82" s="205"/>
      <c r="KH82" s="205"/>
      <c r="KI82" s="204"/>
      <c r="KJ82" s="208">
        <f t="shared" si="218"/>
        <v>0</v>
      </c>
      <c r="KK82" s="203"/>
      <c r="KL82" s="205"/>
      <c r="KM82" s="205"/>
      <c r="KN82" s="205"/>
      <c r="KO82" s="204"/>
      <c r="KP82" s="208">
        <f t="shared" si="219"/>
        <v>0</v>
      </c>
      <c r="KQ82" s="203"/>
      <c r="KR82" s="205"/>
      <c r="KS82" s="205"/>
      <c r="KT82" s="205"/>
      <c r="KU82" s="204"/>
      <c r="KV82" s="208">
        <f t="shared" si="220"/>
        <v>0</v>
      </c>
      <c r="KW82" s="203"/>
      <c r="KX82" s="205"/>
      <c r="KY82" s="205"/>
      <c r="KZ82" s="205"/>
      <c r="LA82" s="204"/>
      <c r="LB82" s="208">
        <f t="shared" si="221"/>
        <v>0</v>
      </c>
      <c r="LC82" s="202"/>
      <c r="LD82" s="244"/>
      <c r="LE82" s="245"/>
      <c r="LF82" s="208">
        <f t="shared" si="222"/>
        <v>0</v>
      </c>
      <c r="LG82" s="208">
        <f t="shared" si="223"/>
        <v>0</v>
      </c>
      <c r="LM82" s="16"/>
    </row>
    <row r="83" spans="2:325" s="91" customFormat="1">
      <c r="B83" s="93" t="s">
        <v>376</v>
      </c>
      <c r="C83" s="167"/>
      <c r="D83" s="202">
        <f t="shared" si="163"/>
        <v>0</v>
      </c>
      <c r="E83" s="167"/>
      <c r="F83" s="177"/>
      <c r="G83" s="177"/>
      <c r="H83" s="177"/>
      <c r="I83" s="178"/>
      <c r="J83" s="202">
        <f t="shared" si="224"/>
        <v>0</v>
      </c>
      <c r="K83" s="167"/>
      <c r="L83" s="177"/>
      <c r="M83" s="177"/>
      <c r="N83" s="178">
        <v>0.5</v>
      </c>
      <c r="O83" s="202">
        <f t="shared" si="230"/>
        <v>0.5</v>
      </c>
      <c r="P83" s="167"/>
      <c r="Q83" s="177"/>
      <c r="R83" s="177"/>
      <c r="S83" s="177"/>
      <c r="T83" s="178"/>
      <c r="U83" s="202">
        <f t="shared" si="173"/>
        <v>0</v>
      </c>
      <c r="V83" s="167"/>
      <c r="W83" s="177"/>
      <c r="X83" s="177"/>
      <c r="Y83" s="177"/>
      <c r="Z83" s="177"/>
      <c r="AA83" s="208">
        <f t="shared" si="174"/>
        <v>0</v>
      </c>
      <c r="AB83" s="208">
        <f t="shared" si="226"/>
        <v>0.5</v>
      </c>
      <c r="AC83" s="203"/>
      <c r="AD83" s="205"/>
      <c r="AE83" s="205"/>
      <c r="AF83" s="205">
        <v>0.5</v>
      </c>
      <c r="AG83" s="204"/>
      <c r="AH83" s="208">
        <f t="shared" si="227"/>
        <v>0.5</v>
      </c>
      <c r="AI83" s="203"/>
      <c r="AJ83" s="205"/>
      <c r="AK83" s="205"/>
      <c r="AL83" s="205"/>
      <c r="AM83" s="204"/>
      <c r="AN83" s="208">
        <f t="shared" si="175"/>
        <v>0</v>
      </c>
      <c r="AO83" s="203"/>
      <c r="AP83" s="205"/>
      <c r="AQ83" s="205"/>
      <c r="AR83" s="205"/>
      <c r="AS83" s="204"/>
      <c r="AT83" s="208">
        <f t="shared" si="176"/>
        <v>0</v>
      </c>
      <c r="AU83" s="203"/>
      <c r="AV83" s="205"/>
      <c r="AW83" s="205"/>
      <c r="AX83" s="205"/>
      <c r="AY83" s="204"/>
      <c r="AZ83" s="208">
        <f t="shared" si="177"/>
        <v>0</v>
      </c>
      <c r="BA83" s="208">
        <f t="shared" si="178"/>
        <v>0.5</v>
      </c>
      <c r="BB83" s="203"/>
      <c r="BC83" s="205"/>
      <c r="BD83" s="205"/>
      <c r="BE83" s="205"/>
      <c r="BF83" s="204"/>
      <c r="BG83" s="208">
        <f t="shared" si="179"/>
        <v>0</v>
      </c>
      <c r="BH83" s="203"/>
      <c r="BI83" s="205"/>
      <c r="BJ83" s="205">
        <v>0.5</v>
      </c>
      <c r="BK83" s="205">
        <v>0.5</v>
      </c>
      <c r="BL83" s="204"/>
      <c r="BM83" s="208">
        <f t="shared" si="164"/>
        <v>1</v>
      </c>
      <c r="BN83" s="203"/>
      <c r="BO83" s="205"/>
      <c r="BP83" s="205"/>
      <c r="BQ83" s="204"/>
      <c r="BR83" s="208">
        <f t="shared" si="180"/>
        <v>0</v>
      </c>
      <c r="BS83" s="203"/>
      <c r="BT83" s="205"/>
      <c r="BU83" s="205">
        <v>0.5</v>
      </c>
      <c r="BV83" s="205"/>
      <c r="BW83" s="204">
        <v>0.5</v>
      </c>
      <c r="BX83" s="208">
        <f t="shared" si="181"/>
        <v>1</v>
      </c>
      <c r="BY83" s="203"/>
      <c r="BZ83" s="205"/>
      <c r="CA83" s="208">
        <f t="shared" si="182"/>
        <v>0</v>
      </c>
      <c r="CB83" s="208">
        <f t="shared" si="183"/>
        <v>2</v>
      </c>
      <c r="CC83" s="203"/>
      <c r="CD83" s="205"/>
      <c r="CE83" s="205"/>
      <c r="CF83" s="208">
        <f t="shared" si="228"/>
        <v>0</v>
      </c>
      <c r="CG83" s="203"/>
      <c r="CH83" s="205"/>
      <c r="CI83" s="205"/>
      <c r="CJ83" s="204"/>
      <c r="CK83" s="208">
        <f t="shared" si="184"/>
        <v>0</v>
      </c>
      <c r="CL83" s="203"/>
      <c r="CM83" s="205"/>
      <c r="CN83" s="205">
        <v>1</v>
      </c>
      <c r="CO83" s="205"/>
      <c r="CP83" s="204"/>
      <c r="CQ83" s="208">
        <f t="shared" si="185"/>
        <v>1</v>
      </c>
      <c r="CR83" s="203"/>
      <c r="CS83" s="205"/>
      <c r="CT83" s="205"/>
      <c r="CU83" s="205"/>
      <c r="CV83" s="204"/>
      <c r="CW83" s="208">
        <f t="shared" si="186"/>
        <v>0</v>
      </c>
      <c r="CX83" s="203"/>
      <c r="CY83" s="205">
        <v>0.5</v>
      </c>
      <c r="CZ83" s="205"/>
      <c r="DA83" s="204"/>
      <c r="DB83" s="208">
        <f t="shared" si="187"/>
        <v>0.5</v>
      </c>
      <c r="DC83" s="208">
        <f t="shared" si="229"/>
        <v>1.5</v>
      </c>
      <c r="DD83" s="203"/>
      <c r="DE83" s="205"/>
      <c r="DF83" s="205">
        <v>0.5</v>
      </c>
      <c r="DG83" s="205"/>
      <c r="DH83" s="205"/>
      <c r="DI83" s="208">
        <f t="shared" si="188"/>
        <v>0.5</v>
      </c>
      <c r="DJ83" s="203"/>
      <c r="DK83" s="205"/>
      <c r="DL83" s="205"/>
      <c r="DM83" s="205"/>
      <c r="DN83" s="204"/>
      <c r="DO83" s="208">
        <f t="shared" si="189"/>
        <v>0</v>
      </c>
      <c r="DP83" s="203"/>
      <c r="DQ83" s="205"/>
      <c r="DR83" s="205"/>
      <c r="DS83" s="205"/>
      <c r="DT83" s="204"/>
      <c r="DU83" s="245">
        <f t="shared" si="190"/>
        <v>0</v>
      </c>
      <c r="DV83" s="203"/>
      <c r="DW83" s="205"/>
      <c r="DX83" s="205"/>
      <c r="DY83" s="205"/>
      <c r="DZ83" s="204"/>
      <c r="EA83" s="208">
        <f t="shared" si="191"/>
        <v>0</v>
      </c>
      <c r="EB83" s="208">
        <f t="shared" si="192"/>
        <v>0.5</v>
      </c>
      <c r="EC83" s="203"/>
      <c r="ED83" s="205"/>
      <c r="EE83" s="205"/>
      <c r="EF83" s="205"/>
      <c r="EG83" s="204"/>
      <c r="EH83" s="208">
        <f t="shared" si="193"/>
        <v>0</v>
      </c>
      <c r="EI83" s="203"/>
      <c r="EJ83" s="205"/>
      <c r="EK83" s="205"/>
      <c r="EL83" s="205"/>
      <c r="EM83" s="204"/>
      <c r="EN83" s="208">
        <f t="shared" si="194"/>
        <v>0</v>
      </c>
      <c r="EO83" s="203"/>
      <c r="EP83" s="205"/>
      <c r="EQ83" s="205"/>
      <c r="ER83" s="205"/>
      <c r="ES83" s="204"/>
      <c r="ET83" s="308">
        <f t="shared" si="195"/>
        <v>0</v>
      </c>
      <c r="EU83" s="203"/>
      <c r="EV83" s="205"/>
      <c r="EW83" s="205"/>
      <c r="EX83" s="205"/>
      <c r="EY83" s="205"/>
      <c r="EZ83" s="205"/>
      <c r="FA83" s="204"/>
      <c r="FB83" s="208">
        <f t="shared" si="196"/>
        <v>0</v>
      </c>
      <c r="FC83" s="208">
        <f t="shared" si="197"/>
        <v>0</v>
      </c>
      <c r="FD83" s="203"/>
      <c r="FE83" s="205"/>
      <c r="FF83" s="204"/>
      <c r="FG83" s="208">
        <f t="shared" si="198"/>
        <v>0</v>
      </c>
      <c r="FH83" s="203"/>
      <c r="FI83" s="205"/>
      <c r="FJ83" s="205"/>
      <c r="FK83" s="205"/>
      <c r="FL83" s="204"/>
      <c r="FM83" s="208">
        <f t="shared" si="199"/>
        <v>0</v>
      </c>
      <c r="FN83" s="203"/>
      <c r="FO83" s="205"/>
      <c r="FP83" s="205"/>
      <c r="FQ83" s="205"/>
      <c r="FR83" s="208">
        <f t="shared" si="165"/>
        <v>0</v>
      </c>
      <c r="FS83" s="203"/>
      <c r="FT83" s="205"/>
      <c r="FU83" s="205"/>
      <c r="FV83" s="205"/>
      <c r="FW83" s="204"/>
      <c r="FX83" s="208">
        <f t="shared" si="166"/>
        <v>0</v>
      </c>
      <c r="FY83" s="203"/>
      <c r="FZ83" s="205"/>
      <c r="GA83" s="205"/>
      <c r="GB83" s="205"/>
      <c r="GC83" s="204"/>
      <c r="GD83" s="208">
        <f t="shared" si="167"/>
        <v>0</v>
      </c>
      <c r="GE83" s="208">
        <f t="shared" si="168"/>
        <v>0</v>
      </c>
      <c r="GF83" s="203"/>
      <c r="GG83" s="205"/>
      <c r="GH83" s="205"/>
      <c r="GI83" s="205"/>
      <c r="GJ83" s="205"/>
      <c r="GK83" s="208">
        <f t="shared" si="169"/>
        <v>0</v>
      </c>
      <c r="GL83" s="203"/>
      <c r="GM83" s="205"/>
      <c r="GN83" s="205"/>
      <c r="GO83" s="204"/>
      <c r="GP83" s="208">
        <f t="shared" si="170"/>
        <v>0</v>
      </c>
      <c r="GQ83" s="203"/>
      <c r="GR83" s="205"/>
      <c r="GS83" s="205">
        <v>0.5</v>
      </c>
      <c r="GT83" s="205"/>
      <c r="GU83" s="204"/>
      <c r="GV83" s="208">
        <f t="shared" si="200"/>
        <v>0.5</v>
      </c>
      <c r="GW83" s="203">
        <v>0.5</v>
      </c>
      <c r="GX83" s="205"/>
      <c r="GY83" s="205"/>
      <c r="GZ83" s="205"/>
      <c r="HA83" s="205"/>
      <c r="HB83" s="204"/>
      <c r="HC83" s="208">
        <f t="shared" si="201"/>
        <v>0.5</v>
      </c>
      <c r="HD83" s="208">
        <f t="shared" si="202"/>
        <v>1</v>
      </c>
      <c r="HE83" s="203"/>
      <c r="HF83" s="205"/>
      <c r="HG83" s="205"/>
      <c r="HH83" s="205"/>
      <c r="HI83" s="208">
        <f t="shared" si="203"/>
        <v>0</v>
      </c>
      <c r="HJ83" s="203"/>
      <c r="HK83" s="205">
        <v>0.5</v>
      </c>
      <c r="HL83" s="205"/>
      <c r="HM83" s="205"/>
      <c r="HN83" s="204"/>
      <c r="HO83" s="245">
        <f t="shared" si="204"/>
        <v>0.5</v>
      </c>
      <c r="HP83" s="203"/>
      <c r="HQ83" s="205"/>
      <c r="HR83" s="205"/>
      <c r="HS83" s="205"/>
      <c r="HT83" s="204"/>
      <c r="HU83" s="208">
        <f t="shared" si="205"/>
        <v>0</v>
      </c>
      <c r="HV83" s="203"/>
      <c r="HW83" s="205"/>
      <c r="HX83" s="205"/>
      <c r="HY83" s="208">
        <f t="shared" si="171"/>
        <v>0</v>
      </c>
      <c r="HZ83" s="203"/>
      <c r="IA83" s="205"/>
      <c r="IB83" s="204"/>
      <c r="IC83" s="208">
        <f t="shared" si="206"/>
        <v>0</v>
      </c>
      <c r="ID83" s="208">
        <f t="shared" si="172"/>
        <v>0.5</v>
      </c>
      <c r="IE83" s="203"/>
      <c r="IF83" s="204"/>
      <c r="IG83" s="208">
        <f t="shared" si="207"/>
        <v>0</v>
      </c>
      <c r="IH83" s="203"/>
      <c r="II83" s="205"/>
      <c r="IJ83" s="205"/>
      <c r="IK83" s="205">
        <v>0.5</v>
      </c>
      <c r="IL83" s="204"/>
      <c r="IM83" s="208">
        <f t="shared" si="208"/>
        <v>0.5</v>
      </c>
      <c r="IN83" s="203"/>
      <c r="IO83" s="205"/>
      <c r="IP83" s="204"/>
      <c r="IQ83" s="208">
        <f t="shared" si="209"/>
        <v>0</v>
      </c>
      <c r="IR83" s="203"/>
      <c r="IS83" s="205"/>
      <c r="IT83" s="205"/>
      <c r="IU83" s="205">
        <v>0.5</v>
      </c>
      <c r="IV83" s="204">
        <v>0.5</v>
      </c>
      <c r="IW83" s="208">
        <f t="shared" si="210"/>
        <v>1</v>
      </c>
      <c r="IX83" s="203"/>
      <c r="IY83" s="205"/>
      <c r="IZ83" s="205"/>
      <c r="JA83" s="205"/>
      <c r="JB83" s="204"/>
      <c r="JC83" s="208">
        <f t="shared" si="211"/>
        <v>0</v>
      </c>
      <c r="JD83" s="208">
        <f t="shared" si="212"/>
        <v>1.5</v>
      </c>
      <c r="JE83" s="203"/>
      <c r="JF83" s="205"/>
      <c r="JG83" s="205"/>
      <c r="JH83" s="205"/>
      <c r="JI83" s="204"/>
      <c r="JJ83" s="208">
        <f t="shared" si="213"/>
        <v>0</v>
      </c>
      <c r="JK83" s="203"/>
      <c r="JL83" s="205"/>
      <c r="JM83" s="205"/>
      <c r="JN83" s="205"/>
      <c r="JO83" s="204"/>
      <c r="JP83" s="208">
        <f t="shared" si="214"/>
        <v>0</v>
      </c>
      <c r="JQ83" s="203"/>
      <c r="JR83" s="205"/>
      <c r="JS83" s="205"/>
      <c r="JT83" s="205"/>
      <c r="JU83" s="204"/>
      <c r="JV83" s="208">
        <f t="shared" si="215"/>
        <v>0</v>
      </c>
      <c r="JW83" s="203"/>
      <c r="JX83" s="205"/>
      <c r="JY83" s="205"/>
      <c r="JZ83" s="205"/>
      <c r="KA83" s="205"/>
      <c r="KB83" s="204"/>
      <c r="KC83" s="208">
        <f t="shared" si="216"/>
        <v>0</v>
      </c>
      <c r="KD83" s="208">
        <v>5500</v>
      </c>
      <c r="KE83" s="203"/>
      <c r="KF83" s="205"/>
      <c r="KG83" s="205"/>
      <c r="KH83" s="205"/>
      <c r="KI83" s="204"/>
      <c r="KJ83" s="208">
        <f t="shared" si="218"/>
        <v>0</v>
      </c>
      <c r="KK83" s="203"/>
      <c r="KL83" s="205"/>
      <c r="KM83" s="205"/>
      <c r="KN83" s="205"/>
      <c r="KO83" s="204"/>
      <c r="KP83" s="208">
        <f t="shared" si="219"/>
        <v>0</v>
      </c>
      <c r="KQ83" s="203"/>
      <c r="KR83" s="205"/>
      <c r="KS83" s="205"/>
      <c r="KT83" s="205"/>
      <c r="KU83" s="204"/>
      <c r="KV83" s="208">
        <f t="shared" si="220"/>
        <v>0</v>
      </c>
      <c r="KW83" s="203"/>
      <c r="KX83" s="205"/>
      <c r="KY83" s="205"/>
      <c r="KZ83" s="205"/>
      <c r="LA83" s="204"/>
      <c r="LB83" s="208">
        <f t="shared" si="221"/>
        <v>0</v>
      </c>
      <c r="LC83" s="202"/>
      <c r="LD83" s="244"/>
      <c r="LE83" s="245"/>
      <c r="LF83" s="208">
        <f t="shared" si="222"/>
        <v>0</v>
      </c>
      <c r="LG83" s="208">
        <v>5500</v>
      </c>
      <c r="LM83" s="16"/>
    </row>
    <row r="84" spans="2:325" s="91" customFormat="1">
      <c r="B84" s="167" t="s">
        <v>390</v>
      </c>
      <c r="C84" s="167">
        <v>18.649999999999999</v>
      </c>
      <c r="D84" s="202">
        <f t="shared" si="163"/>
        <v>18.649999999999999</v>
      </c>
      <c r="E84" s="167"/>
      <c r="F84" s="177"/>
      <c r="G84" s="177"/>
      <c r="H84" s="177"/>
      <c r="I84" s="178"/>
      <c r="J84" s="202">
        <f t="shared" si="224"/>
        <v>0</v>
      </c>
      <c r="K84" s="167"/>
      <c r="L84" s="177"/>
      <c r="M84" s="177"/>
      <c r="N84" s="178"/>
      <c r="O84" s="202">
        <f t="shared" ref="O84:O96" si="231">SUM(K84:N84)</f>
        <v>0</v>
      </c>
      <c r="P84" s="167"/>
      <c r="Q84" s="177"/>
      <c r="R84" s="177"/>
      <c r="S84" s="177"/>
      <c r="T84" s="178"/>
      <c r="U84" s="202">
        <f t="shared" si="173"/>
        <v>0</v>
      </c>
      <c r="V84" s="167"/>
      <c r="W84" s="177"/>
      <c r="X84" s="177"/>
      <c r="Y84" s="177"/>
      <c r="Z84" s="177"/>
      <c r="AA84" s="208">
        <f t="shared" si="174"/>
        <v>0</v>
      </c>
      <c r="AB84" s="208">
        <f t="shared" si="226"/>
        <v>18.649999999999999</v>
      </c>
      <c r="AC84" s="203"/>
      <c r="AD84" s="205"/>
      <c r="AE84" s="205"/>
      <c r="AF84" s="205"/>
      <c r="AG84" s="204"/>
      <c r="AH84" s="208">
        <f t="shared" si="227"/>
        <v>0</v>
      </c>
      <c r="AI84" s="203"/>
      <c r="AJ84" s="205"/>
      <c r="AK84" s="205"/>
      <c r="AL84" s="205"/>
      <c r="AM84" s="204"/>
      <c r="AN84" s="208">
        <f t="shared" si="175"/>
        <v>0</v>
      </c>
      <c r="AO84" s="203"/>
      <c r="AP84" s="205"/>
      <c r="AQ84" s="205"/>
      <c r="AR84" s="205"/>
      <c r="AS84" s="204"/>
      <c r="AT84" s="208">
        <f t="shared" si="176"/>
        <v>0</v>
      </c>
      <c r="AU84" s="203"/>
      <c r="AV84" s="205"/>
      <c r="AW84" s="205"/>
      <c r="AX84" s="205"/>
      <c r="AY84" s="204"/>
      <c r="AZ84" s="208">
        <f t="shared" si="177"/>
        <v>0</v>
      </c>
      <c r="BA84" s="208">
        <f t="shared" si="178"/>
        <v>0</v>
      </c>
      <c r="BB84" s="203"/>
      <c r="BC84" s="205"/>
      <c r="BD84" s="205"/>
      <c r="BE84" s="205"/>
      <c r="BF84" s="204"/>
      <c r="BG84" s="208">
        <f t="shared" si="179"/>
        <v>0</v>
      </c>
      <c r="BH84" s="203"/>
      <c r="BI84" s="205"/>
      <c r="BJ84" s="205"/>
      <c r="BK84" s="205"/>
      <c r="BL84" s="204"/>
      <c r="BM84" s="208">
        <f t="shared" si="164"/>
        <v>0</v>
      </c>
      <c r="BN84" s="203"/>
      <c r="BO84" s="205"/>
      <c r="BP84" s="205"/>
      <c r="BQ84" s="204"/>
      <c r="BR84" s="208">
        <f t="shared" si="180"/>
        <v>0</v>
      </c>
      <c r="BS84" s="203"/>
      <c r="BT84" s="205"/>
      <c r="BU84" s="205"/>
      <c r="BV84" s="205"/>
      <c r="BW84" s="204"/>
      <c r="BX84" s="208">
        <f t="shared" si="181"/>
        <v>0</v>
      </c>
      <c r="BY84" s="203"/>
      <c r="BZ84" s="205"/>
      <c r="CA84" s="208">
        <f t="shared" si="182"/>
        <v>0</v>
      </c>
      <c r="CB84" s="208">
        <f t="shared" si="183"/>
        <v>0</v>
      </c>
      <c r="CC84" s="203"/>
      <c r="CD84" s="205"/>
      <c r="CE84" s="205"/>
      <c r="CF84" s="208">
        <f t="shared" si="228"/>
        <v>0</v>
      </c>
      <c r="CG84" s="203"/>
      <c r="CH84" s="205"/>
      <c r="CI84" s="205"/>
      <c r="CJ84" s="204"/>
      <c r="CK84" s="208">
        <f t="shared" si="184"/>
        <v>0</v>
      </c>
      <c r="CL84" s="203"/>
      <c r="CM84" s="205"/>
      <c r="CN84" s="205"/>
      <c r="CO84" s="205"/>
      <c r="CP84" s="204"/>
      <c r="CQ84" s="208">
        <f t="shared" si="185"/>
        <v>0</v>
      </c>
      <c r="CR84" s="203"/>
      <c r="CS84" s="205"/>
      <c r="CT84" s="205"/>
      <c r="CU84" s="205"/>
      <c r="CV84" s="204"/>
      <c r="CW84" s="208">
        <f t="shared" ref="CW84:CW96" si="232">SUM(CR84:CV84)</f>
        <v>0</v>
      </c>
      <c r="CX84" s="203"/>
      <c r="CY84" s="205"/>
      <c r="CZ84" s="205"/>
      <c r="DA84" s="204"/>
      <c r="DB84" s="208">
        <f t="shared" si="187"/>
        <v>0</v>
      </c>
      <c r="DC84" s="208">
        <f t="shared" si="229"/>
        <v>0</v>
      </c>
      <c r="DD84" s="203"/>
      <c r="DE84" s="205"/>
      <c r="DF84" s="205"/>
      <c r="DG84" s="205"/>
      <c r="DH84" s="205"/>
      <c r="DI84" s="208">
        <f t="shared" si="188"/>
        <v>0</v>
      </c>
      <c r="DJ84" s="203"/>
      <c r="DK84" s="205"/>
      <c r="DL84" s="205"/>
      <c r="DM84" s="205"/>
      <c r="DN84" s="204"/>
      <c r="DO84" s="208">
        <f t="shared" si="189"/>
        <v>0</v>
      </c>
      <c r="DP84" s="203"/>
      <c r="DQ84" s="205"/>
      <c r="DR84" s="205"/>
      <c r="DS84" s="205"/>
      <c r="DT84" s="204"/>
      <c r="DU84" s="245">
        <f t="shared" si="190"/>
        <v>0</v>
      </c>
      <c r="DV84" s="203"/>
      <c r="DW84" s="205"/>
      <c r="DX84" s="205"/>
      <c r="DY84" s="205"/>
      <c r="DZ84" s="204"/>
      <c r="EA84" s="208">
        <f t="shared" si="191"/>
        <v>0</v>
      </c>
      <c r="EB84" s="208">
        <f t="shared" si="192"/>
        <v>0</v>
      </c>
      <c r="EC84" s="203"/>
      <c r="ED84" s="205"/>
      <c r="EE84" s="205"/>
      <c r="EF84" s="205"/>
      <c r="EG84" s="204"/>
      <c r="EH84" s="208">
        <f t="shared" si="193"/>
        <v>0</v>
      </c>
      <c r="EI84" s="203"/>
      <c r="EJ84" s="205"/>
      <c r="EK84" s="205"/>
      <c r="EL84" s="205"/>
      <c r="EM84" s="204"/>
      <c r="EN84" s="208">
        <f t="shared" si="194"/>
        <v>0</v>
      </c>
      <c r="EO84" s="203"/>
      <c r="EP84" s="205"/>
      <c r="EQ84" s="205"/>
      <c r="ER84" s="205"/>
      <c r="ES84" s="204"/>
      <c r="ET84" s="308">
        <f t="shared" si="195"/>
        <v>0</v>
      </c>
      <c r="EU84" s="203"/>
      <c r="EV84" s="205"/>
      <c r="EW84" s="205"/>
      <c r="EX84" s="205"/>
      <c r="EY84" s="205"/>
      <c r="EZ84" s="205"/>
      <c r="FA84" s="204"/>
      <c r="FB84" s="208">
        <f t="shared" si="196"/>
        <v>0</v>
      </c>
      <c r="FC84" s="208">
        <f t="shared" si="197"/>
        <v>0</v>
      </c>
      <c r="FD84" s="203"/>
      <c r="FE84" s="205"/>
      <c r="FF84" s="204"/>
      <c r="FG84" s="208">
        <f t="shared" si="198"/>
        <v>0</v>
      </c>
      <c r="FH84" s="203"/>
      <c r="FI84" s="205"/>
      <c r="FJ84" s="205"/>
      <c r="FK84" s="205"/>
      <c r="FL84" s="204"/>
      <c r="FM84" s="208">
        <f t="shared" si="199"/>
        <v>0</v>
      </c>
      <c r="FN84" s="203"/>
      <c r="FO84" s="205"/>
      <c r="FP84" s="205"/>
      <c r="FQ84" s="205"/>
      <c r="FR84" s="208">
        <f t="shared" si="165"/>
        <v>0</v>
      </c>
      <c r="FS84" s="203"/>
      <c r="FT84" s="205"/>
      <c r="FU84" s="205"/>
      <c r="FV84" s="205"/>
      <c r="FW84" s="204"/>
      <c r="FX84" s="208">
        <f t="shared" si="166"/>
        <v>0</v>
      </c>
      <c r="FY84" s="203"/>
      <c r="FZ84" s="205"/>
      <c r="GA84" s="205"/>
      <c r="GB84" s="205"/>
      <c r="GC84" s="204"/>
      <c r="GD84" s="208">
        <f t="shared" si="167"/>
        <v>0</v>
      </c>
      <c r="GE84" s="208">
        <f t="shared" si="168"/>
        <v>0</v>
      </c>
      <c r="GF84" s="203"/>
      <c r="GG84" s="205"/>
      <c r="GH84" s="205"/>
      <c r="GI84" s="205"/>
      <c r="GJ84" s="205"/>
      <c r="GK84" s="208">
        <f t="shared" si="169"/>
        <v>0</v>
      </c>
      <c r="GL84" s="203"/>
      <c r="GM84" s="205"/>
      <c r="GN84" s="205"/>
      <c r="GO84" s="204"/>
      <c r="GP84" s="208">
        <f t="shared" si="170"/>
        <v>0</v>
      </c>
      <c r="GQ84" s="203"/>
      <c r="GR84" s="205"/>
      <c r="GS84" s="205"/>
      <c r="GT84" s="205"/>
      <c r="GU84" s="204"/>
      <c r="GV84" s="208">
        <f t="shared" si="200"/>
        <v>0</v>
      </c>
      <c r="GW84" s="203"/>
      <c r="GX84" s="205"/>
      <c r="GY84" s="205"/>
      <c r="GZ84" s="205"/>
      <c r="HA84" s="205"/>
      <c r="HB84" s="204"/>
      <c r="HC84" s="208">
        <f t="shared" si="201"/>
        <v>0</v>
      </c>
      <c r="HD84" s="208">
        <f t="shared" si="202"/>
        <v>0</v>
      </c>
      <c r="HE84" s="203"/>
      <c r="HF84" s="205"/>
      <c r="HG84" s="205"/>
      <c r="HH84" s="205"/>
      <c r="HI84" s="208">
        <f t="shared" si="203"/>
        <v>0</v>
      </c>
      <c r="HJ84" s="203"/>
      <c r="HK84" s="205"/>
      <c r="HL84" s="205"/>
      <c r="HM84" s="205"/>
      <c r="HN84" s="204"/>
      <c r="HO84" s="245">
        <f t="shared" si="204"/>
        <v>0</v>
      </c>
      <c r="HP84" s="203"/>
      <c r="HQ84" s="205"/>
      <c r="HR84" s="205"/>
      <c r="HS84" s="205"/>
      <c r="HT84" s="204"/>
      <c r="HU84" s="208">
        <f t="shared" si="205"/>
        <v>0</v>
      </c>
      <c r="HV84" s="203"/>
      <c r="HW84" s="205"/>
      <c r="HX84" s="205"/>
      <c r="HY84" s="208">
        <f t="shared" si="171"/>
        <v>0</v>
      </c>
      <c r="HZ84" s="203"/>
      <c r="IA84" s="205"/>
      <c r="IB84" s="204"/>
      <c r="IC84" s="208">
        <f t="shared" si="206"/>
        <v>0</v>
      </c>
      <c r="ID84" s="208">
        <f t="shared" si="172"/>
        <v>0</v>
      </c>
      <c r="IE84" s="203"/>
      <c r="IF84" s="204"/>
      <c r="IG84" s="208">
        <f t="shared" si="207"/>
        <v>0</v>
      </c>
      <c r="IH84" s="203"/>
      <c r="II84" s="205"/>
      <c r="IJ84" s="205"/>
      <c r="IK84" s="205"/>
      <c r="IL84" s="204"/>
      <c r="IM84" s="208">
        <f t="shared" si="208"/>
        <v>0</v>
      </c>
      <c r="IN84" s="203"/>
      <c r="IO84" s="205"/>
      <c r="IP84" s="204"/>
      <c r="IQ84" s="208">
        <f t="shared" si="209"/>
        <v>0</v>
      </c>
      <c r="IR84" s="203"/>
      <c r="IS84" s="205"/>
      <c r="IT84" s="205"/>
      <c r="IU84" s="205"/>
      <c r="IV84" s="204"/>
      <c r="IW84" s="208">
        <f t="shared" si="210"/>
        <v>0</v>
      </c>
      <c r="IX84" s="203"/>
      <c r="IY84" s="205"/>
      <c r="IZ84" s="205"/>
      <c r="JA84" s="205"/>
      <c r="JB84" s="204"/>
      <c r="JC84" s="208">
        <f t="shared" si="211"/>
        <v>0</v>
      </c>
      <c r="JD84" s="208">
        <f t="shared" si="212"/>
        <v>0</v>
      </c>
      <c r="JE84" s="203"/>
      <c r="JF84" s="205"/>
      <c r="JG84" s="205"/>
      <c r="JH84" s="205"/>
      <c r="JI84" s="204"/>
      <c r="JJ84" s="208">
        <f t="shared" si="213"/>
        <v>0</v>
      </c>
      <c r="JK84" s="203"/>
      <c r="JL84" s="205"/>
      <c r="JM84" s="205"/>
      <c r="JN84" s="205"/>
      <c r="JO84" s="204"/>
      <c r="JP84" s="208">
        <f t="shared" si="214"/>
        <v>0</v>
      </c>
      <c r="JQ84" s="203"/>
      <c r="JR84" s="205"/>
      <c r="JS84" s="205"/>
      <c r="JT84" s="205"/>
      <c r="JU84" s="204"/>
      <c r="JV84" s="208">
        <f t="shared" si="215"/>
        <v>0</v>
      </c>
      <c r="JW84" s="203"/>
      <c r="JX84" s="205"/>
      <c r="JY84" s="205"/>
      <c r="JZ84" s="205"/>
      <c r="KA84" s="205"/>
      <c r="KB84" s="204"/>
      <c r="KC84" s="208">
        <f t="shared" si="216"/>
        <v>0</v>
      </c>
      <c r="KD84" s="208">
        <f t="shared" si="217"/>
        <v>0</v>
      </c>
      <c r="KE84" s="203"/>
      <c r="KF84" s="205"/>
      <c r="KG84" s="205"/>
      <c r="KH84" s="205"/>
      <c r="KI84" s="204"/>
      <c r="KJ84" s="208">
        <f t="shared" si="218"/>
        <v>0</v>
      </c>
      <c r="KK84" s="203"/>
      <c r="KL84" s="205"/>
      <c r="KM84" s="205"/>
      <c r="KN84" s="205"/>
      <c r="KO84" s="204"/>
      <c r="KP84" s="208">
        <f t="shared" si="219"/>
        <v>0</v>
      </c>
      <c r="KQ84" s="203"/>
      <c r="KR84" s="205"/>
      <c r="KS84" s="205"/>
      <c r="KT84" s="205"/>
      <c r="KU84" s="204"/>
      <c r="KV84" s="208">
        <f t="shared" si="220"/>
        <v>0</v>
      </c>
      <c r="KW84" s="203"/>
      <c r="KX84" s="205"/>
      <c r="KY84" s="205"/>
      <c r="KZ84" s="205"/>
      <c r="LA84" s="204"/>
      <c r="LB84" s="208">
        <f t="shared" si="221"/>
        <v>0</v>
      </c>
      <c r="LC84" s="202"/>
      <c r="LD84" s="244"/>
      <c r="LE84" s="245"/>
      <c r="LF84" s="208">
        <f t="shared" si="222"/>
        <v>0</v>
      </c>
      <c r="LG84" s="208">
        <f t="shared" si="223"/>
        <v>0</v>
      </c>
      <c r="LM84" s="16"/>
    </row>
    <row r="85" spans="2:325" s="91" customFormat="1">
      <c r="B85" s="167" t="s">
        <v>391</v>
      </c>
      <c r="C85" s="167">
        <v>950.23400000000004</v>
      </c>
      <c r="D85" s="202">
        <f t="shared" si="163"/>
        <v>950.23400000000004</v>
      </c>
      <c r="E85" s="167"/>
      <c r="F85" s="177"/>
      <c r="G85" s="177"/>
      <c r="H85" s="177"/>
      <c r="I85" s="178"/>
      <c r="J85" s="202">
        <f t="shared" si="224"/>
        <v>0</v>
      </c>
      <c r="K85" s="167"/>
      <c r="L85" s="177"/>
      <c r="M85" s="177"/>
      <c r="N85" s="178"/>
      <c r="O85" s="202">
        <f t="shared" si="231"/>
        <v>0</v>
      </c>
      <c r="P85" s="167"/>
      <c r="Q85" s="177"/>
      <c r="R85" s="177"/>
      <c r="S85" s="177"/>
      <c r="T85" s="178"/>
      <c r="U85" s="202">
        <f t="shared" si="173"/>
        <v>0</v>
      </c>
      <c r="V85" s="167"/>
      <c r="W85" s="177"/>
      <c r="X85" s="177"/>
      <c r="Y85" s="177"/>
      <c r="Z85" s="177"/>
      <c r="AA85" s="208">
        <f t="shared" si="174"/>
        <v>0</v>
      </c>
      <c r="AB85" s="208">
        <f t="shared" si="226"/>
        <v>950.23400000000004</v>
      </c>
      <c r="AC85" s="203">
        <v>950.23400000000004</v>
      </c>
      <c r="AD85" s="205"/>
      <c r="AE85" s="205"/>
      <c r="AF85" s="205"/>
      <c r="AG85" s="204"/>
      <c r="AH85" s="208">
        <f t="shared" si="227"/>
        <v>950.23400000000004</v>
      </c>
      <c r="AI85" s="203"/>
      <c r="AJ85" s="205"/>
      <c r="AK85" s="205"/>
      <c r="AL85" s="205"/>
      <c r="AM85" s="204"/>
      <c r="AN85" s="208">
        <f t="shared" si="175"/>
        <v>0</v>
      </c>
      <c r="AO85" s="203"/>
      <c r="AP85" s="205"/>
      <c r="AQ85" s="205"/>
      <c r="AR85" s="205"/>
      <c r="AS85" s="204"/>
      <c r="AT85" s="208">
        <f t="shared" si="176"/>
        <v>0</v>
      </c>
      <c r="AU85" s="203"/>
      <c r="AV85" s="205"/>
      <c r="AW85" s="205"/>
      <c r="AX85" s="205"/>
      <c r="AY85" s="204"/>
      <c r="AZ85" s="208">
        <f t="shared" si="177"/>
        <v>0</v>
      </c>
      <c r="BA85" s="208">
        <f t="shared" si="178"/>
        <v>950.23400000000004</v>
      </c>
      <c r="BB85" s="203">
        <v>950.23400000000004</v>
      </c>
      <c r="BC85" s="205"/>
      <c r="BD85" s="205"/>
      <c r="BE85" s="205"/>
      <c r="BF85" s="204"/>
      <c r="BG85" s="208">
        <f t="shared" si="179"/>
        <v>950.23400000000004</v>
      </c>
      <c r="BH85" s="203"/>
      <c r="BI85" s="205"/>
      <c r="BJ85" s="205"/>
      <c r="BK85" s="205"/>
      <c r="BL85" s="204"/>
      <c r="BM85" s="208">
        <f t="shared" si="164"/>
        <v>0</v>
      </c>
      <c r="BN85" s="203"/>
      <c r="BO85" s="205"/>
      <c r="BP85" s="205"/>
      <c r="BQ85" s="204"/>
      <c r="BR85" s="208">
        <f t="shared" si="180"/>
        <v>0</v>
      </c>
      <c r="BS85" s="203"/>
      <c r="BT85" s="205"/>
      <c r="BU85" s="205">
        <v>25</v>
      </c>
      <c r="BV85" s="205"/>
      <c r="BW85" s="204"/>
      <c r="BX85" s="208">
        <f t="shared" si="181"/>
        <v>25</v>
      </c>
      <c r="BY85" s="203"/>
      <c r="BZ85" s="205"/>
      <c r="CA85" s="208">
        <f t="shared" si="182"/>
        <v>0</v>
      </c>
      <c r="CB85" s="208">
        <f t="shared" si="183"/>
        <v>975.23400000000004</v>
      </c>
      <c r="CC85" s="203"/>
      <c r="CD85" s="205">
        <v>965.96199999999999</v>
      </c>
      <c r="CE85" s="205"/>
      <c r="CF85" s="208">
        <f t="shared" si="228"/>
        <v>965.96199999999999</v>
      </c>
      <c r="CG85" s="203"/>
      <c r="CH85" s="205"/>
      <c r="CI85" s="205"/>
      <c r="CJ85" s="204"/>
      <c r="CK85" s="208">
        <f t="shared" si="184"/>
        <v>0</v>
      </c>
      <c r="CL85" s="203"/>
      <c r="CM85" s="205"/>
      <c r="CN85" s="205"/>
      <c r="CO85" s="205"/>
      <c r="CP85" s="204"/>
      <c r="CQ85" s="208">
        <f t="shared" si="185"/>
        <v>0</v>
      </c>
      <c r="CR85" s="203"/>
      <c r="CS85" s="205"/>
      <c r="CT85" s="205"/>
      <c r="CU85" s="205"/>
      <c r="CV85" s="204">
        <v>25</v>
      </c>
      <c r="CW85" s="208">
        <f t="shared" si="232"/>
        <v>25</v>
      </c>
      <c r="CX85" s="203"/>
      <c r="CY85" s="205"/>
      <c r="CZ85" s="205"/>
      <c r="DA85" s="204"/>
      <c r="DB85" s="208">
        <f t="shared" si="187"/>
        <v>0</v>
      </c>
      <c r="DC85" s="208">
        <f t="shared" si="229"/>
        <v>990.96199999999999</v>
      </c>
      <c r="DD85" s="203">
        <v>927.76499999999999</v>
      </c>
      <c r="DE85" s="205"/>
      <c r="DF85" s="205"/>
      <c r="DG85" s="205"/>
      <c r="DH85" s="205"/>
      <c r="DI85" s="208">
        <f t="shared" si="188"/>
        <v>927.76499999999999</v>
      </c>
      <c r="DJ85" s="203"/>
      <c r="DK85" s="205"/>
      <c r="DL85" s="205"/>
      <c r="DM85" s="205"/>
      <c r="DN85" s="204"/>
      <c r="DO85" s="208">
        <f t="shared" si="189"/>
        <v>0</v>
      </c>
      <c r="DP85" s="203"/>
      <c r="DQ85" s="205"/>
      <c r="DR85" s="205"/>
      <c r="DS85" s="205"/>
      <c r="DT85" s="204"/>
      <c r="DU85" s="245">
        <f t="shared" si="190"/>
        <v>0</v>
      </c>
      <c r="DV85" s="203"/>
      <c r="DW85" s="205"/>
      <c r="DX85" s="205"/>
      <c r="DY85" s="205"/>
      <c r="DZ85" s="204"/>
      <c r="EA85" s="208">
        <f t="shared" si="191"/>
        <v>0</v>
      </c>
      <c r="EB85" s="208">
        <f t="shared" si="192"/>
        <v>927.76499999999999</v>
      </c>
      <c r="EC85" s="203">
        <v>927.76499999999999</v>
      </c>
      <c r="ED85" s="205"/>
      <c r="EE85" s="205"/>
      <c r="EF85" s="205"/>
      <c r="EG85" s="204"/>
      <c r="EH85" s="208">
        <f t="shared" si="193"/>
        <v>927.76499999999999</v>
      </c>
      <c r="EI85" s="203"/>
      <c r="EJ85" s="205"/>
      <c r="EK85" s="205"/>
      <c r="EL85" s="205"/>
      <c r="EM85" s="204"/>
      <c r="EN85" s="208">
        <f t="shared" si="194"/>
        <v>0</v>
      </c>
      <c r="EO85" s="203"/>
      <c r="EP85" s="205"/>
      <c r="EQ85" s="205"/>
      <c r="ER85" s="205"/>
      <c r="ES85" s="204"/>
      <c r="ET85" s="308">
        <f t="shared" si="195"/>
        <v>0</v>
      </c>
      <c r="EU85" s="203"/>
      <c r="EV85" s="205"/>
      <c r="EW85" s="205"/>
      <c r="EX85" s="205"/>
      <c r="EY85" s="205"/>
      <c r="EZ85" s="205"/>
      <c r="FA85" s="204"/>
      <c r="FB85" s="208">
        <f t="shared" si="196"/>
        <v>0</v>
      </c>
      <c r="FC85" s="208">
        <f t="shared" si="197"/>
        <v>927.76499999999999</v>
      </c>
      <c r="FD85" s="203">
        <v>927.76499999999999</v>
      </c>
      <c r="FE85" s="205"/>
      <c r="FF85" s="204"/>
      <c r="FG85" s="208">
        <f t="shared" si="198"/>
        <v>927.76499999999999</v>
      </c>
      <c r="FH85" s="203"/>
      <c r="FI85" s="205"/>
      <c r="FJ85" s="205"/>
      <c r="FK85" s="205"/>
      <c r="FL85" s="204"/>
      <c r="FM85" s="208">
        <f t="shared" si="199"/>
        <v>0</v>
      </c>
      <c r="FN85" s="203"/>
      <c r="FO85" s="205"/>
      <c r="FP85" s="205"/>
      <c r="FQ85" s="205"/>
      <c r="FR85" s="208">
        <f t="shared" si="165"/>
        <v>0</v>
      </c>
      <c r="FS85" s="203"/>
      <c r="FT85" s="205"/>
      <c r="FU85" s="205"/>
      <c r="FV85" s="205"/>
      <c r="FW85" s="204"/>
      <c r="FX85" s="208">
        <f t="shared" si="166"/>
        <v>0</v>
      </c>
      <c r="FY85" s="203"/>
      <c r="FZ85" s="205"/>
      <c r="GA85" s="205"/>
      <c r="GB85" s="205"/>
      <c r="GC85" s="204"/>
      <c r="GD85" s="208">
        <f t="shared" si="167"/>
        <v>0</v>
      </c>
      <c r="GE85" s="208">
        <f t="shared" si="168"/>
        <v>927.76499999999999</v>
      </c>
      <c r="GF85" s="203"/>
      <c r="GG85" s="205">
        <v>927.76499999999999</v>
      </c>
      <c r="GH85" s="205"/>
      <c r="GI85" s="205"/>
      <c r="GJ85" s="205"/>
      <c r="GK85" s="208">
        <f t="shared" si="169"/>
        <v>927.76499999999999</v>
      </c>
      <c r="GL85" s="203"/>
      <c r="GM85" s="205"/>
      <c r="GN85" s="205"/>
      <c r="GO85" s="204"/>
      <c r="GP85" s="208">
        <f t="shared" si="170"/>
        <v>0</v>
      </c>
      <c r="GQ85" s="203"/>
      <c r="GR85" s="205"/>
      <c r="GS85" s="205"/>
      <c r="GT85" s="205"/>
      <c r="GU85" s="204"/>
      <c r="GV85" s="208">
        <f t="shared" si="200"/>
        <v>0</v>
      </c>
      <c r="GW85" s="203"/>
      <c r="GX85" s="205"/>
      <c r="GY85" s="205"/>
      <c r="GZ85" s="205"/>
      <c r="HA85" s="205"/>
      <c r="HB85" s="204"/>
      <c r="HC85" s="208">
        <f t="shared" si="201"/>
        <v>0</v>
      </c>
      <c r="HD85" s="208">
        <f t="shared" si="202"/>
        <v>927.76499999999999</v>
      </c>
      <c r="HE85" s="203">
        <v>927.76499999999999</v>
      </c>
      <c r="HF85" s="205"/>
      <c r="HG85" s="205"/>
      <c r="HH85" s="205"/>
      <c r="HI85" s="208">
        <f t="shared" si="203"/>
        <v>927.76499999999999</v>
      </c>
      <c r="HJ85" s="203"/>
      <c r="HK85" s="205"/>
      <c r="HL85" s="205"/>
      <c r="HM85" s="205"/>
      <c r="HN85" s="204"/>
      <c r="HO85" s="245">
        <f t="shared" si="204"/>
        <v>0</v>
      </c>
      <c r="HP85" s="203">
        <v>25</v>
      </c>
      <c r="HQ85" s="205"/>
      <c r="HR85" s="205"/>
      <c r="HS85" s="205"/>
      <c r="HT85" s="204"/>
      <c r="HU85" s="208">
        <f t="shared" si="205"/>
        <v>25</v>
      </c>
      <c r="HV85" s="203"/>
      <c r="HW85" s="205"/>
      <c r="HX85" s="205"/>
      <c r="HY85" s="208">
        <f t="shared" si="171"/>
        <v>0</v>
      </c>
      <c r="HZ85" s="203"/>
      <c r="IA85" s="205"/>
      <c r="IB85" s="204"/>
      <c r="IC85" s="208">
        <f t="shared" si="206"/>
        <v>0</v>
      </c>
      <c r="ID85" s="208">
        <f t="shared" si="172"/>
        <v>952.76499999999999</v>
      </c>
      <c r="IE85" s="203">
        <v>944.28800000000001</v>
      </c>
      <c r="IF85" s="204"/>
      <c r="IG85" s="208">
        <f t="shared" si="207"/>
        <v>944.28800000000001</v>
      </c>
      <c r="IH85" s="203"/>
      <c r="II85" s="205"/>
      <c r="IJ85" s="205"/>
      <c r="IK85" s="205"/>
      <c r="IL85" s="204"/>
      <c r="IM85" s="208">
        <f t="shared" si="208"/>
        <v>0</v>
      </c>
      <c r="IN85" s="203"/>
      <c r="IO85" s="205"/>
      <c r="IP85" s="204"/>
      <c r="IQ85" s="208">
        <f t="shared" si="209"/>
        <v>0</v>
      </c>
      <c r="IR85" s="203"/>
      <c r="IS85" s="205"/>
      <c r="IT85" s="205"/>
      <c r="IU85" s="205"/>
      <c r="IV85" s="204"/>
      <c r="IW85" s="208">
        <f t="shared" si="210"/>
        <v>0</v>
      </c>
      <c r="IX85" s="203"/>
      <c r="IY85" s="205"/>
      <c r="IZ85" s="205"/>
      <c r="JA85" s="205"/>
      <c r="JB85" s="204"/>
      <c r="JC85" s="208">
        <f t="shared" si="211"/>
        <v>0</v>
      </c>
      <c r="JD85" s="208">
        <f t="shared" si="212"/>
        <v>944.28800000000001</v>
      </c>
      <c r="JE85" s="203"/>
      <c r="JF85" s="205">
        <v>737.423</v>
      </c>
      <c r="JG85" s="205"/>
      <c r="JH85" s="205"/>
      <c r="JI85" s="204"/>
      <c r="JJ85" s="208">
        <f t="shared" si="213"/>
        <v>737.423</v>
      </c>
      <c r="JK85" s="203"/>
      <c r="JL85" s="205"/>
      <c r="JM85" s="205"/>
      <c r="JN85" s="205"/>
      <c r="JO85" s="204"/>
      <c r="JP85" s="208">
        <f t="shared" si="214"/>
        <v>0</v>
      </c>
      <c r="JQ85" s="203"/>
      <c r="JR85" s="205"/>
      <c r="JS85" s="205"/>
      <c r="JT85" s="205"/>
      <c r="JU85" s="204"/>
      <c r="JV85" s="208">
        <f t="shared" si="215"/>
        <v>0</v>
      </c>
      <c r="JW85" s="203"/>
      <c r="JX85" s="205"/>
      <c r="JY85" s="205"/>
      <c r="JZ85" s="205"/>
      <c r="KA85" s="205"/>
      <c r="KB85" s="204"/>
      <c r="KC85" s="208">
        <f t="shared" si="216"/>
        <v>0</v>
      </c>
      <c r="KD85" s="208">
        <f t="shared" si="217"/>
        <v>737.423</v>
      </c>
      <c r="KE85" s="203"/>
      <c r="KF85" s="205"/>
      <c r="KG85" s="205"/>
      <c r="KH85" s="205"/>
      <c r="KI85" s="204"/>
      <c r="KJ85" s="208">
        <f t="shared" si="218"/>
        <v>0</v>
      </c>
      <c r="KK85" s="203"/>
      <c r="KL85" s="205"/>
      <c r="KM85" s="205"/>
      <c r="KN85" s="205"/>
      <c r="KO85" s="204"/>
      <c r="KP85" s="208">
        <f t="shared" si="219"/>
        <v>0</v>
      </c>
      <c r="KQ85" s="203"/>
      <c r="KR85" s="205"/>
      <c r="KS85" s="205"/>
      <c r="KT85" s="205"/>
      <c r="KU85" s="204"/>
      <c r="KV85" s="208">
        <f t="shared" si="220"/>
        <v>0</v>
      </c>
      <c r="KW85" s="203"/>
      <c r="KX85" s="205"/>
      <c r="KY85" s="205"/>
      <c r="KZ85" s="205"/>
      <c r="LA85" s="204"/>
      <c r="LB85" s="208">
        <f t="shared" si="221"/>
        <v>0</v>
      </c>
      <c r="LC85" s="202"/>
      <c r="LD85" s="244"/>
      <c r="LE85" s="245"/>
      <c r="LF85" s="208">
        <f t="shared" si="222"/>
        <v>0</v>
      </c>
      <c r="LG85" s="208">
        <f t="shared" si="223"/>
        <v>0</v>
      </c>
      <c r="LM85" s="16"/>
    </row>
    <row r="86" spans="2:325" s="91" customFormat="1">
      <c r="B86" s="167" t="s">
        <v>392</v>
      </c>
      <c r="C86" s="167">
        <v>21.951000000000001</v>
      </c>
      <c r="D86" s="202">
        <f t="shared" si="163"/>
        <v>21.951000000000001</v>
      </c>
      <c r="E86" s="167"/>
      <c r="F86" s="177"/>
      <c r="G86" s="177"/>
      <c r="H86" s="177"/>
      <c r="I86" s="178"/>
      <c r="J86" s="202">
        <f t="shared" si="224"/>
        <v>0</v>
      </c>
      <c r="K86" s="167"/>
      <c r="L86" s="177"/>
      <c r="M86" s="177"/>
      <c r="N86" s="178"/>
      <c r="O86" s="202">
        <f t="shared" si="231"/>
        <v>0</v>
      </c>
      <c r="P86" s="167"/>
      <c r="Q86" s="177"/>
      <c r="R86" s="177"/>
      <c r="S86" s="177"/>
      <c r="T86" s="178"/>
      <c r="U86" s="202">
        <f t="shared" si="173"/>
        <v>0</v>
      </c>
      <c r="V86" s="167"/>
      <c r="W86" s="177"/>
      <c r="X86" s="177"/>
      <c r="Y86" s="177"/>
      <c r="Z86" s="177"/>
      <c r="AA86" s="208">
        <f t="shared" si="174"/>
        <v>0</v>
      </c>
      <c r="AB86" s="208">
        <f t="shared" si="226"/>
        <v>21.951000000000001</v>
      </c>
      <c r="AC86" s="203">
        <v>21.951000000000001</v>
      </c>
      <c r="AD86" s="205"/>
      <c r="AE86" s="205"/>
      <c r="AF86" s="205"/>
      <c r="AG86" s="204"/>
      <c r="AH86" s="208">
        <f t="shared" si="227"/>
        <v>21.951000000000001</v>
      </c>
      <c r="AI86" s="203"/>
      <c r="AJ86" s="205"/>
      <c r="AK86" s="205"/>
      <c r="AL86" s="205"/>
      <c r="AM86" s="204"/>
      <c r="AN86" s="208">
        <f t="shared" si="175"/>
        <v>0</v>
      </c>
      <c r="AO86" s="203"/>
      <c r="AP86" s="205"/>
      <c r="AQ86" s="205"/>
      <c r="AR86" s="205"/>
      <c r="AS86" s="204"/>
      <c r="AT86" s="208">
        <f t="shared" si="176"/>
        <v>0</v>
      </c>
      <c r="AU86" s="203"/>
      <c r="AV86" s="205"/>
      <c r="AW86" s="205"/>
      <c r="AX86" s="205"/>
      <c r="AY86" s="204"/>
      <c r="AZ86" s="208">
        <f t="shared" si="177"/>
        <v>0</v>
      </c>
      <c r="BA86" s="208">
        <f t="shared" si="178"/>
        <v>21.951000000000001</v>
      </c>
      <c r="BB86" s="203">
        <v>21.951000000000001</v>
      </c>
      <c r="BC86" s="205"/>
      <c r="BD86" s="205"/>
      <c r="BE86" s="205"/>
      <c r="BF86" s="204"/>
      <c r="BG86" s="208">
        <f t="shared" si="179"/>
        <v>21.951000000000001</v>
      </c>
      <c r="BH86" s="203"/>
      <c r="BI86" s="205"/>
      <c r="BJ86" s="205"/>
      <c r="BK86" s="205"/>
      <c r="BL86" s="204"/>
      <c r="BM86" s="208">
        <f t="shared" si="164"/>
        <v>0</v>
      </c>
      <c r="BN86" s="203"/>
      <c r="BO86" s="205"/>
      <c r="BP86" s="205"/>
      <c r="BQ86" s="204"/>
      <c r="BR86" s="208">
        <f t="shared" si="180"/>
        <v>0</v>
      </c>
      <c r="BS86" s="203"/>
      <c r="BT86" s="205"/>
      <c r="BU86" s="205"/>
      <c r="BV86" s="205"/>
      <c r="BW86" s="204"/>
      <c r="BX86" s="208">
        <f t="shared" si="181"/>
        <v>0</v>
      </c>
      <c r="BY86" s="203"/>
      <c r="BZ86" s="205"/>
      <c r="CA86" s="208">
        <f t="shared" si="182"/>
        <v>0</v>
      </c>
      <c r="CB86" s="208">
        <f t="shared" si="183"/>
        <v>21.951000000000001</v>
      </c>
      <c r="CC86" s="203"/>
      <c r="CD86" s="205">
        <v>21.951000000000001</v>
      </c>
      <c r="CE86" s="205"/>
      <c r="CF86" s="208">
        <f t="shared" si="228"/>
        <v>21.951000000000001</v>
      </c>
      <c r="CG86" s="203"/>
      <c r="CH86" s="205"/>
      <c r="CI86" s="205"/>
      <c r="CJ86" s="204"/>
      <c r="CK86" s="208">
        <f t="shared" si="184"/>
        <v>0</v>
      </c>
      <c r="CL86" s="203"/>
      <c r="CM86" s="205"/>
      <c r="CN86" s="205"/>
      <c r="CO86" s="205"/>
      <c r="CP86" s="204"/>
      <c r="CQ86" s="208">
        <f t="shared" si="185"/>
        <v>0</v>
      </c>
      <c r="CR86" s="203"/>
      <c r="CS86" s="205"/>
      <c r="CT86" s="205"/>
      <c r="CU86" s="205"/>
      <c r="CV86" s="204"/>
      <c r="CW86" s="208">
        <f t="shared" si="232"/>
        <v>0</v>
      </c>
      <c r="CX86" s="203"/>
      <c r="CY86" s="205"/>
      <c r="CZ86" s="205"/>
      <c r="DA86" s="204"/>
      <c r="DB86" s="208">
        <f t="shared" si="187"/>
        <v>0</v>
      </c>
      <c r="DC86" s="208">
        <f t="shared" si="229"/>
        <v>21.951000000000001</v>
      </c>
      <c r="DD86" s="203">
        <v>21.951000000000001</v>
      </c>
      <c r="DE86" s="205"/>
      <c r="DF86" s="205"/>
      <c r="DG86" s="205"/>
      <c r="DH86" s="205"/>
      <c r="DI86" s="208">
        <f t="shared" si="188"/>
        <v>21.951000000000001</v>
      </c>
      <c r="DJ86" s="203"/>
      <c r="DK86" s="205"/>
      <c r="DL86" s="205"/>
      <c r="DM86" s="205"/>
      <c r="DN86" s="204"/>
      <c r="DO86" s="208">
        <f t="shared" si="189"/>
        <v>0</v>
      </c>
      <c r="DP86" s="203"/>
      <c r="DQ86" s="205"/>
      <c r="DR86" s="205"/>
      <c r="DS86" s="205"/>
      <c r="DT86" s="204"/>
      <c r="DU86" s="245">
        <f t="shared" si="190"/>
        <v>0</v>
      </c>
      <c r="DV86" s="203"/>
      <c r="DW86" s="205"/>
      <c r="DX86" s="205"/>
      <c r="DY86" s="205"/>
      <c r="DZ86" s="204"/>
      <c r="EA86" s="208">
        <f t="shared" si="191"/>
        <v>0</v>
      </c>
      <c r="EB86" s="208">
        <f t="shared" si="192"/>
        <v>21.951000000000001</v>
      </c>
      <c r="EC86" s="203">
        <v>21.951000000000001</v>
      </c>
      <c r="ED86" s="205"/>
      <c r="EE86" s="205"/>
      <c r="EF86" s="205"/>
      <c r="EG86" s="204"/>
      <c r="EH86" s="208">
        <f t="shared" si="193"/>
        <v>21.951000000000001</v>
      </c>
      <c r="EI86" s="203"/>
      <c r="EJ86" s="205"/>
      <c r="EK86" s="205"/>
      <c r="EL86" s="205"/>
      <c r="EM86" s="204"/>
      <c r="EN86" s="208">
        <f t="shared" si="194"/>
        <v>0</v>
      </c>
      <c r="EO86" s="203"/>
      <c r="EP86" s="205"/>
      <c r="EQ86" s="205"/>
      <c r="ER86" s="205"/>
      <c r="ES86" s="204"/>
      <c r="ET86" s="308">
        <f t="shared" si="195"/>
        <v>0</v>
      </c>
      <c r="EU86" s="203"/>
      <c r="EV86" s="205"/>
      <c r="EW86" s="205"/>
      <c r="EX86" s="205"/>
      <c r="EY86" s="205"/>
      <c r="EZ86" s="205"/>
      <c r="FA86" s="204"/>
      <c r="FB86" s="208">
        <f t="shared" si="196"/>
        <v>0</v>
      </c>
      <c r="FC86" s="208">
        <f t="shared" si="197"/>
        <v>21.951000000000001</v>
      </c>
      <c r="FD86" s="203">
        <v>21.951000000000001</v>
      </c>
      <c r="FE86" s="205"/>
      <c r="FF86" s="204"/>
      <c r="FG86" s="208">
        <f t="shared" si="198"/>
        <v>21.951000000000001</v>
      </c>
      <c r="FH86" s="203"/>
      <c r="FI86" s="205"/>
      <c r="FJ86" s="205"/>
      <c r="FK86" s="205"/>
      <c r="FL86" s="204"/>
      <c r="FM86" s="208">
        <f t="shared" si="199"/>
        <v>0</v>
      </c>
      <c r="FN86" s="203"/>
      <c r="FO86" s="205"/>
      <c r="FP86" s="205"/>
      <c r="FQ86" s="205"/>
      <c r="FR86" s="208">
        <f t="shared" si="165"/>
        <v>0</v>
      </c>
      <c r="FS86" s="203"/>
      <c r="FT86" s="205"/>
      <c r="FU86" s="205"/>
      <c r="FV86" s="205"/>
      <c r="FW86" s="204"/>
      <c r="FX86" s="208">
        <f t="shared" si="166"/>
        <v>0</v>
      </c>
      <c r="FY86" s="203"/>
      <c r="FZ86" s="205"/>
      <c r="GA86" s="205"/>
      <c r="GB86" s="205"/>
      <c r="GC86" s="204"/>
      <c r="GD86" s="208">
        <f t="shared" si="167"/>
        <v>0</v>
      </c>
      <c r="GE86" s="208">
        <f t="shared" si="168"/>
        <v>21.951000000000001</v>
      </c>
      <c r="GF86" s="203"/>
      <c r="GG86" s="205">
        <v>21.951000000000001</v>
      </c>
      <c r="GH86" s="205"/>
      <c r="GI86" s="205"/>
      <c r="GJ86" s="205"/>
      <c r="GK86" s="208">
        <f t="shared" si="169"/>
        <v>21.951000000000001</v>
      </c>
      <c r="GL86" s="203"/>
      <c r="GM86" s="205"/>
      <c r="GN86" s="205"/>
      <c r="GO86" s="204"/>
      <c r="GP86" s="208">
        <f t="shared" si="170"/>
        <v>0</v>
      </c>
      <c r="GQ86" s="203"/>
      <c r="GR86" s="205"/>
      <c r="GS86" s="205"/>
      <c r="GT86" s="205"/>
      <c r="GU86" s="204"/>
      <c r="GV86" s="208">
        <f t="shared" si="200"/>
        <v>0</v>
      </c>
      <c r="GW86" s="203"/>
      <c r="GX86" s="205"/>
      <c r="GY86" s="205"/>
      <c r="GZ86" s="205"/>
      <c r="HA86" s="205"/>
      <c r="HB86" s="204"/>
      <c r="HC86" s="208">
        <f t="shared" si="201"/>
        <v>0</v>
      </c>
      <c r="HD86" s="208">
        <f t="shared" si="202"/>
        <v>21.951000000000001</v>
      </c>
      <c r="HE86" s="203">
        <v>21.951000000000001</v>
      </c>
      <c r="HF86" s="205"/>
      <c r="HG86" s="205"/>
      <c r="HH86" s="205"/>
      <c r="HI86" s="208">
        <f t="shared" si="203"/>
        <v>21.951000000000001</v>
      </c>
      <c r="HJ86" s="203"/>
      <c r="HK86" s="205"/>
      <c r="HL86" s="205"/>
      <c r="HM86" s="205"/>
      <c r="HN86" s="204"/>
      <c r="HO86" s="245">
        <f t="shared" si="204"/>
        <v>0</v>
      </c>
      <c r="HP86" s="203"/>
      <c r="HQ86" s="205"/>
      <c r="HR86" s="205"/>
      <c r="HS86" s="205"/>
      <c r="HT86" s="204"/>
      <c r="HU86" s="208">
        <f t="shared" si="205"/>
        <v>0</v>
      </c>
      <c r="HV86" s="203"/>
      <c r="HW86" s="205"/>
      <c r="HX86" s="205"/>
      <c r="HY86" s="208">
        <f t="shared" si="171"/>
        <v>0</v>
      </c>
      <c r="HZ86" s="203"/>
      <c r="IA86" s="205"/>
      <c r="IB86" s="204"/>
      <c r="IC86" s="208">
        <f t="shared" si="206"/>
        <v>0</v>
      </c>
      <c r="ID86" s="208">
        <f t="shared" si="172"/>
        <v>21.951000000000001</v>
      </c>
      <c r="IE86" s="203">
        <v>21.951000000000001</v>
      </c>
      <c r="IF86" s="204"/>
      <c r="IG86" s="208">
        <f t="shared" si="207"/>
        <v>21.951000000000001</v>
      </c>
      <c r="IH86" s="203"/>
      <c r="II86" s="205"/>
      <c r="IJ86" s="205"/>
      <c r="IK86" s="205"/>
      <c r="IL86" s="204"/>
      <c r="IM86" s="208">
        <f t="shared" si="208"/>
        <v>0</v>
      </c>
      <c r="IN86" s="203"/>
      <c r="IO86" s="205"/>
      <c r="IP86" s="204"/>
      <c r="IQ86" s="208">
        <f t="shared" si="209"/>
        <v>0</v>
      </c>
      <c r="IR86" s="203"/>
      <c r="IS86" s="205"/>
      <c r="IT86" s="205"/>
      <c r="IU86" s="205"/>
      <c r="IV86" s="204"/>
      <c r="IW86" s="208">
        <f t="shared" si="210"/>
        <v>0</v>
      </c>
      <c r="IX86" s="203"/>
      <c r="IY86" s="205"/>
      <c r="IZ86" s="205"/>
      <c r="JA86" s="205"/>
      <c r="JB86" s="204"/>
      <c r="JC86" s="208">
        <f t="shared" si="211"/>
        <v>0</v>
      </c>
      <c r="JD86" s="208">
        <f t="shared" si="212"/>
        <v>21.951000000000001</v>
      </c>
      <c r="JE86" s="203"/>
      <c r="JF86" s="205">
        <v>21.951000000000001</v>
      </c>
      <c r="JG86" s="205"/>
      <c r="JH86" s="205"/>
      <c r="JI86" s="204"/>
      <c r="JJ86" s="208">
        <f t="shared" si="213"/>
        <v>21.951000000000001</v>
      </c>
      <c r="JK86" s="203"/>
      <c r="JL86" s="205"/>
      <c r="JM86" s="205"/>
      <c r="JN86" s="205"/>
      <c r="JO86" s="204"/>
      <c r="JP86" s="208">
        <f t="shared" si="214"/>
        <v>0</v>
      </c>
      <c r="JQ86" s="203"/>
      <c r="JR86" s="205"/>
      <c r="JS86" s="205"/>
      <c r="JT86" s="205"/>
      <c r="JU86" s="204"/>
      <c r="JV86" s="208">
        <f t="shared" si="215"/>
        <v>0</v>
      </c>
      <c r="JW86" s="203"/>
      <c r="JX86" s="205"/>
      <c r="JY86" s="205"/>
      <c r="JZ86" s="205"/>
      <c r="KA86" s="205"/>
      <c r="KB86" s="204"/>
      <c r="KC86" s="208">
        <f t="shared" si="216"/>
        <v>0</v>
      </c>
      <c r="KD86" s="208">
        <f t="shared" si="217"/>
        <v>21.951000000000001</v>
      </c>
      <c r="KE86" s="203"/>
      <c r="KF86" s="205"/>
      <c r="KG86" s="205"/>
      <c r="KH86" s="205"/>
      <c r="KI86" s="204"/>
      <c r="KJ86" s="208">
        <f t="shared" si="218"/>
        <v>0</v>
      </c>
      <c r="KK86" s="203"/>
      <c r="KL86" s="205"/>
      <c r="KM86" s="205"/>
      <c r="KN86" s="205"/>
      <c r="KO86" s="204"/>
      <c r="KP86" s="208">
        <f t="shared" si="219"/>
        <v>0</v>
      </c>
      <c r="KQ86" s="203"/>
      <c r="KR86" s="205"/>
      <c r="KS86" s="205"/>
      <c r="KT86" s="205"/>
      <c r="KU86" s="204"/>
      <c r="KV86" s="208">
        <f t="shared" si="220"/>
        <v>0</v>
      </c>
      <c r="KW86" s="203"/>
      <c r="KX86" s="205"/>
      <c r="KY86" s="205"/>
      <c r="KZ86" s="205"/>
      <c r="LA86" s="204"/>
      <c r="LB86" s="208">
        <f t="shared" si="221"/>
        <v>0</v>
      </c>
      <c r="LC86" s="202"/>
      <c r="LD86" s="244"/>
      <c r="LE86" s="245"/>
      <c r="LF86" s="208">
        <f t="shared" si="222"/>
        <v>0</v>
      </c>
      <c r="LG86" s="208">
        <f t="shared" si="223"/>
        <v>0</v>
      </c>
      <c r="LM86" s="16"/>
    </row>
    <row r="87" spans="2:325" s="91" customFormat="1">
      <c r="B87" s="167" t="s">
        <v>393</v>
      </c>
      <c r="C87" s="167"/>
      <c r="D87" s="202">
        <f t="shared" si="163"/>
        <v>0</v>
      </c>
      <c r="E87" s="167"/>
      <c r="F87" s="177"/>
      <c r="G87" s="177"/>
      <c r="H87" s="177"/>
      <c r="I87" s="178"/>
      <c r="J87" s="202">
        <f t="shared" si="224"/>
        <v>0</v>
      </c>
      <c r="K87" s="167"/>
      <c r="L87" s="177"/>
      <c r="M87" s="177"/>
      <c r="N87" s="178"/>
      <c r="O87" s="202">
        <f t="shared" si="231"/>
        <v>0</v>
      </c>
      <c r="P87" s="167"/>
      <c r="Q87" s="177"/>
      <c r="R87" s="177"/>
      <c r="S87" s="177"/>
      <c r="T87" s="178"/>
      <c r="U87" s="202">
        <f t="shared" si="173"/>
        <v>0</v>
      </c>
      <c r="V87" s="167"/>
      <c r="W87" s="177"/>
      <c r="X87" s="177"/>
      <c r="Y87" s="177"/>
      <c r="Z87" s="177"/>
      <c r="AA87" s="208">
        <f t="shared" si="174"/>
        <v>0</v>
      </c>
      <c r="AB87" s="208">
        <f t="shared" si="226"/>
        <v>0</v>
      </c>
      <c r="AC87" s="203"/>
      <c r="AD87" s="205"/>
      <c r="AE87" s="205"/>
      <c r="AF87" s="205"/>
      <c r="AG87" s="204"/>
      <c r="AH87" s="208">
        <f t="shared" si="227"/>
        <v>0</v>
      </c>
      <c r="AI87" s="203"/>
      <c r="AJ87" s="205"/>
      <c r="AK87" s="205"/>
      <c r="AL87" s="205"/>
      <c r="AM87" s="204"/>
      <c r="AN87" s="208">
        <f t="shared" si="175"/>
        <v>0</v>
      </c>
      <c r="AO87" s="203"/>
      <c r="AP87" s="205"/>
      <c r="AQ87" s="205"/>
      <c r="AR87" s="205"/>
      <c r="AS87" s="204"/>
      <c r="AT87" s="208">
        <f t="shared" si="176"/>
        <v>0</v>
      </c>
      <c r="AU87" s="203"/>
      <c r="AV87" s="205"/>
      <c r="AW87" s="205"/>
      <c r="AX87" s="205"/>
      <c r="AY87" s="204"/>
      <c r="AZ87" s="208">
        <f t="shared" si="177"/>
        <v>0</v>
      </c>
      <c r="BA87" s="208">
        <f t="shared" si="178"/>
        <v>0</v>
      </c>
      <c r="BB87" s="203"/>
      <c r="BC87" s="205"/>
      <c r="BD87" s="205"/>
      <c r="BE87" s="205"/>
      <c r="BF87" s="204"/>
      <c r="BG87" s="208">
        <f t="shared" si="179"/>
        <v>0</v>
      </c>
      <c r="BH87" s="203"/>
      <c r="BI87" s="205"/>
      <c r="BJ87" s="205"/>
      <c r="BK87" s="205"/>
      <c r="BL87" s="204"/>
      <c r="BM87" s="208">
        <f t="shared" si="164"/>
        <v>0</v>
      </c>
      <c r="BN87" s="203"/>
      <c r="BO87" s="205"/>
      <c r="BP87" s="205"/>
      <c r="BQ87" s="204"/>
      <c r="BR87" s="208">
        <f t="shared" si="180"/>
        <v>0</v>
      </c>
      <c r="BS87" s="203"/>
      <c r="BT87" s="205"/>
      <c r="BU87" s="205"/>
      <c r="BV87" s="205"/>
      <c r="BW87" s="204"/>
      <c r="BX87" s="208">
        <f t="shared" si="181"/>
        <v>0</v>
      </c>
      <c r="BY87" s="203"/>
      <c r="BZ87" s="205"/>
      <c r="CA87" s="208">
        <f t="shared" si="182"/>
        <v>0</v>
      </c>
      <c r="CB87" s="208">
        <f t="shared" si="183"/>
        <v>0</v>
      </c>
      <c r="CC87" s="203"/>
      <c r="CD87" s="205"/>
      <c r="CE87" s="205"/>
      <c r="CF87" s="208">
        <f t="shared" si="228"/>
        <v>0</v>
      </c>
      <c r="CG87" s="203"/>
      <c r="CH87" s="205"/>
      <c r="CI87" s="205"/>
      <c r="CJ87" s="204"/>
      <c r="CK87" s="208">
        <f t="shared" si="184"/>
        <v>0</v>
      </c>
      <c r="CL87" s="203"/>
      <c r="CM87" s="205"/>
      <c r="CN87" s="205"/>
      <c r="CO87" s="205"/>
      <c r="CP87" s="204"/>
      <c r="CQ87" s="208">
        <f t="shared" si="185"/>
        <v>0</v>
      </c>
      <c r="CR87" s="203"/>
      <c r="CS87" s="205"/>
      <c r="CT87" s="205"/>
      <c r="CU87" s="205"/>
      <c r="CV87" s="204"/>
      <c r="CW87" s="208">
        <f t="shared" si="232"/>
        <v>0</v>
      </c>
      <c r="CX87" s="203"/>
      <c r="CY87" s="205"/>
      <c r="CZ87" s="205"/>
      <c r="DA87" s="204"/>
      <c r="DB87" s="208">
        <f t="shared" si="187"/>
        <v>0</v>
      </c>
      <c r="DC87" s="208">
        <f t="shared" si="229"/>
        <v>0</v>
      </c>
      <c r="DD87" s="203"/>
      <c r="DE87" s="205"/>
      <c r="DF87" s="205"/>
      <c r="DG87" s="205"/>
      <c r="DH87" s="205"/>
      <c r="DI87" s="208">
        <f t="shared" si="188"/>
        <v>0</v>
      </c>
      <c r="DJ87" s="203"/>
      <c r="DK87" s="205"/>
      <c r="DL87" s="205"/>
      <c r="DM87" s="205"/>
      <c r="DN87" s="204"/>
      <c r="DO87" s="208">
        <f t="shared" si="189"/>
        <v>0</v>
      </c>
      <c r="DP87" s="203"/>
      <c r="DQ87" s="205"/>
      <c r="DR87" s="205"/>
      <c r="DS87" s="205"/>
      <c r="DT87" s="204"/>
      <c r="DU87" s="245">
        <f t="shared" si="190"/>
        <v>0</v>
      </c>
      <c r="DV87" s="203"/>
      <c r="DW87" s="205"/>
      <c r="DX87" s="205"/>
      <c r="DY87" s="205"/>
      <c r="DZ87" s="204"/>
      <c r="EA87" s="208">
        <f t="shared" si="191"/>
        <v>0</v>
      </c>
      <c r="EB87" s="208">
        <f t="shared" si="192"/>
        <v>0</v>
      </c>
      <c r="EC87" s="203"/>
      <c r="ED87" s="205"/>
      <c r="EE87" s="205"/>
      <c r="EF87" s="205"/>
      <c r="EG87" s="204"/>
      <c r="EH87" s="208">
        <f t="shared" si="193"/>
        <v>0</v>
      </c>
      <c r="EI87" s="203"/>
      <c r="EJ87" s="205"/>
      <c r="EK87" s="205"/>
      <c r="EL87" s="205"/>
      <c r="EM87" s="204"/>
      <c r="EN87" s="208">
        <f t="shared" si="194"/>
        <v>0</v>
      </c>
      <c r="EO87" s="203"/>
      <c r="EP87" s="205"/>
      <c r="EQ87" s="205"/>
      <c r="ER87" s="205"/>
      <c r="ES87" s="204"/>
      <c r="ET87" s="308">
        <f t="shared" si="195"/>
        <v>0</v>
      </c>
      <c r="EU87" s="203"/>
      <c r="EV87" s="205"/>
      <c r="EW87" s="205"/>
      <c r="EX87" s="205"/>
      <c r="EY87" s="205"/>
      <c r="EZ87" s="205"/>
      <c r="FA87" s="204"/>
      <c r="FB87" s="208">
        <f t="shared" si="196"/>
        <v>0</v>
      </c>
      <c r="FC87" s="208">
        <f t="shared" si="197"/>
        <v>0</v>
      </c>
      <c r="FD87" s="203"/>
      <c r="FE87" s="205"/>
      <c r="FF87" s="204"/>
      <c r="FG87" s="208">
        <f t="shared" si="198"/>
        <v>0</v>
      </c>
      <c r="FH87" s="203"/>
      <c r="FI87" s="205"/>
      <c r="FJ87" s="205"/>
      <c r="FK87" s="205"/>
      <c r="FL87" s="204"/>
      <c r="FM87" s="208">
        <f t="shared" si="199"/>
        <v>0</v>
      </c>
      <c r="FN87" s="203"/>
      <c r="FO87" s="205"/>
      <c r="FP87" s="205"/>
      <c r="FQ87" s="205"/>
      <c r="FR87" s="208">
        <f t="shared" si="165"/>
        <v>0</v>
      </c>
      <c r="FS87" s="203"/>
      <c r="FT87" s="205"/>
      <c r="FU87" s="205"/>
      <c r="FV87" s="205"/>
      <c r="FW87" s="204"/>
      <c r="FX87" s="208">
        <f t="shared" si="166"/>
        <v>0</v>
      </c>
      <c r="FY87" s="203"/>
      <c r="FZ87" s="205"/>
      <c r="GA87" s="205"/>
      <c r="GB87" s="205"/>
      <c r="GC87" s="204"/>
      <c r="GD87" s="208">
        <f t="shared" si="167"/>
        <v>0</v>
      </c>
      <c r="GE87" s="208">
        <f t="shared" si="168"/>
        <v>0</v>
      </c>
      <c r="GF87" s="203"/>
      <c r="GG87" s="205"/>
      <c r="GH87" s="205"/>
      <c r="GI87" s="205"/>
      <c r="GJ87" s="205"/>
      <c r="GK87" s="208">
        <f t="shared" si="169"/>
        <v>0</v>
      </c>
      <c r="GL87" s="203"/>
      <c r="GM87" s="205"/>
      <c r="GN87" s="205"/>
      <c r="GO87" s="204"/>
      <c r="GP87" s="208">
        <f t="shared" si="170"/>
        <v>0</v>
      </c>
      <c r="GQ87" s="203"/>
      <c r="GR87" s="205"/>
      <c r="GS87" s="205"/>
      <c r="GT87" s="205"/>
      <c r="GU87" s="204"/>
      <c r="GV87" s="208">
        <f t="shared" si="200"/>
        <v>0</v>
      </c>
      <c r="GW87" s="203"/>
      <c r="GX87" s="205"/>
      <c r="GY87" s="205"/>
      <c r="GZ87" s="205"/>
      <c r="HA87" s="205"/>
      <c r="HB87" s="204"/>
      <c r="HC87" s="208">
        <f t="shared" si="201"/>
        <v>0</v>
      </c>
      <c r="HD87" s="208">
        <f t="shared" si="202"/>
        <v>0</v>
      </c>
      <c r="HE87" s="203"/>
      <c r="HF87" s="205"/>
      <c r="HG87" s="205"/>
      <c r="HH87" s="205"/>
      <c r="HI87" s="208">
        <f t="shared" si="203"/>
        <v>0</v>
      </c>
      <c r="HJ87" s="203"/>
      <c r="HK87" s="205"/>
      <c r="HL87" s="205"/>
      <c r="HM87" s="205"/>
      <c r="HN87" s="204"/>
      <c r="HO87" s="245">
        <f t="shared" si="204"/>
        <v>0</v>
      </c>
      <c r="HP87" s="203"/>
      <c r="HQ87" s="205"/>
      <c r="HR87" s="205"/>
      <c r="HS87" s="205"/>
      <c r="HT87" s="204"/>
      <c r="HU87" s="208">
        <f t="shared" si="205"/>
        <v>0</v>
      </c>
      <c r="HV87" s="203"/>
      <c r="HW87" s="205"/>
      <c r="HX87" s="205"/>
      <c r="HY87" s="208">
        <f t="shared" si="171"/>
        <v>0</v>
      </c>
      <c r="HZ87" s="203"/>
      <c r="IA87" s="205"/>
      <c r="IB87" s="204"/>
      <c r="IC87" s="208">
        <f t="shared" si="206"/>
        <v>0</v>
      </c>
      <c r="ID87" s="208">
        <f t="shared" si="172"/>
        <v>0</v>
      </c>
      <c r="IE87" s="203"/>
      <c r="IF87" s="204"/>
      <c r="IG87" s="208">
        <f t="shared" si="207"/>
        <v>0</v>
      </c>
      <c r="IH87" s="203"/>
      <c r="II87" s="205"/>
      <c r="IJ87" s="205"/>
      <c r="IK87" s="205"/>
      <c r="IL87" s="204"/>
      <c r="IM87" s="208">
        <f t="shared" si="208"/>
        <v>0</v>
      </c>
      <c r="IN87" s="203"/>
      <c r="IO87" s="205"/>
      <c r="IP87" s="204"/>
      <c r="IQ87" s="208">
        <f t="shared" si="209"/>
        <v>0</v>
      </c>
      <c r="IR87" s="203"/>
      <c r="IS87" s="205"/>
      <c r="IT87" s="205"/>
      <c r="IU87" s="205"/>
      <c r="IV87" s="204"/>
      <c r="IW87" s="208">
        <f t="shared" si="210"/>
        <v>0</v>
      </c>
      <c r="IX87" s="203"/>
      <c r="IY87" s="205"/>
      <c r="IZ87" s="205"/>
      <c r="JA87" s="205"/>
      <c r="JB87" s="204"/>
      <c r="JC87" s="208">
        <f t="shared" si="211"/>
        <v>0</v>
      </c>
      <c r="JD87" s="208">
        <f t="shared" si="212"/>
        <v>0</v>
      </c>
      <c r="JE87" s="203"/>
      <c r="JF87" s="205"/>
      <c r="JG87" s="205"/>
      <c r="JH87" s="205"/>
      <c r="JI87" s="204"/>
      <c r="JJ87" s="208">
        <f t="shared" si="213"/>
        <v>0</v>
      </c>
      <c r="JK87" s="203"/>
      <c r="JL87" s="205"/>
      <c r="JM87" s="205"/>
      <c r="JN87" s="205"/>
      <c r="JO87" s="204"/>
      <c r="JP87" s="208">
        <f t="shared" si="214"/>
        <v>0</v>
      </c>
      <c r="JQ87" s="203"/>
      <c r="JR87" s="205"/>
      <c r="JS87" s="205"/>
      <c r="JT87" s="205"/>
      <c r="JU87" s="204"/>
      <c r="JV87" s="208">
        <f t="shared" si="215"/>
        <v>0</v>
      </c>
      <c r="JW87" s="203"/>
      <c r="JX87" s="205"/>
      <c r="JY87" s="205"/>
      <c r="JZ87" s="205"/>
      <c r="KA87" s="205"/>
      <c r="KB87" s="204"/>
      <c r="KC87" s="208">
        <f t="shared" si="216"/>
        <v>0</v>
      </c>
      <c r="KD87" s="208">
        <f t="shared" si="217"/>
        <v>0</v>
      </c>
      <c r="KE87" s="203"/>
      <c r="KF87" s="205"/>
      <c r="KG87" s="205"/>
      <c r="KH87" s="205"/>
      <c r="KI87" s="204"/>
      <c r="KJ87" s="208">
        <f t="shared" si="218"/>
        <v>0</v>
      </c>
      <c r="KK87" s="203"/>
      <c r="KL87" s="205"/>
      <c r="KM87" s="205"/>
      <c r="KN87" s="205"/>
      <c r="KO87" s="204"/>
      <c r="KP87" s="208">
        <f t="shared" si="219"/>
        <v>0</v>
      </c>
      <c r="KQ87" s="203"/>
      <c r="KR87" s="205"/>
      <c r="KS87" s="205"/>
      <c r="KT87" s="205"/>
      <c r="KU87" s="204"/>
      <c r="KV87" s="208">
        <f t="shared" si="220"/>
        <v>0</v>
      </c>
      <c r="KW87" s="203"/>
      <c r="KX87" s="205"/>
      <c r="KY87" s="205"/>
      <c r="KZ87" s="205"/>
      <c r="LA87" s="204"/>
      <c r="LB87" s="208">
        <f t="shared" si="221"/>
        <v>0</v>
      </c>
      <c r="LC87" s="202"/>
      <c r="LD87" s="244"/>
      <c r="LE87" s="245"/>
      <c r="LF87" s="208">
        <f t="shared" si="222"/>
        <v>0</v>
      </c>
      <c r="LG87" s="208">
        <f t="shared" si="223"/>
        <v>0</v>
      </c>
      <c r="LM87" s="16"/>
    </row>
    <row r="88" spans="2:325" s="91" customFormat="1">
      <c r="B88" s="167" t="s">
        <v>394</v>
      </c>
      <c r="C88" s="167">
        <v>334.04599999999999</v>
      </c>
      <c r="D88" s="202">
        <f t="shared" si="163"/>
        <v>334.04599999999999</v>
      </c>
      <c r="E88" s="167"/>
      <c r="F88" s="177"/>
      <c r="G88" s="177"/>
      <c r="H88" s="177"/>
      <c r="I88" s="178"/>
      <c r="J88" s="202">
        <f t="shared" ref="J88:J96" si="233">SUM(E88:I88)</f>
        <v>0</v>
      </c>
      <c r="K88" s="167"/>
      <c r="L88" s="177"/>
      <c r="M88" s="177"/>
      <c r="N88" s="178"/>
      <c r="O88" s="202">
        <f t="shared" si="231"/>
        <v>0</v>
      </c>
      <c r="P88" s="167"/>
      <c r="Q88" s="177"/>
      <c r="R88" s="177"/>
      <c r="S88" s="177"/>
      <c r="T88" s="178"/>
      <c r="U88" s="202">
        <f t="shared" si="173"/>
        <v>0</v>
      </c>
      <c r="V88" s="167"/>
      <c r="W88" s="177"/>
      <c r="X88" s="177"/>
      <c r="Y88" s="177"/>
      <c r="Z88" s="177"/>
      <c r="AA88" s="208">
        <f t="shared" si="174"/>
        <v>0</v>
      </c>
      <c r="AB88" s="208">
        <f t="shared" si="226"/>
        <v>334.04599999999999</v>
      </c>
      <c r="AC88" s="203">
        <v>358.27100000000002</v>
      </c>
      <c r="AD88" s="205"/>
      <c r="AE88" s="205"/>
      <c r="AF88" s="205"/>
      <c r="AG88" s="204"/>
      <c r="AH88" s="208">
        <f t="shared" si="227"/>
        <v>358.27100000000002</v>
      </c>
      <c r="AI88" s="203"/>
      <c r="AJ88" s="205"/>
      <c r="AK88" s="205"/>
      <c r="AL88" s="205"/>
      <c r="AM88" s="204"/>
      <c r="AN88" s="208">
        <f t="shared" si="175"/>
        <v>0</v>
      </c>
      <c r="AO88" s="203"/>
      <c r="AP88" s="205"/>
      <c r="AQ88" s="205"/>
      <c r="AR88" s="205"/>
      <c r="AS88" s="204"/>
      <c r="AT88" s="208">
        <f t="shared" si="176"/>
        <v>0</v>
      </c>
      <c r="AU88" s="203"/>
      <c r="AV88" s="205"/>
      <c r="AW88" s="205"/>
      <c r="AX88" s="205"/>
      <c r="AY88" s="204"/>
      <c r="AZ88" s="208">
        <f t="shared" si="177"/>
        <v>0</v>
      </c>
      <c r="BA88" s="208">
        <f t="shared" si="178"/>
        <v>358.27100000000002</v>
      </c>
      <c r="BB88" s="203">
        <v>115.22799999999999</v>
      </c>
      <c r="BC88" s="205"/>
      <c r="BD88" s="205"/>
      <c r="BE88" s="205"/>
      <c r="BF88" s="204"/>
      <c r="BG88" s="208">
        <f t="shared" si="179"/>
        <v>115.22799999999999</v>
      </c>
      <c r="BH88" s="203"/>
      <c r="BI88" s="205"/>
      <c r="BJ88" s="205"/>
      <c r="BK88" s="205"/>
      <c r="BL88" s="204"/>
      <c r="BM88" s="208">
        <f t="shared" si="164"/>
        <v>0</v>
      </c>
      <c r="BN88" s="203"/>
      <c r="BO88" s="205"/>
      <c r="BP88" s="205"/>
      <c r="BQ88" s="204"/>
      <c r="BR88" s="208">
        <f t="shared" si="180"/>
        <v>0</v>
      </c>
      <c r="BS88" s="203"/>
      <c r="BT88" s="205"/>
      <c r="BU88" s="205"/>
      <c r="BV88" s="205"/>
      <c r="BW88" s="204"/>
      <c r="BX88" s="208">
        <f t="shared" si="181"/>
        <v>0</v>
      </c>
      <c r="BY88" s="203"/>
      <c r="BZ88" s="205"/>
      <c r="CA88" s="208">
        <f t="shared" si="182"/>
        <v>0</v>
      </c>
      <c r="CB88" s="208">
        <f t="shared" si="183"/>
        <v>115.22799999999999</v>
      </c>
      <c r="CC88" s="203"/>
      <c r="CD88" s="205">
        <v>127.57299999999999</v>
      </c>
      <c r="CE88" s="205"/>
      <c r="CF88" s="208">
        <f t="shared" si="228"/>
        <v>127.57299999999999</v>
      </c>
      <c r="CG88" s="203"/>
      <c r="CH88" s="205"/>
      <c r="CI88" s="205"/>
      <c r="CJ88" s="204"/>
      <c r="CK88" s="208">
        <f t="shared" si="184"/>
        <v>0</v>
      </c>
      <c r="CL88" s="203"/>
      <c r="CM88" s="205"/>
      <c r="CN88" s="205"/>
      <c r="CO88" s="205"/>
      <c r="CP88" s="204"/>
      <c r="CQ88" s="208">
        <f t="shared" si="185"/>
        <v>0</v>
      </c>
      <c r="CR88" s="203"/>
      <c r="CS88" s="205"/>
      <c r="CT88" s="205"/>
      <c r="CU88" s="205"/>
      <c r="CV88" s="204"/>
      <c r="CW88" s="208">
        <f t="shared" si="232"/>
        <v>0</v>
      </c>
      <c r="CX88" s="203"/>
      <c r="CY88" s="205"/>
      <c r="CZ88" s="205"/>
      <c r="DA88" s="204"/>
      <c r="DB88" s="208">
        <f t="shared" si="187"/>
        <v>0</v>
      </c>
      <c r="DC88" s="208">
        <f t="shared" si="229"/>
        <v>127.57299999999999</v>
      </c>
      <c r="DD88" s="203">
        <v>69.959999999999994</v>
      </c>
      <c r="DE88" s="205"/>
      <c r="DF88" s="205"/>
      <c r="DG88" s="205"/>
      <c r="DH88" s="205"/>
      <c r="DI88" s="208">
        <f t="shared" si="188"/>
        <v>69.959999999999994</v>
      </c>
      <c r="DJ88" s="203"/>
      <c r="DK88" s="205"/>
      <c r="DL88" s="205"/>
      <c r="DM88" s="205"/>
      <c r="DN88" s="204"/>
      <c r="DO88" s="208">
        <f t="shared" si="189"/>
        <v>0</v>
      </c>
      <c r="DP88" s="203"/>
      <c r="DQ88" s="205"/>
      <c r="DR88" s="205"/>
      <c r="DS88" s="205"/>
      <c r="DT88" s="204"/>
      <c r="DU88" s="245">
        <f t="shared" si="190"/>
        <v>0</v>
      </c>
      <c r="DV88" s="203"/>
      <c r="DW88" s="205"/>
      <c r="DX88" s="205"/>
      <c r="DY88" s="205"/>
      <c r="DZ88" s="204"/>
      <c r="EA88" s="208">
        <f t="shared" si="191"/>
        <v>0</v>
      </c>
      <c r="EB88" s="208">
        <f t="shared" si="192"/>
        <v>69.959999999999994</v>
      </c>
      <c r="EC88" s="203"/>
      <c r="ED88" s="205"/>
      <c r="EE88" s="205"/>
      <c r="EF88" s="205"/>
      <c r="EG88" s="204"/>
      <c r="EH88" s="208">
        <f t="shared" si="193"/>
        <v>0</v>
      </c>
      <c r="EI88" s="203"/>
      <c r="EJ88" s="205"/>
      <c r="EK88" s="205"/>
      <c r="EL88" s="205"/>
      <c r="EM88" s="204"/>
      <c r="EN88" s="208">
        <f t="shared" si="194"/>
        <v>0</v>
      </c>
      <c r="EO88" s="203"/>
      <c r="EP88" s="205"/>
      <c r="EQ88" s="205"/>
      <c r="ER88" s="205"/>
      <c r="ES88" s="204"/>
      <c r="ET88" s="308">
        <f t="shared" si="195"/>
        <v>0</v>
      </c>
      <c r="EU88" s="203"/>
      <c r="EV88" s="205"/>
      <c r="EW88" s="205"/>
      <c r="EX88" s="205"/>
      <c r="EY88" s="205"/>
      <c r="EZ88" s="205"/>
      <c r="FA88" s="204"/>
      <c r="FB88" s="208">
        <f t="shared" si="196"/>
        <v>0</v>
      </c>
      <c r="FC88" s="208">
        <f t="shared" si="197"/>
        <v>0</v>
      </c>
      <c r="FD88" s="203"/>
      <c r="FE88" s="205"/>
      <c r="FF88" s="204"/>
      <c r="FG88" s="208">
        <f t="shared" si="198"/>
        <v>0</v>
      </c>
      <c r="FH88" s="203"/>
      <c r="FI88" s="205"/>
      <c r="FJ88" s="205"/>
      <c r="FK88" s="205"/>
      <c r="FL88" s="204"/>
      <c r="FM88" s="208">
        <f t="shared" si="199"/>
        <v>0</v>
      </c>
      <c r="FN88" s="203"/>
      <c r="FO88" s="205"/>
      <c r="FP88" s="205"/>
      <c r="FQ88" s="205"/>
      <c r="FR88" s="208">
        <f t="shared" si="165"/>
        <v>0</v>
      </c>
      <c r="FS88" s="203"/>
      <c r="FT88" s="205"/>
      <c r="FU88" s="205"/>
      <c r="FV88" s="205"/>
      <c r="FW88" s="204"/>
      <c r="FX88" s="208">
        <f t="shared" si="166"/>
        <v>0</v>
      </c>
      <c r="FY88" s="203"/>
      <c r="FZ88" s="205"/>
      <c r="GA88" s="205"/>
      <c r="GB88" s="205"/>
      <c r="GC88" s="204"/>
      <c r="GD88" s="208">
        <f t="shared" si="167"/>
        <v>0</v>
      </c>
      <c r="GE88" s="208">
        <f t="shared" si="168"/>
        <v>0</v>
      </c>
      <c r="GF88" s="203"/>
      <c r="GG88" s="205"/>
      <c r="GH88" s="205"/>
      <c r="GI88" s="205"/>
      <c r="GJ88" s="205"/>
      <c r="GK88" s="208">
        <f t="shared" si="169"/>
        <v>0</v>
      </c>
      <c r="GL88" s="203"/>
      <c r="GM88" s="205"/>
      <c r="GN88" s="205"/>
      <c r="GO88" s="204"/>
      <c r="GP88" s="208">
        <f t="shared" si="170"/>
        <v>0</v>
      </c>
      <c r="GQ88" s="203"/>
      <c r="GR88" s="205"/>
      <c r="GS88" s="205"/>
      <c r="GT88" s="205"/>
      <c r="GU88" s="204"/>
      <c r="GV88" s="208">
        <f t="shared" si="200"/>
        <v>0</v>
      </c>
      <c r="GW88" s="203"/>
      <c r="GX88" s="205"/>
      <c r="GY88" s="205">
        <v>25</v>
      </c>
      <c r="GZ88" s="205"/>
      <c r="HA88" s="205"/>
      <c r="HB88" s="204">
        <v>8.5</v>
      </c>
      <c r="HC88" s="208">
        <f t="shared" si="201"/>
        <v>33.5</v>
      </c>
      <c r="HD88" s="208">
        <f t="shared" si="202"/>
        <v>33.5</v>
      </c>
      <c r="HE88" s="203">
        <v>56.844000000000001</v>
      </c>
      <c r="HF88" s="205"/>
      <c r="HG88" s="205"/>
      <c r="HH88" s="205"/>
      <c r="HI88" s="208">
        <f t="shared" si="203"/>
        <v>56.844000000000001</v>
      </c>
      <c r="HJ88" s="203"/>
      <c r="HK88" s="205"/>
      <c r="HL88" s="205"/>
      <c r="HM88" s="205"/>
      <c r="HN88" s="204"/>
      <c r="HO88" s="245">
        <f t="shared" si="204"/>
        <v>0</v>
      </c>
      <c r="HP88" s="203"/>
      <c r="HQ88" s="205"/>
      <c r="HR88" s="205"/>
      <c r="HS88" s="205"/>
      <c r="HT88" s="204"/>
      <c r="HU88" s="208">
        <f t="shared" si="205"/>
        <v>0</v>
      </c>
      <c r="HV88" s="203"/>
      <c r="HW88" s="205"/>
      <c r="HX88" s="205"/>
      <c r="HY88" s="208">
        <f t="shared" si="171"/>
        <v>0</v>
      </c>
      <c r="HZ88" s="203"/>
      <c r="IA88" s="205"/>
      <c r="IB88" s="204"/>
      <c r="IC88" s="208">
        <f t="shared" si="206"/>
        <v>0</v>
      </c>
      <c r="ID88" s="208">
        <f t="shared" si="172"/>
        <v>56.844000000000001</v>
      </c>
      <c r="IE88" s="203">
        <v>243.61600000000001</v>
      </c>
      <c r="IF88" s="204"/>
      <c r="IG88" s="208">
        <f t="shared" si="207"/>
        <v>243.61600000000001</v>
      </c>
      <c r="IH88" s="203"/>
      <c r="II88" s="205"/>
      <c r="IJ88" s="205"/>
      <c r="IK88" s="205"/>
      <c r="IL88" s="204"/>
      <c r="IM88" s="208">
        <f t="shared" si="208"/>
        <v>0</v>
      </c>
      <c r="IN88" s="203"/>
      <c r="IO88" s="205"/>
      <c r="IP88" s="204"/>
      <c r="IQ88" s="208">
        <f t="shared" si="209"/>
        <v>0</v>
      </c>
      <c r="IR88" s="203"/>
      <c r="IS88" s="205"/>
      <c r="IT88" s="205"/>
      <c r="IU88" s="205"/>
      <c r="IV88" s="204"/>
      <c r="IW88" s="208">
        <f t="shared" si="210"/>
        <v>0</v>
      </c>
      <c r="IX88" s="203"/>
      <c r="IY88" s="205"/>
      <c r="IZ88" s="205"/>
      <c r="JA88" s="205"/>
      <c r="JB88" s="204"/>
      <c r="JC88" s="208">
        <f t="shared" si="211"/>
        <v>0</v>
      </c>
      <c r="JD88" s="208">
        <f t="shared" si="212"/>
        <v>243.61600000000001</v>
      </c>
      <c r="JE88" s="203"/>
      <c r="JF88" s="205">
        <v>284.49</v>
      </c>
      <c r="JG88" s="205"/>
      <c r="JH88" s="205"/>
      <c r="JI88" s="204"/>
      <c r="JJ88" s="208">
        <f t="shared" si="213"/>
        <v>284.49</v>
      </c>
      <c r="JK88" s="203"/>
      <c r="JL88" s="205"/>
      <c r="JM88" s="205"/>
      <c r="JN88" s="205"/>
      <c r="JO88" s="204"/>
      <c r="JP88" s="208">
        <f t="shared" si="214"/>
        <v>0</v>
      </c>
      <c r="JQ88" s="203"/>
      <c r="JR88" s="205"/>
      <c r="JS88" s="205"/>
      <c r="JT88" s="205"/>
      <c r="JU88" s="204"/>
      <c r="JV88" s="208">
        <f t="shared" si="215"/>
        <v>0</v>
      </c>
      <c r="JW88" s="203"/>
      <c r="JX88" s="205"/>
      <c r="JY88" s="205"/>
      <c r="JZ88" s="205"/>
      <c r="KA88" s="205"/>
      <c r="KB88" s="204"/>
      <c r="KC88" s="208">
        <f t="shared" si="216"/>
        <v>0</v>
      </c>
      <c r="KD88" s="208">
        <f t="shared" si="217"/>
        <v>284.49</v>
      </c>
      <c r="KE88" s="203"/>
      <c r="KF88" s="205"/>
      <c r="KG88" s="205"/>
      <c r="KH88" s="205"/>
      <c r="KI88" s="204"/>
      <c r="KJ88" s="208">
        <f t="shared" si="218"/>
        <v>0</v>
      </c>
      <c r="KK88" s="203"/>
      <c r="KL88" s="205"/>
      <c r="KM88" s="205"/>
      <c r="KN88" s="205"/>
      <c r="KO88" s="204"/>
      <c r="KP88" s="208">
        <f t="shared" si="219"/>
        <v>0</v>
      </c>
      <c r="KQ88" s="203"/>
      <c r="KR88" s="205"/>
      <c r="KS88" s="205"/>
      <c r="KT88" s="205"/>
      <c r="KU88" s="204"/>
      <c r="KV88" s="208">
        <f t="shared" si="220"/>
        <v>0</v>
      </c>
      <c r="KW88" s="203"/>
      <c r="KX88" s="205"/>
      <c r="KY88" s="205"/>
      <c r="KZ88" s="205"/>
      <c r="LA88" s="204"/>
      <c r="LB88" s="208">
        <f t="shared" si="221"/>
        <v>0</v>
      </c>
      <c r="LC88" s="202"/>
      <c r="LD88" s="244"/>
      <c r="LE88" s="245"/>
      <c r="LF88" s="208">
        <f t="shared" si="222"/>
        <v>0</v>
      </c>
      <c r="LG88" s="208">
        <f t="shared" si="223"/>
        <v>0</v>
      </c>
      <c r="LM88" s="16"/>
    </row>
    <row r="89" spans="2:325" s="91" customFormat="1">
      <c r="B89" s="167" t="s">
        <v>395</v>
      </c>
      <c r="C89" s="167">
        <v>4.72</v>
      </c>
      <c r="D89" s="202">
        <f t="shared" si="163"/>
        <v>4.72</v>
      </c>
      <c r="E89" s="167"/>
      <c r="F89" s="177"/>
      <c r="G89" s="177"/>
      <c r="H89" s="177"/>
      <c r="I89" s="178"/>
      <c r="J89" s="202">
        <f t="shared" si="233"/>
        <v>0</v>
      </c>
      <c r="K89" s="167"/>
      <c r="L89" s="177"/>
      <c r="M89" s="177"/>
      <c r="N89" s="178"/>
      <c r="O89" s="202">
        <f t="shared" si="231"/>
        <v>0</v>
      </c>
      <c r="P89" s="167"/>
      <c r="Q89" s="177"/>
      <c r="R89" s="177"/>
      <c r="S89" s="177"/>
      <c r="T89" s="178"/>
      <c r="U89" s="202">
        <f t="shared" si="173"/>
        <v>0</v>
      </c>
      <c r="V89" s="167"/>
      <c r="W89" s="177">
        <v>2.36</v>
      </c>
      <c r="X89" s="177"/>
      <c r="Y89" s="177"/>
      <c r="Z89" s="177"/>
      <c r="AA89" s="208">
        <f t="shared" si="174"/>
        <v>2.36</v>
      </c>
      <c r="AB89" s="208">
        <f t="shared" si="226"/>
        <v>7.08</v>
      </c>
      <c r="AC89" s="203"/>
      <c r="AD89" s="205"/>
      <c r="AE89" s="205"/>
      <c r="AF89" s="205"/>
      <c r="AG89" s="204"/>
      <c r="AH89" s="208">
        <f t="shared" si="227"/>
        <v>0</v>
      </c>
      <c r="AI89" s="203"/>
      <c r="AJ89" s="205"/>
      <c r="AK89" s="205"/>
      <c r="AL89" s="205"/>
      <c r="AM89" s="204"/>
      <c r="AN89" s="208">
        <f t="shared" ref="AN89:AN96" si="234">SUM(AI89:AM89)</f>
        <v>0</v>
      </c>
      <c r="AO89" s="203"/>
      <c r="AP89" s="205"/>
      <c r="AQ89" s="205"/>
      <c r="AR89" s="205"/>
      <c r="AS89" s="204"/>
      <c r="AT89" s="208">
        <f t="shared" si="176"/>
        <v>0</v>
      </c>
      <c r="AU89" s="203"/>
      <c r="AV89" s="205"/>
      <c r="AW89" s="205"/>
      <c r="AX89" s="205"/>
      <c r="AY89" s="204"/>
      <c r="AZ89" s="208">
        <f t="shared" si="177"/>
        <v>0</v>
      </c>
      <c r="BA89" s="208">
        <f t="shared" si="178"/>
        <v>0</v>
      </c>
      <c r="BB89" s="203">
        <v>2.36</v>
      </c>
      <c r="BC89" s="205"/>
      <c r="BD89" s="205"/>
      <c r="BE89" s="205"/>
      <c r="BF89" s="204"/>
      <c r="BG89" s="208">
        <f t="shared" si="179"/>
        <v>2.36</v>
      </c>
      <c r="BH89" s="203"/>
      <c r="BI89" s="205"/>
      <c r="BJ89" s="205"/>
      <c r="BK89" s="205"/>
      <c r="BL89" s="204"/>
      <c r="BM89" s="208">
        <f t="shared" si="164"/>
        <v>0</v>
      </c>
      <c r="BN89" s="203"/>
      <c r="BO89" s="205"/>
      <c r="BP89" s="205"/>
      <c r="BQ89" s="204"/>
      <c r="BR89" s="208">
        <f t="shared" si="180"/>
        <v>0</v>
      </c>
      <c r="BS89" s="203"/>
      <c r="BT89" s="205"/>
      <c r="BU89" s="205"/>
      <c r="BV89" s="205"/>
      <c r="BW89" s="204">
        <v>1.18</v>
      </c>
      <c r="BX89" s="208">
        <f t="shared" si="181"/>
        <v>1.18</v>
      </c>
      <c r="BY89" s="203"/>
      <c r="BZ89" s="205"/>
      <c r="CA89" s="208">
        <f t="shared" si="182"/>
        <v>0</v>
      </c>
      <c r="CB89" s="208">
        <f t="shared" si="183"/>
        <v>3.54</v>
      </c>
      <c r="CC89" s="203">
        <v>3.54</v>
      </c>
      <c r="CD89" s="205"/>
      <c r="CE89" s="205"/>
      <c r="CF89" s="208">
        <f t="shared" si="228"/>
        <v>3.54</v>
      </c>
      <c r="CG89" s="203">
        <v>4</v>
      </c>
      <c r="CH89" s="205">
        <v>1.4159999999999999</v>
      </c>
      <c r="CI89" s="205"/>
      <c r="CJ89" s="204"/>
      <c r="CK89" s="208">
        <f t="shared" si="184"/>
        <v>5.4160000000000004</v>
      </c>
      <c r="CL89" s="203"/>
      <c r="CM89" s="205"/>
      <c r="CN89" s="205"/>
      <c r="CO89" s="205"/>
      <c r="CP89" s="204"/>
      <c r="CQ89" s="208">
        <f t="shared" si="185"/>
        <v>0</v>
      </c>
      <c r="CR89" s="203"/>
      <c r="CS89" s="205"/>
      <c r="CT89" s="205"/>
      <c r="CU89" s="205"/>
      <c r="CV89" s="204"/>
      <c r="CW89" s="208">
        <f t="shared" si="232"/>
        <v>0</v>
      </c>
      <c r="CX89" s="203"/>
      <c r="CY89" s="205"/>
      <c r="CZ89" s="205"/>
      <c r="DA89" s="204"/>
      <c r="DB89" s="208">
        <f t="shared" si="187"/>
        <v>0</v>
      </c>
      <c r="DC89" s="208">
        <f t="shared" si="229"/>
        <v>8.9559999999999995</v>
      </c>
      <c r="DD89" s="203"/>
      <c r="DE89" s="205"/>
      <c r="DF89" s="205"/>
      <c r="DG89" s="205"/>
      <c r="DH89" s="205"/>
      <c r="DI89" s="208">
        <f t="shared" si="188"/>
        <v>0</v>
      </c>
      <c r="DJ89" s="203"/>
      <c r="DK89" s="205"/>
      <c r="DL89" s="205"/>
      <c r="DM89" s="205"/>
      <c r="DN89" s="204"/>
      <c r="DO89" s="208">
        <f t="shared" si="189"/>
        <v>0</v>
      </c>
      <c r="DP89" s="203"/>
      <c r="DQ89" s="205"/>
      <c r="DR89" s="205"/>
      <c r="DS89" s="205"/>
      <c r="DT89" s="204"/>
      <c r="DU89" s="245">
        <f t="shared" si="190"/>
        <v>0</v>
      </c>
      <c r="DV89" s="203">
        <v>1.18</v>
      </c>
      <c r="DW89" s="205">
        <v>1.18</v>
      </c>
      <c r="DX89" s="205"/>
      <c r="DY89" s="205"/>
      <c r="DZ89" s="204"/>
      <c r="EA89" s="208">
        <f t="shared" si="191"/>
        <v>2.36</v>
      </c>
      <c r="EB89" s="208">
        <f t="shared" si="192"/>
        <v>2.36</v>
      </c>
      <c r="EC89" s="203">
        <v>4.72</v>
      </c>
      <c r="ED89" s="205"/>
      <c r="EE89" s="205"/>
      <c r="EF89" s="205"/>
      <c r="EG89" s="204"/>
      <c r="EH89" s="208">
        <f t="shared" si="193"/>
        <v>4.72</v>
      </c>
      <c r="EI89" s="203"/>
      <c r="EJ89" s="205"/>
      <c r="EK89" s="205"/>
      <c r="EL89" s="205"/>
      <c r="EM89" s="204"/>
      <c r="EN89" s="208">
        <f t="shared" si="194"/>
        <v>0</v>
      </c>
      <c r="EO89" s="203"/>
      <c r="EP89" s="205"/>
      <c r="EQ89" s="205"/>
      <c r="ER89" s="205"/>
      <c r="ES89" s="204"/>
      <c r="ET89" s="308">
        <f t="shared" si="195"/>
        <v>0</v>
      </c>
      <c r="EU89" s="203">
        <f>1.18+1.18</f>
        <v>2.36</v>
      </c>
      <c r="EV89" s="205"/>
      <c r="EW89" s="205"/>
      <c r="EX89" s="205"/>
      <c r="EY89" s="205"/>
      <c r="EZ89" s="205"/>
      <c r="FA89" s="204"/>
      <c r="FB89" s="208">
        <f t="shared" si="196"/>
        <v>2.36</v>
      </c>
      <c r="FC89" s="208">
        <f t="shared" si="197"/>
        <v>7.08</v>
      </c>
      <c r="FD89" s="203">
        <v>4.72</v>
      </c>
      <c r="FE89" s="205"/>
      <c r="FF89" s="204"/>
      <c r="FG89" s="208">
        <f t="shared" si="198"/>
        <v>4.72</v>
      </c>
      <c r="FH89" s="203"/>
      <c r="FI89" s="205"/>
      <c r="FJ89" s="205"/>
      <c r="FK89" s="205"/>
      <c r="FL89" s="204"/>
      <c r="FM89" s="208">
        <f t="shared" si="199"/>
        <v>0</v>
      </c>
      <c r="FN89" s="203"/>
      <c r="FO89" s="205"/>
      <c r="FP89" s="205"/>
      <c r="FQ89" s="205"/>
      <c r="FR89" s="208">
        <f t="shared" si="165"/>
        <v>0</v>
      </c>
      <c r="FS89" s="203"/>
      <c r="FT89" s="205"/>
      <c r="FU89" s="205"/>
      <c r="FV89" s="205"/>
      <c r="FW89" s="204">
        <f>1.18+1.18</f>
        <v>2.36</v>
      </c>
      <c r="FX89" s="208">
        <f t="shared" si="166"/>
        <v>2.36</v>
      </c>
      <c r="FY89" s="203">
        <f>2.36+3</f>
        <v>5.3599999999999994</v>
      </c>
      <c r="FZ89" s="205"/>
      <c r="GA89" s="205"/>
      <c r="GB89" s="205"/>
      <c r="GC89" s="204"/>
      <c r="GD89" s="208">
        <f t="shared" si="167"/>
        <v>5.3599999999999994</v>
      </c>
      <c r="GE89" s="208">
        <f t="shared" si="168"/>
        <v>12.44</v>
      </c>
      <c r="GF89" s="203">
        <v>2.36</v>
      </c>
      <c r="GG89" s="205"/>
      <c r="GH89" s="205"/>
      <c r="GI89" s="205"/>
      <c r="GJ89" s="205"/>
      <c r="GK89" s="208">
        <f t="shared" si="169"/>
        <v>2.36</v>
      </c>
      <c r="GL89" s="203"/>
      <c r="GM89" s="205"/>
      <c r="GN89" s="205"/>
      <c r="GO89" s="204"/>
      <c r="GP89" s="208">
        <f t="shared" si="170"/>
        <v>0</v>
      </c>
      <c r="GQ89" s="203"/>
      <c r="GR89" s="205"/>
      <c r="GS89" s="205"/>
      <c r="GT89" s="205"/>
      <c r="GU89" s="204">
        <v>1.18</v>
      </c>
      <c r="GV89" s="208">
        <f t="shared" si="200"/>
        <v>1.18</v>
      </c>
      <c r="GW89" s="203"/>
      <c r="GX89" s="205">
        <f>0.75+0.75</f>
        <v>1.5</v>
      </c>
      <c r="GY89" s="205"/>
      <c r="GZ89" s="205">
        <v>1.18</v>
      </c>
      <c r="HA89" s="205"/>
      <c r="HB89" s="204"/>
      <c r="HC89" s="208">
        <f t="shared" si="201"/>
        <v>2.6799999999999997</v>
      </c>
      <c r="HD89" s="208">
        <f t="shared" si="202"/>
        <v>6.22</v>
      </c>
      <c r="HE89" s="203">
        <v>2.36</v>
      </c>
      <c r="HF89" s="205"/>
      <c r="HG89" s="205"/>
      <c r="HH89" s="205"/>
      <c r="HI89" s="208">
        <f t="shared" si="203"/>
        <v>2.36</v>
      </c>
      <c r="HJ89" s="203"/>
      <c r="HK89" s="205"/>
      <c r="HL89" s="205"/>
      <c r="HM89" s="205"/>
      <c r="HN89" s="204"/>
      <c r="HO89" s="245">
        <f t="shared" si="204"/>
        <v>0</v>
      </c>
      <c r="HP89" s="203"/>
      <c r="HQ89" s="205"/>
      <c r="HR89" s="205"/>
      <c r="HS89" s="205"/>
      <c r="HT89" s="204"/>
      <c r="HU89" s="208">
        <f t="shared" si="205"/>
        <v>0</v>
      </c>
      <c r="HV89" s="203"/>
      <c r="HW89" s="205"/>
      <c r="HX89" s="205"/>
      <c r="HY89" s="208">
        <f t="shared" si="171"/>
        <v>0</v>
      </c>
      <c r="HZ89" s="203"/>
      <c r="IA89" s="205"/>
      <c r="IB89" s="204"/>
      <c r="IC89" s="208">
        <f t="shared" si="206"/>
        <v>0</v>
      </c>
      <c r="ID89" s="208">
        <f t="shared" si="172"/>
        <v>2.36</v>
      </c>
      <c r="IE89" s="203">
        <v>3.54</v>
      </c>
      <c r="IF89" s="204"/>
      <c r="IG89" s="208">
        <f t="shared" si="207"/>
        <v>3.54</v>
      </c>
      <c r="IH89" s="203"/>
      <c r="II89" s="205"/>
      <c r="IJ89" s="205"/>
      <c r="IK89" s="205"/>
      <c r="IL89" s="204"/>
      <c r="IM89" s="208">
        <f t="shared" si="208"/>
        <v>0</v>
      </c>
      <c r="IN89" s="203"/>
      <c r="IO89" s="205"/>
      <c r="IP89" s="204"/>
      <c r="IQ89" s="208">
        <f t="shared" si="209"/>
        <v>0</v>
      </c>
      <c r="IR89" s="203"/>
      <c r="IS89" s="205"/>
      <c r="IT89" s="205"/>
      <c r="IU89" s="205"/>
      <c r="IV89" s="204"/>
      <c r="IW89" s="208">
        <f t="shared" si="210"/>
        <v>0</v>
      </c>
      <c r="IX89" s="203"/>
      <c r="IY89" s="205"/>
      <c r="IZ89" s="205"/>
      <c r="JA89" s="205"/>
      <c r="JB89" s="204"/>
      <c r="JC89" s="208">
        <f t="shared" si="211"/>
        <v>0</v>
      </c>
      <c r="JD89" s="208">
        <f t="shared" si="212"/>
        <v>3.54</v>
      </c>
      <c r="JE89" s="203">
        <v>2.36</v>
      </c>
      <c r="JF89" s="205"/>
      <c r="JG89" s="205"/>
      <c r="JH89" s="205"/>
      <c r="JI89" s="204"/>
      <c r="JJ89" s="208">
        <f t="shared" si="213"/>
        <v>2.36</v>
      </c>
      <c r="JK89" s="203"/>
      <c r="JL89" s="205"/>
      <c r="JM89" s="205"/>
      <c r="JN89" s="205"/>
      <c r="JO89" s="204"/>
      <c r="JP89" s="208">
        <f t="shared" si="214"/>
        <v>0</v>
      </c>
      <c r="JQ89" s="203"/>
      <c r="JR89" s="205"/>
      <c r="JS89" s="205"/>
      <c r="JT89" s="205"/>
      <c r="JU89" s="204"/>
      <c r="JV89" s="208">
        <f t="shared" si="215"/>
        <v>0</v>
      </c>
      <c r="JW89" s="203"/>
      <c r="JX89" s="205"/>
      <c r="JY89" s="205"/>
      <c r="JZ89" s="205"/>
      <c r="KA89" s="205"/>
      <c r="KB89" s="204"/>
      <c r="KC89" s="208">
        <f t="shared" si="216"/>
        <v>0</v>
      </c>
      <c r="KD89" s="208">
        <f t="shared" si="217"/>
        <v>2.36</v>
      </c>
      <c r="KE89" s="203"/>
      <c r="KF89" s="205"/>
      <c r="KG89" s="205"/>
      <c r="KH89" s="205"/>
      <c r="KI89" s="204"/>
      <c r="KJ89" s="208">
        <f t="shared" si="218"/>
        <v>0</v>
      </c>
      <c r="KK89" s="203"/>
      <c r="KL89" s="205"/>
      <c r="KM89" s="205"/>
      <c r="KN89" s="205"/>
      <c r="KO89" s="204"/>
      <c r="KP89" s="208">
        <f t="shared" si="219"/>
        <v>0</v>
      </c>
      <c r="KQ89" s="203"/>
      <c r="KR89" s="205"/>
      <c r="KS89" s="205"/>
      <c r="KT89" s="205"/>
      <c r="KU89" s="204"/>
      <c r="KV89" s="208">
        <f t="shared" si="220"/>
        <v>0</v>
      </c>
      <c r="KW89" s="203"/>
      <c r="KX89" s="205"/>
      <c r="KY89" s="205"/>
      <c r="KZ89" s="205"/>
      <c r="LA89" s="204"/>
      <c r="LB89" s="208">
        <f t="shared" si="221"/>
        <v>0</v>
      </c>
      <c r="LC89" s="202"/>
      <c r="LD89" s="244"/>
      <c r="LE89" s="245"/>
      <c r="LF89" s="208">
        <f t="shared" si="222"/>
        <v>0</v>
      </c>
      <c r="LG89" s="208">
        <f t="shared" si="223"/>
        <v>0</v>
      </c>
      <c r="LM89" s="16"/>
    </row>
    <row r="90" spans="2:325" s="91" customFormat="1">
      <c r="B90" s="167" t="s">
        <v>396</v>
      </c>
      <c r="C90" s="167"/>
      <c r="D90" s="202">
        <f t="shared" si="163"/>
        <v>0</v>
      </c>
      <c r="E90" s="167"/>
      <c r="F90" s="177">
        <v>14.16</v>
      </c>
      <c r="G90" s="177"/>
      <c r="H90" s="177">
        <v>10.62</v>
      </c>
      <c r="I90" s="178"/>
      <c r="J90" s="202">
        <f t="shared" si="233"/>
        <v>24.78</v>
      </c>
      <c r="K90" s="167"/>
      <c r="L90" s="177">
        <v>7.08</v>
      </c>
      <c r="M90" s="177"/>
      <c r="N90" s="178"/>
      <c r="O90" s="202">
        <f t="shared" si="231"/>
        <v>7.08</v>
      </c>
      <c r="P90" s="167"/>
      <c r="Q90" s="177"/>
      <c r="R90" s="177"/>
      <c r="S90" s="177">
        <v>7.08</v>
      </c>
      <c r="T90" s="178"/>
      <c r="U90" s="202">
        <f t="shared" si="173"/>
        <v>7.08</v>
      </c>
      <c r="V90" s="167">
        <v>7</v>
      </c>
      <c r="W90" s="177"/>
      <c r="X90" s="177"/>
      <c r="Y90" s="177"/>
      <c r="Z90" s="177"/>
      <c r="AA90" s="208">
        <f t="shared" si="174"/>
        <v>7</v>
      </c>
      <c r="AB90" s="208">
        <f t="shared" si="226"/>
        <v>45.94</v>
      </c>
      <c r="AC90" s="203"/>
      <c r="AD90" s="205">
        <v>3.54</v>
      </c>
      <c r="AE90" s="205">
        <v>7.08</v>
      </c>
      <c r="AF90" s="205"/>
      <c r="AG90" s="204"/>
      <c r="AH90" s="208">
        <f t="shared" si="227"/>
        <v>10.620000000000001</v>
      </c>
      <c r="AI90" s="203">
        <f>3.54+3.54+3.54</f>
        <v>10.620000000000001</v>
      </c>
      <c r="AJ90" s="205">
        <v>3.54</v>
      </c>
      <c r="AK90" s="205">
        <v>3.54</v>
      </c>
      <c r="AL90" s="205"/>
      <c r="AM90" s="204">
        <v>4</v>
      </c>
      <c r="AN90" s="208">
        <f t="shared" si="234"/>
        <v>21.7</v>
      </c>
      <c r="AO90" s="203"/>
      <c r="AP90" s="205">
        <v>7.08</v>
      </c>
      <c r="AQ90" s="205"/>
      <c r="AR90" s="205">
        <v>3.54</v>
      </c>
      <c r="AS90" s="204"/>
      <c r="AT90" s="208">
        <f t="shared" si="176"/>
        <v>10.620000000000001</v>
      </c>
      <c r="AU90" s="203"/>
      <c r="AV90" s="205"/>
      <c r="AW90" s="205">
        <f>3.54+3.54</f>
        <v>7.08</v>
      </c>
      <c r="AX90" s="205"/>
      <c r="AY90" s="204"/>
      <c r="AZ90" s="208">
        <f t="shared" si="177"/>
        <v>7.08</v>
      </c>
      <c r="BA90" s="208">
        <f t="shared" si="178"/>
        <v>50.02000000000001</v>
      </c>
      <c r="BB90" s="203">
        <v>7.08</v>
      </c>
      <c r="BC90" s="205">
        <v>3.54</v>
      </c>
      <c r="BD90" s="205">
        <v>3.54</v>
      </c>
      <c r="BE90" s="205"/>
      <c r="BF90" s="204"/>
      <c r="BG90" s="208">
        <f t="shared" si="179"/>
        <v>14.16</v>
      </c>
      <c r="BH90" s="203"/>
      <c r="BI90" s="205"/>
      <c r="BJ90" s="205">
        <v>3.54</v>
      </c>
      <c r="BK90" s="205">
        <v>7.08</v>
      </c>
      <c r="BL90" s="204">
        <v>3.54</v>
      </c>
      <c r="BM90" s="208">
        <f t="shared" si="164"/>
        <v>14.16</v>
      </c>
      <c r="BN90" s="203"/>
      <c r="BO90" s="205"/>
      <c r="BP90" s="205"/>
      <c r="BQ90" s="204"/>
      <c r="BR90" s="208">
        <f t="shared" si="180"/>
        <v>0</v>
      </c>
      <c r="BS90" s="203"/>
      <c r="BT90" s="205"/>
      <c r="BU90" s="205">
        <v>3.54</v>
      </c>
      <c r="BV90" s="205">
        <f>3.54+3.54+3.54</f>
        <v>10.620000000000001</v>
      </c>
      <c r="BW90" s="204"/>
      <c r="BX90" s="208">
        <f t="shared" si="181"/>
        <v>14.16</v>
      </c>
      <c r="BY90" s="203"/>
      <c r="BZ90" s="205">
        <v>3.54</v>
      </c>
      <c r="CA90" s="208">
        <f t="shared" si="182"/>
        <v>3.54</v>
      </c>
      <c r="CB90" s="208">
        <f t="shared" si="183"/>
        <v>46.019999999999996</v>
      </c>
      <c r="CC90" s="203">
        <v>3.54</v>
      </c>
      <c r="CD90" s="205">
        <v>3.54</v>
      </c>
      <c r="CE90" s="205"/>
      <c r="CF90" s="208">
        <f t="shared" si="228"/>
        <v>7.08</v>
      </c>
      <c r="CG90" s="203"/>
      <c r="CH90" s="205">
        <v>3.54</v>
      </c>
      <c r="CI90" s="205"/>
      <c r="CJ90" s="204"/>
      <c r="CK90" s="208">
        <f t="shared" si="184"/>
        <v>3.54</v>
      </c>
      <c r="CL90" s="203"/>
      <c r="CM90" s="205"/>
      <c r="CN90" s="205"/>
      <c r="CO90" s="205">
        <f>3.54+3.54</f>
        <v>7.08</v>
      </c>
      <c r="CP90" s="204">
        <v>3.54</v>
      </c>
      <c r="CQ90" s="208">
        <f t="shared" si="185"/>
        <v>10.620000000000001</v>
      </c>
      <c r="CR90" s="203"/>
      <c r="CS90" s="205">
        <f>3+3+3</f>
        <v>9</v>
      </c>
      <c r="CT90" s="205"/>
      <c r="CU90" s="205"/>
      <c r="CV90" s="204"/>
      <c r="CW90" s="208">
        <f t="shared" si="232"/>
        <v>9</v>
      </c>
      <c r="CX90" s="203"/>
      <c r="CY90" s="205">
        <v>3.54</v>
      </c>
      <c r="CZ90" s="205"/>
      <c r="DA90" s="204"/>
      <c r="DB90" s="208">
        <f t="shared" si="187"/>
        <v>3.54</v>
      </c>
      <c r="DC90" s="208">
        <f t="shared" si="229"/>
        <v>33.78</v>
      </c>
      <c r="DD90" s="203">
        <v>3</v>
      </c>
      <c r="DE90" s="205"/>
      <c r="DF90" s="205">
        <v>3.54</v>
      </c>
      <c r="DG90" s="205">
        <v>3</v>
      </c>
      <c r="DH90" s="205"/>
      <c r="DI90" s="208">
        <f t="shared" si="188"/>
        <v>9.5399999999999991</v>
      </c>
      <c r="DJ90" s="203"/>
      <c r="DK90" s="205"/>
      <c r="DL90" s="205">
        <v>7.08</v>
      </c>
      <c r="DM90" s="205">
        <v>3.54</v>
      </c>
      <c r="DN90" s="204"/>
      <c r="DO90" s="208">
        <f t="shared" si="189"/>
        <v>10.620000000000001</v>
      </c>
      <c r="DP90" s="203"/>
      <c r="DQ90" s="205"/>
      <c r="DR90" s="205">
        <v>7.08</v>
      </c>
      <c r="DS90" s="205"/>
      <c r="DT90" s="204"/>
      <c r="DU90" s="245">
        <f t="shared" si="190"/>
        <v>7.08</v>
      </c>
      <c r="DV90" s="203"/>
      <c r="DW90" s="205"/>
      <c r="DX90" s="205"/>
      <c r="DY90" s="205"/>
      <c r="DZ90" s="204"/>
      <c r="EA90" s="208">
        <f t="shared" si="191"/>
        <v>0</v>
      </c>
      <c r="EB90" s="208">
        <f t="shared" si="192"/>
        <v>27.240000000000002</v>
      </c>
      <c r="EC90" s="203"/>
      <c r="ED90" s="205">
        <v>7.08</v>
      </c>
      <c r="EE90" s="205"/>
      <c r="EF90" s="205">
        <v>3.54</v>
      </c>
      <c r="EG90" s="204"/>
      <c r="EH90" s="208">
        <f t="shared" si="193"/>
        <v>10.620000000000001</v>
      </c>
      <c r="EI90" s="203"/>
      <c r="EJ90" s="205"/>
      <c r="EK90" s="205"/>
      <c r="EL90" s="205"/>
      <c r="EM90" s="204"/>
      <c r="EN90" s="208">
        <f t="shared" si="194"/>
        <v>0</v>
      </c>
      <c r="EO90" s="203"/>
      <c r="EP90" s="205"/>
      <c r="EQ90" s="205"/>
      <c r="ER90" s="205"/>
      <c r="ES90" s="204">
        <v>3.54</v>
      </c>
      <c r="ET90" s="308">
        <f t="shared" si="195"/>
        <v>3.54</v>
      </c>
      <c r="EU90" s="203"/>
      <c r="EV90" s="205"/>
      <c r="EW90" s="205"/>
      <c r="EX90" s="205"/>
      <c r="EY90" s="205"/>
      <c r="EZ90" s="205"/>
      <c r="FA90" s="204"/>
      <c r="FB90" s="208">
        <f t="shared" si="196"/>
        <v>0</v>
      </c>
      <c r="FC90" s="208">
        <f t="shared" si="197"/>
        <v>14.16</v>
      </c>
      <c r="FD90" s="203"/>
      <c r="FE90" s="205"/>
      <c r="FF90" s="204"/>
      <c r="FG90" s="208">
        <f t="shared" si="198"/>
        <v>0</v>
      </c>
      <c r="FH90" s="203"/>
      <c r="FI90" s="205"/>
      <c r="FJ90" s="205"/>
      <c r="FK90" s="205"/>
      <c r="FL90" s="204">
        <f>3.54+3.54</f>
        <v>7.08</v>
      </c>
      <c r="FM90" s="208">
        <f t="shared" si="199"/>
        <v>7.08</v>
      </c>
      <c r="FN90" s="203"/>
      <c r="FO90" s="205">
        <v>4</v>
      </c>
      <c r="FP90" s="205">
        <f>3.54+3.54</f>
        <v>7.08</v>
      </c>
      <c r="FQ90" s="205"/>
      <c r="FR90" s="208">
        <f t="shared" si="165"/>
        <v>11.08</v>
      </c>
      <c r="FS90" s="203"/>
      <c r="FT90" s="205"/>
      <c r="FU90" s="205"/>
      <c r="FV90" s="205"/>
      <c r="FW90" s="204"/>
      <c r="FX90" s="208">
        <f t="shared" si="166"/>
        <v>0</v>
      </c>
      <c r="FY90" s="203"/>
      <c r="FZ90" s="205"/>
      <c r="GA90" s="205">
        <v>14.16</v>
      </c>
      <c r="GB90" s="205">
        <v>3.54</v>
      </c>
      <c r="GC90" s="204">
        <v>28.32</v>
      </c>
      <c r="GD90" s="208">
        <f t="shared" si="167"/>
        <v>46.019999999999996</v>
      </c>
      <c r="GE90" s="208">
        <f t="shared" si="168"/>
        <v>64.179999999999993</v>
      </c>
      <c r="GF90" s="203"/>
      <c r="GG90" s="205"/>
      <c r="GH90" s="205"/>
      <c r="GI90" s="205"/>
      <c r="GJ90" s="205"/>
      <c r="GK90" s="208">
        <f t="shared" si="169"/>
        <v>0</v>
      </c>
      <c r="GL90" s="203">
        <v>3.54</v>
      </c>
      <c r="GM90" s="205">
        <v>3.54</v>
      </c>
      <c r="GN90" s="205"/>
      <c r="GO90" s="204"/>
      <c r="GP90" s="208">
        <f t="shared" si="170"/>
        <v>7.08</v>
      </c>
      <c r="GQ90" s="203">
        <v>3.54</v>
      </c>
      <c r="GR90" s="205"/>
      <c r="GS90" s="205"/>
      <c r="GT90" s="205">
        <v>3.54</v>
      </c>
      <c r="GU90" s="204"/>
      <c r="GV90" s="208">
        <f t="shared" si="200"/>
        <v>7.08</v>
      </c>
      <c r="GW90" s="203"/>
      <c r="GX90" s="205"/>
      <c r="GY90" s="205">
        <v>3.54</v>
      </c>
      <c r="GZ90" s="205"/>
      <c r="HA90" s="205"/>
      <c r="HB90" s="204"/>
      <c r="HC90" s="208">
        <f t="shared" si="201"/>
        <v>3.54</v>
      </c>
      <c r="HD90" s="208">
        <f t="shared" si="202"/>
        <v>17.7</v>
      </c>
      <c r="HE90" s="203"/>
      <c r="HF90" s="205"/>
      <c r="HG90" s="205">
        <f>4*3.54</f>
        <v>14.16</v>
      </c>
      <c r="HH90" s="205"/>
      <c r="HI90" s="208">
        <f t="shared" si="203"/>
        <v>14.16</v>
      </c>
      <c r="HJ90" s="203">
        <v>3.54</v>
      </c>
      <c r="HK90" s="205"/>
      <c r="HL90" s="205">
        <v>3.54</v>
      </c>
      <c r="HM90" s="205">
        <f>3.54*3</f>
        <v>10.620000000000001</v>
      </c>
      <c r="HN90" s="204"/>
      <c r="HO90" s="245">
        <f t="shared" si="204"/>
        <v>17.700000000000003</v>
      </c>
      <c r="HP90" s="203"/>
      <c r="HQ90" s="205"/>
      <c r="HR90" s="205"/>
      <c r="HS90" s="205"/>
      <c r="HT90" s="204"/>
      <c r="HU90" s="208">
        <f t="shared" si="205"/>
        <v>0</v>
      </c>
      <c r="HV90" s="203"/>
      <c r="HW90" s="205"/>
      <c r="HX90" s="205"/>
      <c r="HY90" s="208">
        <f t="shared" si="171"/>
        <v>0</v>
      </c>
      <c r="HZ90" s="203"/>
      <c r="IA90" s="205"/>
      <c r="IB90" s="204"/>
      <c r="IC90" s="208">
        <f t="shared" si="206"/>
        <v>0</v>
      </c>
      <c r="ID90" s="208">
        <f t="shared" si="172"/>
        <v>31.860000000000003</v>
      </c>
      <c r="IE90" s="203">
        <v>24.78</v>
      </c>
      <c r="IF90" s="204">
        <v>7.08</v>
      </c>
      <c r="IG90" s="208">
        <f t="shared" si="207"/>
        <v>31.86</v>
      </c>
      <c r="IH90" s="203"/>
      <c r="II90" s="205"/>
      <c r="IJ90" s="205"/>
      <c r="IK90" s="205"/>
      <c r="IL90" s="204"/>
      <c r="IM90" s="208">
        <f t="shared" si="208"/>
        <v>0</v>
      </c>
      <c r="IN90" s="203">
        <v>3.54</v>
      </c>
      <c r="IO90" s="205"/>
      <c r="IP90" s="204"/>
      <c r="IQ90" s="208">
        <f t="shared" si="209"/>
        <v>3.54</v>
      </c>
      <c r="IR90" s="203"/>
      <c r="IS90" s="205">
        <v>17.7</v>
      </c>
      <c r="IT90" s="205"/>
      <c r="IU90" s="205"/>
      <c r="IV90" s="204"/>
      <c r="IW90" s="208">
        <f t="shared" si="210"/>
        <v>17.7</v>
      </c>
      <c r="IX90" s="203"/>
      <c r="IY90" s="205"/>
      <c r="IZ90" s="205"/>
      <c r="JA90" s="205"/>
      <c r="JB90" s="204">
        <v>7.08</v>
      </c>
      <c r="JC90" s="208">
        <f t="shared" si="211"/>
        <v>7.08</v>
      </c>
      <c r="JD90" s="208">
        <f t="shared" si="212"/>
        <v>60.179999999999993</v>
      </c>
      <c r="JE90" s="203"/>
      <c r="JF90" s="205"/>
      <c r="JG90" s="205">
        <v>21.24</v>
      </c>
      <c r="JH90" s="205">
        <v>4</v>
      </c>
      <c r="JI90" s="204"/>
      <c r="JJ90" s="208">
        <f t="shared" si="213"/>
        <v>25.24</v>
      </c>
      <c r="JK90" s="203"/>
      <c r="JL90" s="205"/>
      <c r="JM90" s="205"/>
      <c r="JN90" s="205"/>
      <c r="JO90" s="204"/>
      <c r="JP90" s="208">
        <f t="shared" si="214"/>
        <v>0</v>
      </c>
      <c r="JQ90" s="203"/>
      <c r="JR90" s="205"/>
      <c r="JS90" s="205"/>
      <c r="JT90" s="205"/>
      <c r="JU90" s="204"/>
      <c r="JV90" s="208">
        <f t="shared" si="215"/>
        <v>0</v>
      </c>
      <c r="JW90" s="203"/>
      <c r="JX90" s="205"/>
      <c r="JY90" s="205"/>
      <c r="JZ90" s="205"/>
      <c r="KA90" s="205"/>
      <c r="KB90" s="204"/>
      <c r="KC90" s="208">
        <f t="shared" si="216"/>
        <v>0</v>
      </c>
      <c r="KD90" s="208">
        <f t="shared" si="217"/>
        <v>25.24</v>
      </c>
      <c r="KE90" s="203"/>
      <c r="KF90" s="205"/>
      <c r="KG90" s="205"/>
      <c r="KH90" s="205"/>
      <c r="KI90" s="204"/>
      <c r="KJ90" s="208">
        <f t="shared" si="218"/>
        <v>0</v>
      </c>
      <c r="KK90" s="203"/>
      <c r="KL90" s="205"/>
      <c r="KM90" s="205"/>
      <c r="KN90" s="205"/>
      <c r="KO90" s="204"/>
      <c r="KP90" s="208">
        <f t="shared" si="219"/>
        <v>0</v>
      </c>
      <c r="KQ90" s="203"/>
      <c r="KR90" s="205"/>
      <c r="KS90" s="205"/>
      <c r="KT90" s="205"/>
      <c r="KU90" s="204"/>
      <c r="KV90" s="208">
        <f t="shared" si="220"/>
        <v>0</v>
      </c>
      <c r="KW90" s="203"/>
      <c r="KX90" s="205"/>
      <c r="KY90" s="205"/>
      <c r="KZ90" s="205"/>
      <c r="LA90" s="204"/>
      <c r="LB90" s="208">
        <f t="shared" si="221"/>
        <v>0</v>
      </c>
      <c r="LC90" s="202"/>
      <c r="LD90" s="244"/>
      <c r="LE90" s="245"/>
      <c r="LF90" s="208">
        <f t="shared" si="222"/>
        <v>0</v>
      </c>
      <c r="LG90" s="208">
        <f t="shared" si="223"/>
        <v>0</v>
      </c>
      <c r="LM90" s="16"/>
    </row>
    <row r="91" spans="2:325" s="91" customFormat="1">
      <c r="B91" s="167" t="s">
        <v>397</v>
      </c>
      <c r="C91" s="167"/>
      <c r="D91" s="202">
        <f t="shared" si="163"/>
        <v>0</v>
      </c>
      <c r="E91" s="167"/>
      <c r="F91" s="177"/>
      <c r="G91" s="177"/>
      <c r="H91" s="177">
        <v>4</v>
      </c>
      <c r="I91" s="178">
        <v>8.5</v>
      </c>
      <c r="J91" s="202">
        <f t="shared" si="233"/>
        <v>12.5</v>
      </c>
      <c r="K91" s="167"/>
      <c r="L91" s="177"/>
      <c r="M91" s="177">
        <v>4</v>
      </c>
      <c r="N91" s="178">
        <v>4</v>
      </c>
      <c r="O91" s="202">
        <f t="shared" si="231"/>
        <v>8</v>
      </c>
      <c r="P91" s="167"/>
      <c r="Q91" s="177">
        <v>4</v>
      </c>
      <c r="R91" s="177">
        <v>4</v>
      </c>
      <c r="S91" s="177">
        <v>4</v>
      </c>
      <c r="T91" s="178"/>
      <c r="U91" s="202">
        <f t="shared" si="173"/>
        <v>12</v>
      </c>
      <c r="V91" s="167"/>
      <c r="W91" s="177">
        <v>4</v>
      </c>
      <c r="X91" s="177">
        <v>4</v>
      </c>
      <c r="Y91" s="177"/>
      <c r="Z91" s="177">
        <v>8</v>
      </c>
      <c r="AA91" s="208">
        <f t="shared" si="174"/>
        <v>16</v>
      </c>
      <c r="AB91" s="208">
        <f t="shared" si="226"/>
        <v>48.5</v>
      </c>
      <c r="AC91" s="203"/>
      <c r="AD91" s="205">
        <v>4</v>
      </c>
      <c r="AE91" s="205"/>
      <c r="AF91" s="205"/>
      <c r="AG91" s="204"/>
      <c r="AH91" s="208">
        <f t="shared" si="227"/>
        <v>4</v>
      </c>
      <c r="AI91" s="203">
        <v>4</v>
      </c>
      <c r="AJ91" s="205">
        <v>8</v>
      </c>
      <c r="AK91" s="205"/>
      <c r="AL91" s="205"/>
      <c r="AM91" s="204"/>
      <c r="AN91" s="208">
        <f t="shared" si="234"/>
        <v>12</v>
      </c>
      <c r="AO91" s="203"/>
      <c r="AP91" s="205"/>
      <c r="AQ91" s="205"/>
      <c r="AR91" s="205">
        <v>12.5</v>
      </c>
      <c r="AS91" s="204">
        <v>4</v>
      </c>
      <c r="AT91" s="208">
        <f t="shared" si="176"/>
        <v>16.5</v>
      </c>
      <c r="AU91" s="203"/>
      <c r="AV91" s="205"/>
      <c r="AW91" s="205"/>
      <c r="AX91" s="205">
        <f>4+4.5+4</f>
        <v>12.5</v>
      </c>
      <c r="AY91" s="204">
        <v>4</v>
      </c>
      <c r="AZ91" s="208">
        <f t="shared" si="177"/>
        <v>16.5</v>
      </c>
      <c r="BA91" s="208">
        <f t="shared" si="178"/>
        <v>49</v>
      </c>
      <c r="BB91" s="203">
        <v>16</v>
      </c>
      <c r="BC91" s="205"/>
      <c r="BD91" s="205"/>
      <c r="BE91" s="205"/>
      <c r="BF91" s="204"/>
      <c r="BG91" s="208">
        <f t="shared" si="179"/>
        <v>16</v>
      </c>
      <c r="BH91" s="203"/>
      <c r="BI91" s="205"/>
      <c r="BJ91" s="205"/>
      <c r="BK91" s="205"/>
      <c r="BL91" s="204">
        <v>4</v>
      </c>
      <c r="BM91" s="208">
        <f t="shared" si="164"/>
        <v>4</v>
      </c>
      <c r="BN91" s="203"/>
      <c r="BO91" s="205">
        <v>8</v>
      </c>
      <c r="BP91" s="205"/>
      <c r="BQ91" s="204"/>
      <c r="BR91" s="208">
        <f t="shared" si="180"/>
        <v>8</v>
      </c>
      <c r="BS91" s="203"/>
      <c r="BT91" s="205">
        <v>4</v>
      </c>
      <c r="BU91" s="205"/>
      <c r="BV91" s="205">
        <v>4</v>
      </c>
      <c r="BW91" s="204"/>
      <c r="BX91" s="208">
        <f t="shared" si="181"/>
        <v>8</v>
      </c>
      <c r="BY91" s="203"/>
      <c r="BZ91" s="205"/>
      <c r="CA91" s="208">
        <f t="shared" si="182"/>
        <v>0</v>
      </c>
      <c r="CB91" s="208">
        <f t="shared" si="183"/>
        <v>36</v>
      </c>
      <c r="CC91" s="203">
        <v>16.5</v>
      </c>
      <c r="CD91" s="205">
        <v>34</v>
      </c>
      <c r="CE91" s="205"/>
      <c r="CF91" s="208">
        <f t="shared" si="228"/>
        <v>50.5</v>
      </c>
      <c r="CG91" s="203"/>
      <c r="CH91" s="205"/>
      <c r="CI91" s="205"/>
      <c r="CJ91" s="204"/>
      <c r="CK91" s="208">
        <f t="shared" si="184"/>
        <v>0</v>
      </c>
      <c r="CL91" s="203">
        <v>4</v>
      </c>
      <c r="CM91" s="205"/>
      <c r="CN91" s="205"/>
      <c r="CO91" s="205">
        <v>4</v>
      </c>
      <c r="CP91" s="204">
        <f>4.5+4</f>
        <v>8.5</v>
      </c>
      <c r="CQ91" s="208">
        <f t="shared" si="185"/>
        <v>16.5</v>
      </c>
      <c r="CR91" s="203"/>
      <c r="CS91" s="205"/>
      <c r="CT91" s="205">
        <v>4</v>
      </c>
      <c r="CU91" s="205">
        <f>4+4.5+4.5+4+4</f>
        <v>21</v>
      </c>
      <c r="CV91" s="204"/>
      <c r="CW91" s="208">
        <f t="shared" si="232"/>
        <v>25</v>
      </c>
      <c r="CX91" s="203"/>
      <c r="CY91" s="205"/>
      <c r="CZ91" s="205"/>
      <c r="DA91" s="204"/>
      <c r="DB91" s="208">
        <f t="shared" si="187"/>
        <v>0</v>
      </c>
      <c r="DC91" s="208">
        <f t="shared" si="229"/>
        <v>92</v>
      </c>
      <c r="DD91" s="203">
        <v>16.5</v>
      </c>
      <c r="DE91" s="205"/>
      <c r="DF91" s="205">
        <v>8</v>
      </c>
      <c r="DG91" s="205"/>
      <c r="DH91" s="205">
        <v>4</v>
      </c>
      <c r="DI91" s="208">
        <f t="shared" si="188"/>
        <v>28.5</v>
      </c>
      <c r="DJ91" s="203"/>
      <c r="DK91" s="205">
        <v>4</v>
      </c>
      <c r="DL91" s="205"/>
      <c r="DM91" s="205"/>
      <c r="DN91" s="204"/>
      <c r="DO91" s="208">
        <f t="shared" si="189"/>
        <v>4</v>
      </c>
      <c r="DP91" s="203"/>
      <c r="DQ91" s="205">
        <v>21</v>
      </c>
      <c r="DR91" s="205"/>
      <c r="DS91" s="205"/>
      <c r="DT91" s="204">
        <v>24</v>
      </c>
      <c r="DU91" s="245">
        <f t="shared" si="190"/>
        <v>45</v>
      </c>
      <c r="DV91" s="203"/>
      <c r="DW91" s="205"/>
      <c r="DX91" s="205"/>
      <c r="DY91" s="205">
        <v>8</v>
      </c>
      <c r="DZ91" s="204">
        <v>4</v>
      </c>
      <c r="EA91" s="208">
        <f t="shared" si="191"/>
        <v>12</v>
      </c>
      <c r="EB91" s="208">
        <f t="shared" si="192"/>
        <v>89.5</v>
      </c>
      <c r="EC91" s="203"/>
      <c r="ED91" s="205">
        <v>12.5</v>
      </c>
      <c r="EE91" s="205"/>
      <c r="EF91" s="205">
        <v>4</v>
      </c>
      <c r="EG91" s="204"/>
      <c r="EH91" s="208">
        <f t="shared" si="193"/>
        <v>16.5</v>
      </c>
      <c r="EI91" s="203"/>
      <c r="EJ91" s="205"/>
      <c r="EK91" s="205"/>
      <c r="EL91" s="205"/>
      <c r="EM91" s="204"/>
      <c r="EN91" s="208">
        <f t="shared" si="194"/>
        <v>0</v>
      </c>
      <c r="EO91" s="203"/>
      <c r="EP91" s="205"/>
      <c r="EQ91" s="205"/>
      <c r="ER91" s="205"/>
      <c r="ES91" s="204"/>
      <c r="ET91" s="308">
        <f t="shared" si="195"/>
        <v>0</v>
      </c>
      <c r="EU91" s="203"/>
      <c r="EV91" s="205">
        <f>4+4.5+4+4.5</f>
        <v>17</v>
      </c>
      <c r="EW91" s="205"/>
      <c r="EX91" s="205">
        <v>4</v>
      </c>
      <c r="EY91" s="205">
        <v>4</v>
      </c>
      <c r="EZ91" s="205">
        <v>4</v>
      </c>
      <c r="FA91" s="204">
        <f>4+4.5</f>
        <v>8.5</v>
      </c>
      <c r="FB91" s="208">
        <f t="shared" si="196"/>
        <v>37.5</v>
      </c>
      <c r="FC91" s="208">
        <f t="shared" si="197"/>
        <v>54</v>
      </c>
      <c r="FD91" s="203"/>
      <c r="FE91" s="205">
        <v>4</v>
      </c>
      <c r="FF91" s="204">
        <v>12</v>
      </c>
      <c r="FG91" s="208">
        <f t="shared" si="198"/>
        <v>16</v>
      </c>
      <c r="FH91" s="203"/>
      <c r="FI91" s="205"/>
      <c r="FJ91" s="205">
        <v>8.5</v>
      </c>
      <c r="FK91" s="205">
        <v>4</v>
      </c>
      <c r="FL91" s="204"/>
      <c r="FM91" s="208">
        <f t="shared" si="199"/>
        <v>12.5</v>
      </c>
      <c r="FN91" s="203"/>
      <c r="FO91" s="205"/>
      <c r="FP91" s="205"/>
      <c r="FQ91" s="205">
        <f>4.5+4</f>
        <v>8.5</v>
      </c>
      <c r="FR91" s="208">
        <f t="shared" si="165"/>
        <v>8.5</v>
      </c>
      <c r="FS91" s="203"/>
      <c r="FT91" s="205">
        <v>4</v>
      </c>
      <c r="FU91" s="205">
        <f>4+4</f>
        <v>8</v>
      </c>
      <c r="FV91" s="205">
        <f>4+4+4.5+4+4+4.5</f>
        <v>25</v>
      </c>
      <c r="FW91" s="204"/>
      <c r="FX91" s="208">
        <f t="shared" si="166"/>
        <v>37</v>
      </c>
      <c r="FY91" s="203"/>
      <c r="FZ91" s="205">
        <v>8.5</v>
      </c>
      <c r="GA91" s="205">
        <v>8.5</v>
      </c>
      <c r="GB91" s="205">
        <v>17</v>
      </c>
      <c r="GC91" s="204"/>
      <c r="GD91" s="208">
        <f t="shared" si="167"/>
        <v>34</v>
      </c>
      <c r="GE91" s="208">
        <f t="shared" si="168"/>
        <v>108</v>
      </c>
      <c r="GF91" s="203">
        <v>4</v>
      </c>
      <c r="GG91" s="205"/>
      <c r="GH91" s="205"/>
      <c r="GI91" s="205"/>
      <c r="GJ91" s="205">
        <v>8</v>
      </c>
      <c r="GK91" s="208">
        <f t="shared" si="169"/>
        <v>12</v>
      </c>
      <c r="GL91" s="203">
        <v>4</v>
      </c>
      <c r="GM91" s="205"/>
      <c r="GN91" s="205"/>
      <c r="GO91" s="204"/>
      <c r="GP91" s="208">
        <f t="shared" si="170"/>
        <v>4</v>
      </c>
      <c r="GQ91" s="203"/>
      <c r="GR91" s="205"/>
      <c r="GS91" s="205"/>
      <c r="GT91" s="205"/>
      <c r="GU91" s="204">
        <v>4</v>
      </c>
      <c r="GV91" s="208">
        <f t="shared" si="200"/>
        <v>4</v>
      </c>
      <c r="GW91" s="203"/>
      <c r="GX91" s="205">
        <v>4</v>
      </c>
      <c r="GY91" s="205"/>
      <c r="GZ91" s="205"/>
      <c r="HA91" s="205"/>
      <c r="HB91" s="204"/>
      <c r="HC91" s="208">
        <f t="shared" si="201"/>
        <v>4</v>
      </c>
      <c r="HD91" s="208">
        <f t="shared" si="202"/>
        <v>24</v>
      </c>
      <c r="HE91" s="203">
        <v>4</v>
      </c>
      <c r="HF91" s="205">
        <v>4</v>
      </c>
      <c r="HG91" s="205"/>
      <c r="HH91" s="205"/>
      <c r="HI91" s="208">
        <f t="shared" si="203"/>
        <v>8</v>
      </c>
      <c r="HJ91" s="203"/>
      <c r="HK91" s="205">
        <v>8</v>
      </c>
      <c r="HL91" s="205"/>
      <c r="HM91" s="205">
        <f>4+4.5+4+4.5</f>
        <v>17</v>
      </c>
      <c r="HN91" s="204">
        <f>4+4</f>
        <v>8</v>
      </c>
      <c r="HO91" s="245">
        <f t="shared" si="204"/>
        <v>33</v>
      </c>
      <c r="HP91" s="203"/>
      <c r="HQ91" s="205">
        <f>4.5+4</f>
        <v>8.5</v>
      </c>
      <c r="HR91" s="205">
        <f>4+4</f>
        <v>8</v>
      </c>
      <c r="HS91" s="205">
        <f>4.5+4</f>
        <v>8.5</v>
      </c>
      <c r="HT91" s="204">
        <f>4+4.5</f>
        <v>8.5</v>
      </c>
      <c r="HU91" s="208">
        <f t="shared" si="205"/>
        <v>33.5</v>
      </c>
      <c r="HV91" s="203">
        <f>4+4.5</f>
        <v>8.5</v>
      </c>
      <c r="HW91" s="205">
        <v>4</v>
      </c>
      <c r="HX91" s="205">
        <v>4</v>
      </c>
      <c r="HY91" s="208">
        <f t="shared" si="171"/>
        <v>16.5</v>
      </c>
      <c r="HZ91" s="203"/>
      <c r="IA91" s="205">
        <v>4</v>
      </c>
      <c r="IB91" s="204"/>
      <c r="IC91" s="208">
        <f t="shared" si="206"/>
        <v>4</v>
      </c>
      <c r="ID91" s="208">
        <f t="shared" si="172"/>
        <v>95</v>
      </c>
      <c r="IE91" s="203">
        <v>16.5</v>
      </c>
      <c r="IF91" s="204">
        <v>12.5</v>
      </c>
      <c r="IG91" s="208">
        <f t="shared" si="207"/>
        <v>29</v>
      </c>
      <c r="IH91" s="203"/>
      <c r="II91" s="205">
        <v>4</v>
      </c>
      <c r="IJ91" s="205">
        <v>8.5</v>
      </c>
      <c r="IK91" s="205">
        <v>12</v>
      </c>
      <c r="IL91" s="204"/>
      <c r="IM91" s="208">
        <f t="shared" si="208"/>
        <v>24.5</v>
      </c>
      <c r="IN91" s="203"/>
      <c r="IO91" s="205">
        <v>8</v>
      </c>
      <c r="IP91" s="204">
        <v>4</v>
      </c>
      <c r="IQ91" s="208">
        <f t="shared" si="209"/>
        <v>12</v>
      </c>
      <c r="IR91" s="203">
        <v>4</v>
      </c>
      <c r="IS91" s="205"/>
      <c r="IT91" s="205">
        <v>4</v>
      </c>
      <c r="IU91" s="205">
        <v>8.5</v>
      </c>
      <c r="IV91" s="204">
        <v>12.5</v>
      </c>
      <c r="IW91" s="208">
        <f t="shared" si="210"/>
        <v>29</v>
      </c>
      <c r="IX91" s="203"/>
      <c r="IY91" s="205">
        <v>8.5</v>
      </c>
      <c r="IZ91" s="205">
        <v>8.5</v>
      </c>
      <c r="JA91" s="205">
        <v>8.5</v>
      </c>
      <c r="JB91" s="204"/>
      <c r="JC91" s="208">
        <f t="shared" si="211"/>
        <v>25.5</v>
      </c>
      <c r="JD91" s="208">
        <f t="shared" si="212"/>
        <v>120</v>
      </c>
      <c r="JE91" s="203">
        <v>8</v>
      </c>
      <c r="JF91" s="205"/>
      <c r="JG91" s="205">
        <v>16.5</v>
      </c>
      <c r="JH91" s="205">
        <v>3.54</v>
      </c>
      <c r="JI91" s="204"/>
      <c r="JJ91" s="208">
        <f t="shared" si="213"/>
        <v>28.04</v>
      </c>
      <c r="JK91" s="203"/>
      <c r="JL91" s="205"/>
      <c r="JM91" s="205"/>
      <c r="JN91" s="205"/>
      <c r="JO91" s="204"/>
      <c r="JP91" s="208">
        <f t="shared" si="214"/>
        <v>0</v>
      </c>
      <c r="JQ91" s="203"/>
      <c r="JR91" s="205"/>
      <c r="JS91" s="205"/>
      <c r="JT91" s="205"/>
      <c r="JU91" s="204"/>
      <c r="JV91" s="208">
        <f t="shared" si="215"/>
        <v>0</v>
      </c>
      <c r="JW91" s="203"/>
      <c r="JX91" s="205"/>
      <c r="JY91" s="205"/>
      <c r="JZ91" s="205"/>
      <c r="KA91" s="205"/>
      <c r="KB91" s="204"/>
      <c r="KC91" s="208">
        <f t="shared" si="216"/>
        <v>0</v>
      </c>
      <c r="KD91" s="208">
        <f t="shared" si="217"/>
        <v>28.04</v>
      </c>
      <c r="KE91" s="203"/>
      <c r="KF91" s="205"/>
      <c r="KG91" s="205"/>
      <c r="KH91" s="205"/>
      <c r="KI91" s="204"/>
      <c r="KJ91" s="208">
        <f t="shared" si="218"/>
        <v>0</v>
      </c>
      <c r="KK91" s="203"/>
      <c r="KL91" s="205"/>
      <c r="KM91" s="205"/>
      <c r="KN91" s="205"/>
      <c r="KO91" s="204"/>
      <c r="KP91" s="208">
        <f t="shared" si="219"/>
        <v>0</v>
      </c>
      <c r="KQ91" s="203"/>
      <c r="KR91" s="205"/>
      <c r="KS91" s="205"/>
      <c r="KT91" s="205"/>
      <c r="KU91" s="204"/>
      <c r="KV91" s="208">
        <f t="shared" si="220"/>
        <v>0</v>
      </c>
      <c r="KW91" s="203"/>
      <c r="KX91" s="205"/>
      <c r="KY91" s="205"/>
      <c r="KZ91" s="205"/>
      <c r="LA91" s="204"/>
      <c r="LB91" s="208">
        <f t="shared" si="221"/>
        <v>0</v>
      </c>
      <c r="LC91" s="202"/>
      <c r="LD91" s="244"/>
      <c r="LE91" s="245"/>
      <c r="LF91" s="208">
        <f t="shared" si="222"/>
        <v>0</v>
      </c>
      <c r="LG91" s="208">
        <f t="shared" si="223"/>
        <v>0</v>
      </c>
      <c r="LM91" s="16"/>
    </row>
    <row r="92" spans="2:325" s="91" customFormat="1">
      <c r="B92" s="93" t="s">
        <v>398</v>
      </c>
      <c r="C92" s="167"/>
      <c r="D92" s="202">
        <f t="shared" si="163"/>
        <v>0</v>
      </c>
      <c r="E92" s="167"/>
      <c r="F92" s="177"/>
      <c r="G92" s="177"/>
      <c r="H92" s="177"/>
      <c r="I92" s="178">
        <v>1.8879999999999999</v>
      </c>
      <c r="J92" s="202">
        <f t="shared" si="233"/>
        <v>1.8879999999999999</v>
      </c>
      <c r="K92" s="167"/>
      <c r="L92" s="177"/>
      <c r="M92" s="177"/>
      <c r="N92" s="178"/>
      <c r="O92" s="202">
        <f t="shared" si="231"/>
        <v>0</v>
      </c>
      <c r="P92" s="167"/>
      <c r="Q92" s="177"/>
      <c r="R92" s="177"/>
      <c r="S92" s="177"/>
      <c r="T92" s="178"/>
      <c r="U92" s="202">
        <f t="shared" si="173"/>
        <v>0</v>
      </c>
      <c r="V92" s="167"/>
      <c r="W92" s="177"/>
      <c r="X92" s="177"/>
      <c r="Y92" s="177"/>
      <c r="Z92" s="177">
        <v>1.8879999999999999</v>
      </c>
      <c r="AA92" s="208">
        <f t="shared" si="174"/>
        <v>1.8879999999999999</v>
      </c>
      <c r="AB92" s="208">
        <f t="shared" si="226"/>
        <v>3.7759999999999998</v>
      </c>
      <c r="AC92" s="203"/>
      <c r="AD92" s="205"/>
      <c r="AE92" s="205"/>
      <c r="AF92" s="205"/>
      <c r="AG92" s="204">
        <v>0.94399999999999995</v>
      </c>
      <c r="AH92" s="208">
        <f t="shared" si="227"/>
        <v>0.94399999999999995</v>
      </c>
      <c r="AI92" s="203"/>
      <c r="AJ92" s="205"/>
      <c r="AK92" s="205"/>
      <c r="AL92" s="205"/>
      <c r="AM92" s="204"/>
      <c r="AN92" s="208">
        <f t="shared" si="234"/>
        <v>0</v>
      </c>
      <c r="AO92" s="203"/>
      <c r="AP92" s="205"/>
      <c r="AQ92" s="205"/>
      <c r="AR92" s="205"/>
      <c r="AS92" s="204"/>
      <c r="AT92" s="208">
        <f t="shared" si="176"/>
        <v>0</v>
      </c>
      <c r="AU92" s="203"/>
      <c r="AV92" s="205"/>
      <c r="AW92" s="205">
        <v>1.18</v>
      </c>
      <c r="AX92" s="205"/>
      <c r="AY92" s="204"/>
      <c r="AZ92" s="208">
        <f t="shared" si="177"/>
        <v>1.18</v>
      </c>
      <c r="BA92" s="208">
        <f t="shared" si="178"/>
        <v>2.1239999999999997</v>
      </c>
      <c r="BB92" s="203">
        <v>1.8879999999999999</v>
      </c>
      <c r="BC92" s="205"/>
      <c r="BD92" s="205"/>
      <c r="BE92" s="205"/>
      <c r="BF92" s="204"/>
      <c r="BG92" s="208">
        <f t="shared" si="179"/>
        <v>1.8879999999999999</v>
      </c>
      <c r="BH92" s="203"/>
      <c r="BI92" s="205"/>
      <c r="BJ92" s="205"/>
      <c r="BK92" s="205"/>
      <c r="BL92" s="204"/>
      <c r="BM92" s="208">
        <f t="shared" si="164"/>
        <v>0</v>
      </c>
      <c r="BN92" s="203"/>
      <c r="BO92" s="205"/>
      <c r="BP92" s="205"/>
      <c r="BQ92" s="204"/>
      <c r="BR92" s="208">
        <f t="shared" si="180"/>
        <v>0</v>
      </c>
      <c r="BS92" s="203"/>
      <c r="BT92" s="205"/>
      <c r="BU92" s="205"/>
      <c r="BV92" s="205"/>
      <c r="BW92" s="204"/>
      <c r="BX92" s="208">
        <f t="shared" si="181"/>
        <v>0</v>
      </c>
      <c r="BY92" s="203"/>
      <c r="BZ92" s="205">
        <v>1.8879999999999999</v>
      </c>
      <c r="CA92" s="208">
        <f t="shared" si="182"/>
        <v>1.8879999999999999</v>
      </c>
      <c r="CB92" s="208">
        <f t="shared" si="183"/>
        <v>3.7759999999999998</v>
      </c>
      <c r="CC92" s="203"/>
      <c r="CD92" s="205"/>
      <c r="CE92" s="205"/>
      <c r="CF92" s="208">
        <f t="shared" si="228"/>
        <v>0</v>
      </c>
      <c r="CG92" s="203"/>
      <c r="CH92" s="205"/>
      <c r="CI92" s="205"/>
      <c r="CJ92" s="204"/>
      <c r="CK92" s="208">
        <f t="shared" si="184"/>
        <v>0</v>
      </c>
      <c r="CL92" s="203"/>
      <c r="CM92" s="205"/>
      <c r="CN92" s="205"/>
      <c r="CO92" s="205"/>
      <c r="CP92" s="204"/>
      <c r="CQ92" s="208">
        <f t="shared" si="185"/>
        <v>0</v>
      </c>
      <c r="CR92" s="203"/>
      <c r="CS92" s="205"/>
      <c r="CT92" s="205"/>
      <c r="CU92" s="205"/>
      <c r="CV92" s="204"/>
      <c r="CW92" s="208">
        <f t="shared" si="232"/>
        <v>0</v>
      </c>
      <c r="CX92" s="203"/>
      <c r="CY92" s="205"/>
      <c r="CZ92" s="205"/>
      <c r="DA92" s="204">
        <v>1.8879999999999999</v>
      </c>
      <c r="DB92" s="208">
        <f t="shared" si="187"/>
        <v>1.8879999999999999</v>
      </c>
      <c r="DC92" s="208">
        <f t="shared" si="229"/>
        <v>1.8879999999999999</v>
      </c>
      <c r="DD92" s="203"/>
      <c r="DE92" s="205"/>
      <c r="DF92" s="205"/>
      <c r="DG92" s="205"/>
      <c r="DH92" s="205"/>
      <c r="DI92" s="208">
        <f t="shared" si="188"/>
        <v>0</v>
      </c>
      <c r="DJ92" s="203"/>
      <c r="DK92" s="205"/>
      <c r="DL92" s="205"/>
      <c r="DM92" s="205"/>
      <c r="DN92" s="204"/>
      <c r="DO92" s="208">
        <f t="shared" si="189"/>
        <v>0</v>
      </c>
      <c r="DP92" s="203"/>
      <c r="DQ92" s="205"/>
      <c r="DR92" s="205"/>
      <c r="DS92" s="205"/>
      <c r="DT92" s="204"/>
      <c r="DU92" s="245">
        <f t="shared" si="190"/>
        <v>0</v>
      </c>
      <c r="DV92" s="203"/>
      <c r="DW92" s="205"/>
      <c r="DX92" s="205"/>
      <c r="DY92" s="205"/>
      <c r="DZ92" s="204"/>
      <c r="EA92" s="208">
        <f t="shared" si="191"/>
        <v>0</v>
      </c>
      <c r="EB92" s="208">
        <f t="shared" si="192"/>
        <v>0</v>
      </c>
      <c r="EC92" s="203">
        <v>1.8879999999999999</v>
      </c>
      <c r="ED92" s="205"/>
      <c r="EE92" s="205"/>
      <c r="EF92" s="205"/>
      <c r="EG92" s="204"/>
      <c r="EH92" s="208">
        <f t="shared" si="193"/>
        <v>1.8879999999999999</v>
      </c>
      <c r="EI92" s="203"/>
      <c r="EJ92" s="205"/>
      <c r="EK92" s="205"/>
      <c r="EL92" s="205"/>
      <c r="EM92" s="204"/>
      <c r="EN92" s="208">
        <f t="shared" si="194"/>
        <v>0</v>
      </c>
      <c r="EO92" s="203"/>
      <c r="EP92" s="205"/>
      <c r="EQ92" s="205"/>
      <c r="ER92" s="205"/>
      <c r="ES92" s="204"/>
      <c r="ET92" s="308">
        <f t="shared" si="195"/>
        <v>0</v>
      </c>
      <c r="EU92" s="203"/>
      <c r="EV92" s="205"/>
      <c r="EW92" s="205"/>
      <c r="EX92" s="205"/>
      <c r="EY92" s="205"/>
      <c r="EZ92" s="205"/>
      <c r="FA92" s="204"/>
      <c r="FB92" s="208">
        <f t="shared" si="196"/>
        <v>0</v>
      </c>
      <c r="FC92" s="208">
        <f t="shared" si="197"/>
        <v>1.8879999999999999</v>
      </c>
      <c r="FD92" s="203">
        <v>1.8879999999999999</v>
      </c>
      <c r="FE92" s="205"/>
      <c r="FF92" s="204"/>
      <c r="FG92" s="208">
        <f t="shared" si="198"/>
        <v>1.8879999999999999</v>
      </c>
      <c r="FH92" s="203"/>
      <c r="FI92" s="205"/>
      <c r="FJ92" s="205"/>
      <c r="FK92" s="205"/>
      <c r="FL92" s="204"/>
      <c r="FM92" s="208">
        <f t="shared" si="199"/>
        <v>0</v>
      </c>
      <c r="FN92" s="203"/>
      <c r="FO92" s="205"/>
      <c r="FP92" s="205"/>
      <c r="FQ92" s="205"/>
      <c r="FR92" s="208">
        <f t="shared" si="165"/>
        <v>0</v>
      </c>
      <c r="FS92" s="203"/>
      <c r="FT92" s="205"/>
      <c r="FU92" s="205"/>
      <c r="FV92" s="205"/>
      <c r="FW92" s="204"/>
      <c r="FX92" s="208">
        <f t="shared" si="166"/>
        <v>0</v>
      </c>
      <c r="FY92" s="203"/>
      <c r="FZ92" s="205"/>
      <c r="GA92" s="205"/>
      <c r="GB92" s="205"/>
      <c r="GC92" s="204">
        <v>1.8879999999999999</v>
      </c>
      <c r="GD92" s="208">
        <f t="shared" si="167"/>
        <v>1.8879999999999999</v>
      </c>
      <c r="GE92" s="208">
        <f t="shared" si="168"/>
        <v>3.7759999999999998</v>
      </c>
      <c r="GF92" s="203"/>
      <c r="GG92" s="205"/>
      <c r="GH92" s="205"/>
      <c r="GI92" s="205"/>
      <c r="GJ92" s="205"/>
      <c r="GK92" s="208">
        <f t="shared" si="169"/>
        <v>0</v>
      </c>
      <c r="GL92" s="203"/>
      <c r="GM92" s="205"/>
      <c r="GN92" s="205"/>
      <c r="GO92" s="204"/>
      <c r="GP92" s="208">
        <f t="shared" si="170"/>
        <v>0</v>
      </c>
      <c r="GQ92" s="203"/>
      <c r="GR92" s="205"/>
      <c r="GS92" s="205"/>
      <c r="GT92" s="205"/>
      <c r="GU92" s="204"/>
      <c r="GV92" s="208">
        <f t="shared" si="200"/>
        <v>0</v>
      </c>
      <c r="GW92" s="203"/>
      <c r="GX92" s="205"/>
      <c r="GY92" s="205"/>
      <c r="GZ92" s="205"/>
      <c r="HA92" s="205"/>
      <c r="HB92" s="204">
        <v>1.8879999999999999</v>
      </c>
      <c r="HC92" s="208">
        <f t="shared" si="201"/>
        <v>1.8879999999999999</v>
      </c>
      <c r="HD92" s="208">
        <f t="shared" si="202"/>
        <v>1.8879999999999999</v>
      </c>
      <c r="HE92" s="203"/>
      <c r="HF92" s="205"/>
      <c r="HG92" s="205"/>
      <c r="HH92" s="205"/>
      <c r="HI92" s="208">
        <f t="shared" si="203"/>
        <v>0</v>
      </c>
      <c r="HJ92" s="203"/>
      <c r="HK92" s="205"/>
      <c r="HL92" s="205"/>
      <c r="HM92" s="205"/>
      <c r="HN92" s="204"/>
      <c r="HO92" s="245">
        <f t="shared" si="204"/>
        <v>0</v>
      </c>
      <c r="HP92" s="203"/>
      <c r="HQ92" s="205"/>
      <c r="HR92" s="205"/>
      <c r="HS92" s="205"/>
      <c r="HT92" s="204"/>
      <c r="HU92" s="208">
        <f t="shared" si="205"/>
        <v>0</v>
      </c>
      <c r="HV92" s="203"/>
      <c r="HW92" s="205"/>
      <c r="HX92" s="205"/>
      <c r="HY92" s="208">
        <f t="shared" si="171"/>
        <v>0</v>
      </c>
      <c r="HZ92" s="203"/>
      <c r="IA92" s="205"/>
      <c r="IB92" s="204">
        <f>0.944+0.944</f>
        <v>1.8879999999999999</v>
      </c>
      <c r="IC92" s="208">
        <f t="shared" si="206"/>
        <v>1.8879999999999999</v>
      </c>
      <c r="ID92" s="208">
        <f t="shared" si="172"/>
        <v>1.8879999999999999</v>
      </c>
      <c r="IE92" s="203"/>
      <c r="IF92" s="204"/>
      <c r="IG92" s="208">
        <f t="shared" si="207"/>
        <v>0</v>
      </c>
      <c r="IH92" s="203"/>
      <c r="II92" s="205"/>
      <c r="IJ92" s="205"/>
      <c r="IK92" s="205"/>
      <c r="IL92" s="204"/>
      <c r="IM92" s="208">
        <f t="shared" si="208"/>
        <v>0</v>
      </c>
      <c r="IN92" s="203"/>
      <c r="IO92" s="205"/>
      <c r="IP92" s="204"/>
      <c r="IQ92" s="208">
        <f t="shared" si="209"/>
        <v>0</v>
      </c>
      <c r="IR92" s="203"/>
      <c r="IS92" s="205"/>
      <c r="IT92" s="205"/>
      <c r="IU92" s="205"/>
      <c r="IV92" s="204"/>
      <c r="IW92" s="208">
        <f t="shared" si="210"/>
        <v>0</v>
      </c>
      <c r="IX92" s="203"/>
      <c r="IY92" s="205"/>
      <c r="IZ92" s="205"/>
      <c r="JA92" s="205"/>
      <c r="JB92" s="204"/>
      <c r="JC92" s="208">
        <f t="shared" si="211"/>
        <v>0</v>
      </c>
      <c r="JD92" s="208">
        <f t="shared" si="212"/>
        <v>0</v>
      </c>
      <c r="JE92" s="203"/>
      <c r="JF92" s="205"/>
      <c r="JG92" s="205"/>
      <c r="JH92" s="205"/>
      <c r="JI92" s="204"/>
      <c r="JJ92" s="208">
        <f t="shared" si="213"/>
        <v>0</v>
      </c>
      <c r="JK92" s="203"/>
      <c r="JL92" s="205"/>
      <c r="JM92" s="205"/>
      <c r="JN92" s="205"/>
      <c r="JO92" s="204"/>
      <c r="JP92" s="208">
        <f t="shared" si="214"/>
        <v>0</v>
      </c>
      <c r="JQ92" s="203"/>
      <c r="JR92" s="205"/>
      <c r="JS92" s="205"/>
      <c r="JT92" s="205"/>
      <c r="JU92" s="204"/>
      <c r="JV92" s="208">
        <f t="shared" si="215"/>
        <v>0</v>
      </c>
      <c r="JW92" s="203"/>
      <c r="JX92" s="205"/>
      <c r="JY92" s="205"/>
      <c r="JZ92" s="205"/>
      <c r="KA92" s="205"/>
      <c r="KB92" s="204"/>
      <c r="KC92" s="208">
        <f t="shared" si="216"/>
        <v>0</v>
      </c>
      <c r="KD92" s="208">
        <f t="shared" si="217"/>
        <v>0</v>
      </c>
      <c r="KE92" s="203"/>
      <c r="KF92" s="205"/>
      <c r="KG92" s="205"/>
      <c r="KH92" s="205"/>
      <c r="KI92" s="204"/>
      <c r="KJ92" s="208">
        <f t="shared" si="218"/>
        <v>0</v>
      </c>
      <c r="KK92" s="203"/>
      <c r="KL92" s="205"/>
      <c r="KM92" s="205"/>
      <c r="KN92" s="205"/>
      <c r="KO92" s="204"/>
      <c r="KP92" s="208">
        <f t="shared" si="219"/>
        <v>0</v>
      </c>
      <c r="KQ92" s="203"/>
      <c r="KR92" s="205"/>
      <c r="KS92" s="205"/>
      <c r="KT92" s="205"/>
      <c r="KU92" s="204"/>
      <c r="KV92" s="208">
        <f t="shared" si="220"/>
        <v>0</v>
      </c>
      <c r="KW92" s="203"/>
      <c r="KX92" s="205"/>
      <c r="KY92" s="205"/>
      <c r="KZ92" s="205"/>
      <c r="LA92" s="204"/>
      <c r="LB92" s="208">
        <f t="shared" si="221"/>
        <v>0</v>
      </c>
      <c r="LC92" s="202"/>
      <c r="LD92" s="244"/>
      <c r="LE92" s="245"/>
      <c r="LF92" s="208">
        <f t="shared" si="222"/>
        <v>0</v>
      </c>
      <c r="LG92" s="208">
        <f t="shared" si="223"/>
        <v>0</v>
      </c>
      <c r="LM92" s="16"/>
    </row>
    <row r="93" spans="2:325" s="91" customFormat="1">
      <c r="B93" s="93" t="s">
        <v>430</v>
      </c>
      <c r="C93" s="167"/>
      <c r="D93" s="202">
        <f t="shared" si="163"/>
        <v>0</v>
      </c>
      <c r="E93" s="167"/>
      <c r="F93" s="177"/>
      <c r="G93" s="177"/>
      <c r="H93" s="177"/>
      <c r="I93" s="178"/>
      <c r="J93" s="202">
        <f t="shared" si="233"/>
        <v>0</v>
      </c>
      <c r="K93" s="167"/>
      <c r="L93" s="177"/>
      <c r="M93" s="177"/>
      <c r="N93" s="178"/>
      <c r="O93" s="202">
        <f t="shared" si="231"/>
        <v>0</v>
      </c>
      <c r="P93" s="167"/>
      <c r="Q93" s="177"/>
      <c r="R93" s="177"/>
      <c r="S93" s="177"/>
      <c r="T93" s="178"/>
      <c r="U93" s="202">
        <f t="shared" si="173"/>
        <v>0</v>
      </c>
      <c r="V93" s="167">
        <f>1983.231+2018.831</f>
        <v>4002.0619999999999</v>
      </c>
      <c r="W93" s="177">
        <f>106.02+311.5</f>
        <v>417.52</v>
      </c>
      <c r="X93" s="177">
        <v>533.66999999999996</v>
      </c>
      <c r="Y93" s="177"/>
      <c r="Z93" s="177"/>
      <c r="AA93" s="208">
        <f t="shared" si="174"/>
        <v>4953.2520000000004</v>
      </c>
      <c r="AB93" s="208">
        <f t="shared" si="226"/>
        <v>4953.2520000000004</v>
      </c>
      <c r="AC93" s="203"/>
      <c r="AD93" s="205"/>
      <c r="AE93" s="205"/>
      <c r="AF93" s="205"/>
      <c r="AG93" s="204"/>
      <c r="AH93" s="208">
        <f t="shared" si="227"/>
        <v>0</v>
      </c>
      <c r="AI93" s="203"/>
      <c r="AJ93" s="205"/>
      <c r="AK93" s="205"/>
      <c r="AL93" s="205"/>
      <c r="AM93" s="204">
        <v>76.096000000000004</v>
      </c>
      <c r="AN93" s="208">
        <f t="shared" si="234"/>
        <v>76.096000000000004</v>
      </c>
      <c r="AO93" s="203"/>
      <c r="AP93" s="205"/>
      <c r="AQ93" s="205"/>
      <c r="AR93" s="205"/>
      <c r="AS93" s="204"/>
      <c r="AT93" s="208">
        <f t="shared" si="176"/>
        <v>0</v>
      </c>
      <c r="AU93" s="203"/>
      <c r="AV93" s="205"/>
      <c r="AW93" s="205"/>
      <c r="AX93" s="205"/>
      <c r="AY93" s="204"/>
      <c r="AZ93" s="208">
        <f t="shared" si="177"/>
        <v>0</v>
      </c>
      <c r="BA93" s="208">
        <f t="shared" si="178"/>
        <v>76.096000000000004</v>
      </c>
      <c r="BB93" s="203"/>
      <c r="BC93" s="205"/>
      <c r="BD93" s="205">
        <f>1240.772+1254.974+1615.116</f>
        <v>4110.8620000000001</v>
      </c>
      <c r="BE93" s="205"/>
      <c r="BF93" s="204"/>
      <c r="BG93" s="208">
        <f t="shared" si="179"/>
        <v>4110.8620000000001</v>
      </c>
      <c r="BH93" s="203"/>
      <c r="BI93" s="205">
        <v>467.59</v>
      </c>
      <c r="BJ93" s="205"/>
      <c r="BK93" s="205">
        <v>5198.1819999999998</v>
      </c>
      <c r="BL93" s="204"/>
      <c r="BM93" s="208">
        <f t="shared" si="164"/>
        <v>5665.7719999999999</v>
      </c>
      <c r="BN93" s="203"/>
      <c r="BO93" s="205">
        <v>1055</v>
      </c>
      <c r="BP93" s="205"/>
      <c r="BQ93" s="204">
        <v>160.18100000000001</v>
      </c>
      <c r="BR93" s="208">
        <f t="shared" si="180"/>
        <v>1215.181</v>
      </c>
      <c r="BS93" s="203"/>
      <c r="BT93" s="205"/>
      <c r="BU93" s="205"/>
      <c r="BV93" s="205"/>
      <c r="BW93" s="204"/>
      <c r="BX93" s="208">
        <f t="shared" si="181"/>
        <v>0</v>
      </c>
      <c r="BY93" s="203"/>
      <c r="BZ93" s="205"/>
      <c r="CA93" s="208">
        <f t="shared" si="182"/>
        <v>0</v>
      </c>
      <c r="CB93" s="208">
        <f t="shared" si="183"/>
        <v>10991.814999999999</v>
      </c>
      <c r="CC93" s="203"/>
      <c r="CD93" s="205"/>
      <c r="CE93" s="205"/>
      <c r="CF93" s="208">
        <f t="shared" si="228"/>
        <v>0</v>
      </c>
      <c r="CG93" s="203"/>
      <c r="CH93" s="205"/>
      <c r="CI93" s="205"/>
      <c r="CJ93" s="204"/>
      <c r="CK93" s="208">
        <f t="shared" si="184"/>
        <v>0</v>
      </c>
      <c r="CL93" s="203"/>
      <c r="CM93" s="205"/>
      <c r="CN93" s="205"/>
      <c r="CO93" s="205">
        <f>514.79+505.35</f>
        <v>1020.14</v>
      </c>
      <c r="CP93" s="204"/>
      <c r="CQ93" s="208">
        <f t="shared" si="185"/>
        <v>1020.14</v>
      </c>
      <c r="CR93" s="203"/>
      <c r="CS93" s="205"/>
      <c r="CT93" s="205">
        <v>425</v>
      </c>
      <c r="CU93" s="205"/>
      <c r="CV93" s="204"/>
      <c r="CW93" s="208">
        <f t="shared" si="232"/>
        <v>425</v>
      </c>
      <c r="CX93" s="203"/>
      <c r="CY93" s="205"/>
      <c r="CZ93" s="205"/>
      <c r="DA93" s="204"/>
      <c r="DB93" s="208">
        <f t="shared" si="187"/>
        <v>0</v>
      </c>
      <c r="DC93" s="208">
        <f t="shared" si="229"/>
        <v>1445.1399999999999</v>
      </c>
      <c r="DD93" s="203"/>
      <c r="DE93" s="205"/>
      <c r="DF93" s="205"/>
      <c r="DG93" s="205"/>
      <c r="DH93" s="205"/>
      <c r="DI93" s="208">
        <f t="shared" si="188"/>
        <v>0</v>
      </c>
      <c r="DJ93" s="203"/>
      <c r="DK93" s="205"/>
      <c r="DL93" s="205"/>
      <c r="DM93" s="205"/>
      <c r="DN93" s="204"/>
      <c r="DO93" s="208">
        <f t="shared" si="189"/>
        <v>0</v>
      </c>
      <c r="DP93" s="203"/>
      <c r="DQ93" s="205">
        <v>659.4</v>
      </c>
      <c r="DR93" s="205"/>
      <c r="DS93" s="205"/>
      <c r="DT93" s="204"/>
      <c r="DU93" s="245">
        <f t="shared" si="190"/>
        <v>659.4</v>
      </c>
      <c r="DV93" s="203"/>
      <c r="DW93" s="205">
        <v>464.45800000000003</v>
      </c>
      <c r="DX93" s="205"/>
      <c r="DY93" s="205">
        <v>412.13900000000001</v>
      </c>
      <c r="DZ93" s="204"/>
      <c r="EA93" s="208">
        <f t="shared" si="191"/>
        <v>876.59699999999998</v>
      </c>
      <c r="EB93" s="208">
        <f t="shared" si="192"/>
        <v>1535.9969999999998</v>
      </c>
      <c r="EC93" s="203"/>
      <c r="ED93" s="205"/>
      <c r="EE93" s="205"/>
      <c r="EF93" s="205"/>
      <c r="EG93" s="204"/>
      <c r="EH93" s="208">
        <f t="shared" si="193"/>
        <v>0</v>
      </c>
      <c r="EI93" s="203"/>
      <c r="EJ93" s="205"/>
      <c r="EK93" s="205">
        <f>197.784+240.44+117.918</f>
        <v>556.14200000000005</v>
      </c>
      <c r="EL93" s="205"/>
      <c r="EM93" s="204"/>
      <c r="EN93" s="208">
        <f t="shared" si="194"/>
        <v>556.14200000000005</v>
      </c>
      <c r="EO93" s="203"/>
      <c r="EP93" s="205"/>
      <c r="EQ93" s="205"/>
      <c r="ER93" s="205"/>
      <c r="ES93" s="204"/>
      <c r="ET93" s="308">
        <f t="shared" si="195"/>
        <v>0</v>
      </c>
      <c r="EU93" s="203"/>
      <c r="EV93" s="205"/>
      <c r="EW93" s="205"/>
      <c r="EX93" s="205"/>
      <c r="EY93" s="205"/>
      <c r="EZ93" s="205">
        <v>5531.58</v>
      </c>
      <c r="FA93" s="204"/>
      <c r="FB93" s="208">
        <f t="shared" si="196"/>
        <v>5531.58</v>
      </c>
      <c r="FC93" s="208">
        <f t="shared" si="197"/>
        <v>6087.7219999999998</v>
      </c>
      <c r="FD93" s="203"/>
      <c r="FE93" s="205"/>
      <c r="FF93" s="204"/>
      <c r="FG93" s="208">
        <f t="shared" si="198"/>
        <v>0</v>
      </c>
      <c r="FH93" s="203">
        <v>58.13</v>
      </c>
      <c r="FI93" s="205"/>
      <c r="FJ93" s="205"/>
      <c r="FK93" s="205"/>
      <c r="FL93" s="204"/>
      <c r="FM93" s="208">
        <f t="shared" si="199"/>
        <v>58.13</v>
      </c>
      <c r="FN93" s="203"/>
      <c r="FO93" s="205"/>
      <c r="FP93" s="205"/>
      <c r="FQ93" s="205"/>
      <c r="FR93" s="208">
        <f t="shared" si="165"/>
        <v>0</v>
      </c>
      <c r="FS93" s="203"/>
      <c r="FT93" s="205"/>
      <c r="FU93" s="205"/>
      <c r="FV93" s="205"/>
      <c r="FW93" s="204"/>
      <c r="FX93" s="208">
        <f t="shared" si="166"/>
        <v>0</v>
      </c>
      <c r="FY93" s="203"/>
      <c r="FZ93" s="205">
        <v>81.620999999999995</v>
      </c>
      <c r="GA93" s="205"/>
      <c r="GB93" s="205">
        <v>731.73800000000006</v>
      </c>
      <c r="GC93" s="204"/>
      <c r="GD93" s="208">
        <f t="shared" si="167"/>
        <v>813.35900000000004</v>
      </c>
      <c r="GE93" s="208">
        <f t="shared" si="168"/>
        <v>871.48900000000003</v>
      </c>
      <c r="GF93" s="203"/>
      <c r="GG93" s="205"/>
      <c r="GH93" s="205"/>
      <c r="GI93" s="205"/>
      <c r="GJ93" s="205"/>
      <c r="GK93" s="208">
        <f t="shared" si="169"/>
        <v>0</v>
      </c>
      <c r="GL93" s="203"/>
      <c r="GM93" s="205"/>
      <c r="GN93" s="205"/>
      <c r="GO93" s="204"/>
      <c r="GP93" s="208">
        <f t="shared" si="170"/>
        <v>0</v>
      </c>
      <c r="GQ93" s="203"/>
      <c r="GR93" s="205"/>
      <c r="GS93" s="205"/>
      <c r="GT93" s="205"/>
      <c r="GU93" s="204"/>
      <c r="GV93" s="208">
        <f t="shared" si="200"/>
        <v>0</v>
      </c>
      <c r="GW93" s="203"/>
      <c r="GX93" s="205"/>
      <c r="GY93" s="205"/>
      <c r="GZ93" s="205"/>
      <c r="HA93" s="205">
        <v>547.74</v>
      </c>
      <c r="HB93" s="204">
        <v>3595.1579999999999</v>
      </c>
      <c r="HC93" s="208">
        <f t="shared" si="201"/>
        <v>4142.8980000000001</v>
      </c>
      <c r="HD93" s="208">
        <f t="shared" si="202"/>
        <v>4142.8980000000001</v>
      </c>
      <c r="HE93" s="203"/>
      <c r="HF93" s="205"/>
      <c r="HG93" s="205"/>
      <c r="HH93" s="205"/>
      <c r="HI93" s="208">
        <f t="shared" si="203"/>
        <v>0</v>
      </c>
      <c r="HJ93" s="203"/>
      <c r="HK93" s="205"/>
      <c r="HL93" s="205"/>
      <c r="HM93" s="205"/>
      <c r="HN93" s="204">
        <v>20.37</v>
      </c>
      <c r="HO93" s="245">
        <f t="shared" si="204"/>
        <v>20.37</v>
      </c>
      <c r="HP93" s="203"/>
      <c r="HQ93" s="205"/>
      <c r="HR93" s="205"/>
      <c r="HS93" s="205"/>
      <c r="HT93" s="204"/>
      <c r="HU93" s="208">
        <f t="shared" si="205"/>
        <v>0</v>
      </c>
      <c r="HV93" s="203"/>
      <c r="HW93" s="205">
        <v>248.00899999999999</v>
      </c>
      <c r="HX93" s="205"/>
      <c r="HY93" s="208">
        <f t="shared" si="171"/>
        <v>248.00899999999999</v>
      </c>
      <c r="HZ93" s="203"/>
      <c r="IA93" s="205"/>
      <c r="IB93" s="204">
        <v>5299.79</v>
      </c>
      <c r="IC93" s="208">
        <f t="shared" si="206"/>
        <v>5299.79</v>
      </c>
      <c r="ID93" s="208">
        <f t="shared" si="172"/>
        <v>5568.1689999999999</v>
      </c>
      <c r="IE93" s="203"/>
      <c r="IF93" s="204"/>
      <c r="IG93" s="208">
        <f t="shared" si="207"/>
        <v>0</v>
      </c>
      <c r="IH93" s="203"/>
      <c r="II93" s="205">
        <f>886+492.47</f>
        <v>1378.47</v>
      </c>
      <c r="IJ93" s="205"/>
      <c r="IK93" s="205"/>
      <c r="IL93" s="204"/>
      <c r="IM93" s="208">
        <f t="shared" si="208"/>
        <v>1378.47</v>
      </c>
      <c r="IN93" s="203"/>
      <c r="IO93" s="205"/>
      <c r="IP93" s="204"/>
      <c r="IQ93" s="208">
        <f t="shared" si="209"/>
        <v>0</v>
      </c>
      <c r="IR93" s="203"/>
      <c r="IS93" s="205"/>
      <c r="IT93" s="205"/>
      <c r="IU93" s="205"/>
      <c r="IV93" s="204"/>
      <c r="IW93" s="208">
        <f t="shared" si="210"/>
        <v>0</v>
      </c>
      <c r="IX93" s="203"/>
      <c r="IY93" s="205"/>
      <c r="IZ93" s="205"/>
      <c r="JA93" s="205"/>
      <c r="JB93" s="204">
        <v>4396.067</v>
      </c>
      <c r="JC93" s="208">
        <f t="shared" si="211"/>
        <v>4396.067</v>
      </c>
      <c r="JD93" s="208">
        <f t="shared" si="212"/>
        <v>5774.5370000000003</v>
      </c>
      <c r="JE93" s="203"/>
      <c r="JF93" s="205">
        <f>-58.788-58.059</f>
        <v>-116.84699999999999</v>
      </c>
      <c r="JG93" s="205"/>
      <c r="JH93" s="205"/>
      <c r="JI93" s="204"/>
      <c r="JJ93" s="208">
        <f t="shared" si="213"/>
        <v>-116.84699999999999</v>
      </c>
      <c r="JK93" s="203"/>
      <c r="JL93" s="205"/>
      <c r="JM93" s="205"/>
      <c r="JN93" s="205"/>
      <c r="JO93" s="204"/>
      <c r="JP93" s="208">
        <f t="shared" si="214"/>
        <v>0</v>
      </c>
      <c r="JQ93" s="203"/>
      <c r="JR93" s="205"/>
      <c r="JS93" s="205"/>
      <c r="JT93" s="205"/>
      <c r="JU93" s="204"/>
      <c r="JV93" s="208">
        <f t="shared" si="215"/>
        <v>0</v>
      </c>
      <c r="JW93" s="203"/>
      <c r="JX93" s="205"/>
      <c r="JY93" s="205"/>
      <c r="JZ93" s="205"/>
      <c r="KA93" s="205"/>
      <c r="KB93" s="204"/>
      <c r="KC93" s="208">
        <f t="shared" si="216"/>
        <v>0</v>
      </c>
      <c r="KD93" s="208">
        <f t="shared" si="217"/>
        <v>-116.84699999999999</v>
      </c>
      <c r="KE93" s="203"/>
      <c r="KF93" s="205"/>
      <c r="KG93" s="205"/>
      <c r="KH93" s="205"/>
      <c r="KI93" s="204"/>
      <c r="KJ93" s="208">
        <f t="shared" si="218"/>
        <v>0</v>
      </c>
      <c r="KK93" s="203"/>
      <c r="KL93" s="205"/>
      <c r="KM93" s="205"/>
      <c r="KN93" s="205"/>
      <c r="KO93" s="204"/>
      <c r="KP93" s="208">
        <f t="shared" si="219"/>
        <v>0</v>
      </c>
      <c r="KQ93" s="203"/>
      <c r="KR93" s="205"/>
      <c r="KS93" s="205"/>
      <c r="KT93" s="205"/>
      <c r="KU93" s="204"/>
      <c r="KV93" s="208">
        <f t="shared" si="220"/>
        <v>0</v>
      </c>
      <c r="KW93" s="203"/>
      <c r="KX93" s="205"/>
      <c r="KY93" s="205"/>
      <c r="KZ93" s="205"/>
      <c r="LA93" s="204"/>
      <c r="LB93" s="208">
        <f t="shared" si="221"/>
        <v>0</v>
      </c>
      <c r="LC93" s="202"/>
      <c r="LD93" s="244"/>
      <c r="LE93" s="245"/>
      <c r="LF93" s="208">
        <f t="shared" si="222"/>
        <v>0</v>
      </c>
      <c r="LG93" s="208">
        <f t="shared" si="223"/>
        <v>0</v>
      </c>
      <c r="LM93" s="16"/>
    </row>
    <row r="94" spans="2:325" s="91" customFormat="1">
      <c r="B94" s="93" t="s">
        <v>380</v>
      </c>
      <c r="C94" s="167"/>
      <c r="D94" s="202">
        <f t="shared" si="163"/>
        <v>0</v>
      </c>
      <c r="E94" s="167"/>
      <c r="F94" s="177"/>
      <c r="G94" s="177"/>
      <c r="H94" s="177"/>
      <c r="I94" s="178"/>
      <c r="J94" s="202">
        <f t="shared" si="233"/>
        <v>0</v>
      </c>
      <c r="K94" s="167"/>
      <c r="L94" s="177"/>
      <c r="M94" s="177"/>
      <c r="N94" s="178"/>
      <c r="O94" s="202">
        <f t="shared" si="231"/>
        <v>0</v>
      </c>
      <c r="P94" s="167"/>
      <c r="Q94" s="177"/>
      <c r="R94" s="177"/>
      <c r="S94" s="177"/>
      <c r="T94" s="178"/>
      <c r="U94" s="202">
        <f t="shared" si="173"/>
        <v>0</v>
      </c>
      <c r="V94" s="167"/>
      <c r="W94" s="177"/>
      <c r="X94" s="177"/>
      <c r="Y94" s="177"/>
      <c r="Z94" s="177"/>
      <c r="AA94" s="208">
        <f t="shared" si="174"/>
        <v>0</v>
      </c>
      <c r="AB94" s="208">
        <f t="shared" si="226"/>
        <v>0</v>
      </c>
      <c r="AC94" s="203"/>
      <c r="AD94" s="205"/>
      <c r="AE94" s="205"/>
      <c r="AF94" s="205"/>
      <c r="AG94" s="204"/>
      <c r="AH94" s="208">
        <f t="shared" si="227"/>
        <v>0</v>
      </c>
      <c r="AI94" s="203"/>
      <c r="AJ94" s="205"/>
      <c r="AK94" s="205"/>
      <c r="AL94" s="205"/>
      <c r="AM94" s="204"/>
      <c r="AN94" s="208">
        <f t="shared" si="234"/>
        <v>0</v>
      </c>
      <c r="AO94" s="203"/>
      <c r="AP94" s="205"/>
      <c r="AQ94" s="205"/>
      <c r="AR94" s="205"/>
      <c r="AS94" s="204"/>
      <c r="AT94" s="208">
        <f t="shared" si="176"/>
        <v>0</v>
      </c>
      <c r="AU94" s="203"/>
      <c r="AV94" s="205"/>
      <c r="AW94" s="205"/>
      <c r="AX94" s="205"/>
      <c r="AY94" s="204"/>
      <c r="AZ94" s="208">
        <f t="shared" si="177"/>
        <v>0</v>
      </c>
      <c r="BA94" s="208">
        <f t="shared" si="178"/>
        <v>0</v>
      </c>
      <c r="BB94" s="203"/>
      <c r="BC94" s="205"/>
      <c r="BD94" s="205"/>
      <c r="BE94" s="205"/>
      <c r="BF94" s="204"/>
      <c r="BG94" s="208">
        <f t="shared" si="179"/>
        <v>0</v>
      </c>
      <c r="BH94" s="203"/>
      <c r="BI94" s="205"/>
      <c r="BJ94" s="205"/>
      <c r="BK94" s="205"/>
      <c r="BL94" s="204"/>
      <c r="BM94" s="208">
        <f t="shared" si="164"/>
        <v>0</v>
      </c>
      <c r="BN94" s="203"/>
      <c r="BO94" s="205"/>
      <c r="BP94" s="205"/>
      <c r="BQ94" s="204"/>
      <c r="BR94" s="208">
        <f t="shared" si="180"/>
        <v>0</v>
      </c>
      <c r="BS94" s="203"/>
      <c r="BT94" s="205"/>
      <c r="BU94" s="205"/>
      <c r="BV94" s="205"/>
      <c r="BW94" s="204"/>
      <c r="BX94" s="208">
        <f t="shared" si="181"/>
        <v>0</v>
      </c>
      <c r="BY94" s="203"/>
      <c r="BZ94" s="205"/>
      <c r="CA94" s="208">
        <f t="shared" si="182"/>
        <v>0</v>
      </c>
      <c r="CB94" s="208">
        <f t="shared" si="183"/>
        <v>0</v>
      </c>
      <c r="CC94" s="203"/>
      <c r="CD94" s="205"/>
      <c r="CE94" s="205"/>
      <c r="CF94" s="208">
        <f t="shared" si="228"/>
        <v>0</v>
      </c>
      <c r="CG94" s="203"/>
      <c r="CH94" s="205"/>
      <c r="CI94" s="205"/>
      <c r="CJ94" s="204"/>
      <c r="CK94" s="208">
        <f t="shared" si="184"/>
        <v>0</v>
      </c>
      <c r="CL94" s="203"/>
      <c r="CM94" s="205"/>
      <c r="CN94" s="205"/>
      <c r="CO94" s="205"/>
      <c r="CP94" s="204"/>
      <c r="CQ94" s="208">
        <f t="shared" si="185"/>
        <v>0</v>
      </c>
      <c r="CR94" s="203"/>
      <c r="CS94" s="205"/>
      <c r="CT94" s="205"/>
      <c r="CU94" s="205"/>
      <c r="CV94" s="204"/>
      <c r="CW94" s="208">
        <f t="shared" si="232"/>
        <v>0</v>
      </c>
      <c r="CX94" s="203"/>
      <c r="CY94" s="205"/>
      <c r="CZ94" s="205"/>
      <c r="DA94" s="204"/>
      <c r="DB94" s="208">
        <f t="shared" si="187"/>
        <v>0</v>
      </c>
      <c r="DC94" s="208">
        <f t="shared" si="229"/>
        <v>0</v>
      </c>
      <c r="DD94" s="203"/>
      <c r="DE94" s="205"/>
      <c r="DF94" s="205"/>
      <c r="DG94" s="205"/>
      <c r="DH94" s="205"/>
      <c r="DI94" s="208">
        <f t="shared" si="188"/>
        <v>0</v>
      </c>
      <c r="DJ94" s="203"/>
      <c r="DK94" s="205"/>
      <c r="DL94" s="205"/>
      <c r="DM94" s="205"/>
      <c r="DN94" s="204"/>
      <c r="DO94" s="208">
        <f t="shared" si="189"/>
        <v>0</v>
      </c>
      <c r="DP94" s="203"/>
      <c r="DQ94" s="205"/>
      <c r="DR94" s="205"/>
      <c r="DS94" s="205"/>
      <c r="DT94" s="204"/>
      <c r="DU94" s="245">
        <f t="shared" si="190"/>
        <v>0</v>
      </c>
      <c r="DV94" s="203"/>
      <c r="DW94" s="205"/>
      <c r="DX94" s="205"/>
      <c r="DY94" s="205"/>
      <c r="DZ94" s="204"/>
      <c r="EA94" s="208">
        <f t="shared" si="191"/>
        <v>0</v>
      </c>
      <c r="EB94" s="208">
        <f t="shared" si="192"/>
        <v>0</v>
      </c>
      <c r="EC94" s="203"/>
      <c r="ED94" s="205"/>
      <c r="EE94" s="205"/>
      <c r="EF94" s="205"/>
      <c r="EG94" s="204"/>
      <c r="EH94" s="208">
        <f t="shared" si="193"/>
        <v>0</v>
      </c>
      <c r="EI94" s="203"/>
      <c r="EJ94" s="205"/>
      <c r="EK94" s="205"/>
      <c r="EL94" s="205"/>
      <c r="EM94" s="204"/>
      <c r="EN94" s="208">
        <f t="shared" si="194"/>
        <v>0</v>
      </c>
      <c r="EO94" s="203"/>
      <c r="EP94" s="205"/>
      <c r="EQ94" s="205"/>
      <c r="ER94" s="205"/>
      <c r="ES94" s="204"/>
      <c r="ET94" s="308">
        <f t="shared" si="195"/>
        <v>0</v>
      </c>
      <c r="EU94" s="203"/>
      <c r="EV94" s="205"/>
      <c r="EW94" s="205"/>
      <c r="EX94" s="205"/>
      <c r="EY94" s="205"/>
      <c r="EZ94" s="205"/>
      <c r="FA94" s="204"/>
      <c r="FB94" s="208">
        <f t="shared" si="196"/>
        <v>0</v>
      </c>
      <c r="FC94" s="208">
        <f t="shared" si="197"/>
        <v>0</v>
      </c>
      <c r="FD94" s="203"/>
      <c r="FE94" s="205"/>
      <c r="FF94" s="204"/>
      <c r="FG94" s="208">
        <f t="shared" si="198"/>
        <v>0</v>
      </c>
      <c r="FH94" s="203"/>
      <c r="FI94" s="205"/>
      <c r="FJ94" s="205"/>
      <c r="FK94" s="205"/>
      <c r="FL94" s="204"/>
      <c r="FM94" s="208">
        <f t="shared" si="199"/>
        <v>0</v>
      </c>
      <c r="FN94" s="203"/>
      <c r="FO94" s="205"/>
      <c r="FP94" s="205"/>
      <c r="FQ94" s="205"/>
      <c r="FR94" s="208">
        <f t="shared" si="165"/>
        <v>0</v>
      </c>
      <c r="FS94" s="203"/>
      <c r="FT94" s="205"/>
      <c r="FU94" s="205"/>
      <c r="FV94" s="205"/>
      <c r="FW94" s="204"/>
      <c r="FX94" s="208">
        <f t="shared" si="166"/>
        <v>0</v>
      </c>
      <c r="FY94" s="203"/>
      <c r="FZ94" s="205"/>
      <c r="GA94" s="205"/>
      <c r="GB94" s="205"/>
      <c r="GC94" s="204"/>
      <c r="GD94" s="208">
        <f t="shared" si="167"/>
        <v>0</v>
      </c>
      <c r="GE94" s="208">
        <f t="shared" si="168"/>
        <v>0</v>
      </c>
      <c r="GF94" s="203"/>
      <c r="GG94" s="205"/>
      <c r="GH94" s="205"/>
      <c r="GI94" s="205"/>
      <c r="GJ94" s="205"/>
      <c r="GK94" s="208">
        <f t="shared" si="169"/>
        <v>0</v>
      </c>
      <c r="GL94" s="203"/>
      <c r="GM94" s="205"/>
      <c r="GN94" s="205"/>
      <c r="GO94" s="204"/>
      <c r="GP94" s="208">
        <f t="shared" si="170"/>
        <v>0</v>
      </c>
      <c r="GQ94" s="203"/>
      <c r="GR94" s="205"/>
      <c r="GS94" s="205"/>
      <c r="GT94" s="205"/>
      <c r="GU94" s="204"/>
      <c r="GV94" s="208">
        <f t="shared" si="200"/>
        <v>0</v>
      </c>
      <c r="GW94" s="203"/>
      <c r="GX94" s="205"/>
      <c r="GY94" s="205"/>
      <c r="GZ94" s="205"/>
      <c r="HA94" s="205"/>
      <c r="HB94" s="204"/>
      <c r="HC94" s="208">
        <f t="shared" si="201"/>
        <v>0</v>
      </c>
      <c r="HD94" s="208">
        <f t="shared" si="202"/>
        <v>0</v>
      </c>
      <c r="HE94" s="203"/>
      <c r="HF94" s="205"/>
      <c r="HG94" s="205"/>
      <c r="HH94" s="205"/>
      <c r="HI94" s="208">
        <f t="shared" si="203"/>
        <v>0</v>
      </c>
      <c r="HJ94" s="203"/>
      <c r="HK94" s="205"/>
      <c r="HL94" s="205"/>
      <c r="HM94" s="205"/>
      <c r="HN94" s="204"/>
      <c r="HO94" s="245">
        <f t="shared" si="204"/>
        <v>0</v>
      </c>
      <c r="HP94" s="203">
        <v>590</v>
      </c>
      <c r="HQ94" s="205"/>
      <c r="HR94" s="205"/>
      <c r="HS94" s="205"/>
      <c r="HT94" s="204"/>
      <c r="HU94" s="208">
        <f t="shared" si="205"/>
        <v>590</v>
      </c>
      <c r="HV94" s="203"/>
      <c r="HW94" s="205"/>
      <c r="HX94" s="205"/>
      <c r="HY94" s="208">
        <f t="shared" si="171"/>
        <v>0</v>
      </c>
      <c r="HZ94" s="203"/>
      <c r="IA94" s="205"/>
      <c r="IB94" s="204"/>
      <c r="IC94" s="208">
        <f t="shared" si="206"/>
        <v>0</v>
      </c>
      <c r="ID94" s="208">
        <f t="shared" si="172"/>
        <v>590</v>
      </c>
      <c r="IE94" s="203"/>
      <c r="IF94" s="204"/>
      <c r="IG94" s="208">
        <f t="shared" si="207"/>
        <v>0</v>
      </c>
      <c r="IH94" s="203"/>
      <c r="II94" s="205"/>
      <c r="IJ94" s="205"/>
      <c r="IK94" s="205"/>
      <c r="IL94" s="204"/>
      <c r="IM94" s="208">
        <f t="shared" si="208"/>
        <v>0</v>
      </c>
      <c r="IN94" s="203"/>
      <c r="IO94" s="205"/>
      <c r="IP94" s="204"/>
      <c r="IQ94" s="208">
        <f t="shared" si="209"/>
        <v>0</v>
      </c>
      <c r="IR94" s="203"/>
      <c r="IS94" s="205"/>
      <c r="IT94" s="205"/>
      <c r="IU94" s="205"/>
      <c r="IV94" s="204"/>
      <c r="IW94" s="208">
        <f t="shared" si="210"/>
        <v>0</v>
      </c>
      <c r="IX94" s="203"/>
      <c r="IY94" s="205"/>
      <c r="IZ94" s="205"/>
      <c r="JA94" s="205"/>
      <c r="JB94" s="204"/>
      <c r="JC94" s="208">
        <f t="shared" si="211"/>
        <v>0</v>
      </c>
      <c r="JD94" s="208">
        <f t="shared" si="212"/>
        <v>0</v>
      </c>
      <c r="JE94" s="203"/>
      <c r="JF94" s="205"/>
      <c r="JG94" s="205"/>
      <c r="JH94" s="205"/>
      <c r="JI94" s="204"/>
      <c r="JJ94" s="208">
        <f t="shared" si="213"/>
        <v>0</v>
      </c>
      <c r="JK94" s="203"/>
      <c r="JL94" s="205"/>
      <c r="JM94" s="205"/>
      <c r="JN94" s="205"/>
      <c r="JO94" s="204"/>
      <c r="JP94" s="208">
        <f t="shared" si="214"/>
        <v>0</v>
      </c>
      <c r="JQ94" s="203"/>
      <c r="JR94" s="205"/>
      <c r="JS94" s="205"/>
      <c r="JT94" s="205"/>
      <c r="JU94" s="204"/>
      <c r="JV94" s="208">
        <f t="shared" si="215"/>
        <v>0</v>
      </c>
      <c r="JW94" s="203"/>
      <c r="JX94" s="205"/>
      <c r="JY94" s="205"/>
      <c r="JZ94" s="205"/>
      <c r="KA94" s="205"/>
      <c r="KB94" s="204"/>
      <c r="KC94" s="208">
        <f t="shared" si="216"/>
        <v>0</v>
      </c>
      <c r="KD94" s="208">
        <f t="shared" si="217"/>
        <v>0</v>
      </c>
      <c r="KE94" s="203"/>
      <c r="KF94" s="205"/>
      <c r="KG94" s="205"/>
      <c r="KH94" s="205"/>
      <c r="KI94" s="204"/>
      <c r="KJ94" s="208">
        <f t="shared" si="218"/>
        <v>0</v>
      </c>
      <c r="KK94" s="203"/>
      <c r="KL94" s="205"/>
      <c r="KM94" s="205"/>
      <c r="KN94" s="205"/>
      <c r="KO94" s="204"/>
      <c r="KP94" s="208">
        <f t="shared" si="219"/>
        <v>0</v>
      </c>
      <c r="KQ94" s="203"/>
      <c r="KR94" s="205"/>
      <c r="KS94" s="205"/>
      <c r="KT94" s="205"/>
      <c r="KU94" s="204"/>
      <c r="KV94" s="208">
        <f t="shared" si="220"/>
        <v>0</v>
      </c>
      <c r="KW94" s="203"/>
      <c r="KX94" s="205"/>
      <c r="KY94" s="205"/>
      <c r="KZ94" s="205"/>
      <c r="LA94" s="204"/>
      <c r="LB94" s="208">
        <f t="shared" si="221"/>
        <v>0</v>
      </c>
      <c r="LC94" s="202"/>
      <c r="LD94" s="244"/>
      <c r="LE94" s="245"/>
      <c r="LF94" s="208">
        <f t="shared" si="222"/>
        <v>0</v>
      </c>
      <c r="LG94" s="208">
        <f t="shared" si="223"/>
        <v>0</v>
      </c>
      <c r="LM94" s="16"/>
    </row>
    <row r="95" spans="2:325" s="91" customFormat="1">
      <c r="B95" s="93" t="s">
        <v>381</v>
      </c>
      <c r="C95" s="167">
        <v>238.47800000000001</v>
      </c>
      <c r="D95" s="202">
        <f t="shared" si="163"/>
        <v>238.47800000000001</v>
      </c>
      <c r="E95" s="167"/>
      <c r="F95" s="177"/>
      <c r="G95" s="177"/>
      <c r="H95" s="177">
        <v>0.72</v>
      </c>
      <c r="I95" s="178">
        <v>1.53</v>
      </c>
      <c r="J95" s="202">
        <f t="shared" si="233"/>
        <v>2.25</v>
      </c>
      <c r="K95" s="167"/>
      <c r="L95" s="177"/>
      <c r="M95" s="177">
        <v>0.72</v>
      </c>
      <c r="N95" s="178">
        <v>0.81</v>
      </c>
      <c r="O95" s="202">
        <f t="shared" si="231"/>
        <v>1.53</v>
      </c>
      <c r="P95" s="167"/>
      <c r="Q95" s="177">
        <v>0.72</v>
      </c>
      <c r="R95" s="177">
        <v>0.72</v>
      </c>
      <c r="S95" s="177">
        <v>0.72</v>
      </c>
      <c r="T95" s="178"/>
      <c r="U95" s="202">
        <f t="shared" si="173"/>
        <v>2.16</v>
      </c>
      <c r="V95" s="167">
        <v>1.18</v>
      </c>
      <c r="W95" s="177">
        <v>0.72</v>
      </c>
      <c r="X95" s="177">
        <v>0.72</v>
      </c>
      <c r="Y95" s="177"/>
      <c r="Z95" s="177">
        <v>1.53</v>
      </c>
      <c r="AA95" s="208">
        <f t="shared" si="174"/>
        <v>4.1500000000000004</v>
      </c>
      <c r="AB95" s="208">
        <f t="shared" si="226"/>
        <v>248.56800000000001</v>
      </c>
      <c r="AC95" s="203">
        <v>239.482</v>
      </c>
      <c r="AD95" s="205">
        <v>0.72</v>
      </c>
      <c r="AE95" s="205"/>
      <c r="AF95" s="205">
        <v>0.09</v>
      </c>
      <c r="AG95" s="204"/>
      <c r="AH95" s="208">
        <f t="shared" si="227"/>
        <v>240.292</v>
      </c>
      <c r="AI95" s="203">
        <v>0.72</v>
      </c>
      <c r="AJ95" s="205">
        <f>0.72+0.72</f>
        <v>1.44</v>
      </c>
      <c r="AK95" s="205"/>
      <c r="AL95" s="205"/>
      <c r="AM95" s="204">
        <v>0.72</v>
      </c>
      <c r="AN95" s="208">
        <f t="shared" si="234"/>
        <v>2.88</v>
      </c>
      <c r="AO95" s="203"/>
      <c r="AP95" s="205"/>
      <c r="AQ95" s="205"/>
      <c r="AR95" s="205">
        <v>2.25</v>
      </c>
      <c r="AS95" s="204">
        <v>0.72</v>
      </c>
      <c r="AT95" s="208">
        <f t="shared" si="176"/>
        <v>2.9699999999999998</v>
      </c>
      <c r="AU95" s="203"/>
      <c r="AV95" s="205"/>
      <c r="AW95" s="205"/>
      <c r="AX95" s="205">
        <f>1.53+0.72</f>
        <v>2.25</v>
      </c>
      <c r="AY95" s="204">
        <v>0.72</v>
      </c>
      <c r="AZ95" s="208">
        <f t="shared" si="177"/>
        <v>2.9699999999999998</v>
      </c>
      <c r="BA95" s="208">
        <f t="shared" si="178"/>
        <v>249.11199999999999</v>
      </c>
      <c r="BB95" s="203">
        <v>198.61500000000001</v>
      </c>
      <c r="BC95" s="205"/>
      <c r="BD95" s="205"/>
      <c r="BE95" s="205"/>
      <c r="BF95" s="204"/>
      <c r="BG95" s="208">
        <f t="shared" si="179"/>
        <v>198.61500000000001</v>
      </c>
      <c r="BH95" s="203"/>
      <c r="BI95" s="205"/>
      <c r="BJ95" s="205">
        <v>0.09</v>
      </c>
      <c r="BK95" s="205">
        <v>0.09</v>
      </c>
      <c r="BL95" s="204">
        <v>0.72</v>
      </c>
      <c r="BM95" s="208">
        <f t="shared" si="164"/>
        <v>0.89999999999999991</v>
      </c>
      <c r="BN95" s="203"/>
      <c r="BO95" s="205">
        <v>1.44</v>
      </c>
      <c r="BP95" s="205"/>
      <c r="BQ95" s="204"/>
      <c r="BR95" s="208">
        <f t="shared" si="180"/>
        <v>1.44</v>
      </c>
      <c r="BS95" s="203"/>
      <c r="BT95" s="205">
        <v>0.72</v>
      </c>
      <c r="BU95" s="205">
        <f>4.5+0.09</f>
        <v>4.59</v>
      </c>
      <c r="BV95" s="205">
        <v>0.72</v>
      </c>
      <c r="BW95" s="204">
        <v>0.09</v>
      </c>
      <c r="BX95" s="208">
        <f t="shared" si="181"/>
        <v>6.1199999999999992</v>
      </c>
      <c r="BY95" s="203"/>
      <c r="BZ95" s="205"/>
      <c r="CA95" s="208">
        <f t="shared" si="182"/>
        <v>0</v>
      </c>
      <c r="CB95" s="208">
        <f t="shared" si="183"/>
        <v>207.07500000000002</v>
      </c>
      <c r="CC95" s="203">
        <v>2.97</v>
      </c>
      <c r="CD95" s="205">
        <v>206.90799999999999</v>
      </c>
      <c r="CE95" s="205"/>
      <c r="CF95" s="208">
        <f t="shared" si="228"/>
        <v>209.87799999999999</v>
      </c>
      <c r="CG95" s="203">
        <v>0.72</v>
      </c>
      <c r="CH95" s="205"/>
      <c r="CI95" s="205"/>
      <c r="CJ95" s="204"/>
      <c r="CK95" s="208">
        <f t="shared" si="184"/>
        <v>0.72</v>
      </c>
      <c r="CL95" s="203">
        <v>0.72</v>
      </c>
      <c r="CM95" s="205"/>
      <c r="CN95" s="205">
        <v>0.18</v>
      </c>
      <c r="CO95" s="205">
        <v>0.72</v>
      </c>
      <c r="CP95" s="204">
        <v>1.53</v>
      </c>
      <c r="CQ95" s="208">
        <f t="shared" si="185"/>
        <v>3.15</v>
      </c>
      <c r="CR95" s="203"/>
      <c r="CS95" s="205">
        <f>0.54*3</f>
        <v>1.62</v>
      </c>
      <c r="CT95" s="205">
        <v>0.72</v>
      </c>
      <c r="CU95" s="205">
        <f>1.53+1.53+0.72</f>
        <v>3.7800000000000002</v>
      </c>
      <c r="CV95" s="204">
        <v>4.5</v>
      </c>
      <c r="CW95" s="208">
        <f t="shared" si="232"/>
        <v>10.620000000000001</v>
      </c>
      <c r="CX95" s="203"/>
      <c r="CY95" s="205">
        <v>0.09</v>
      </c>
      <c r="CZ95" s="205"/>
      <c r="DA95" s="204"/>
      <c r="DB95" s="208">
        <f t="shared" si="187"/>
        <v>0.09</v>
      </c>
      <c r="DC95" s="208">
        <f t="shared" si="229"/>
        <v>224.458</v>
      </c>
      <c r="DD95" s="203">
        <f>186.513+0.54</f>
        <v>187.053</v>
      </c>
      <c r="DE95" s="205"/>
      <c r="DF95" s="205">
        <v>1.53</v>
      </c>
      <c r="DG95" s="205">
        <v>0.54</v>
      </c>
      <c r="DH95" s="205">
        <v>0.72</v>
      </c>
      <c r="DI95" s="208">
        <f t="shared" si="188"/>
        <v>189.84299999999999</v>
      </c>
      <c r="DJ95" s="203"/>
      <c r="DK95" s="205">
        <v>0.72</v>
      </c>
      <c r="DL95" s="205"/>
      <c r="DM95" s="205"/>
      <c r="DN95" s="204"/>
      <c r="DO95" s="208">
        <f t="shared" si="189"/>
        <v>0.72</v>
      </c>
      <c r="DP95" s="203"/>
      <c r="DQ95" s="205">
        <v>3.78</v>
      </c>
      <c r="DR95" s="205"/>
      <c r="DS95" s="205"/>
      <c r="DT95" s="204">
        <v>4.32</v>
      </c>
      <c r="DU95" s="245">
        <f t="shared" si="190"/>
        <v>8.1</v>
      </c>
      <c r="DV95" s="203"/>
      <c r="DW95" s="205"/>
      <c r="DX95" s="205"/>
      <c r="DY95" s="205">
        <v>1.44</v>
      </c>
      <c r="DZ95" s="204">
        <v>0.72</v>
      </c>
      <c r="EA95" s="208">
        <f t="shared" si="191"/>
        <v>2.16</v>
      </c>
      <c r="EB95" s="208">
        <f t="shared" si="192"/>
        <v>200.82299999999998</v>
      </c>
      <c r="EC95" s="203">
        <v>170.95</v>
      </c>
      <c r="ED95" s="205">
        <v>2.25</v>
      </c>
      <c r="EE95" s="205"/>
      <c r="EF95" s="205">
        <v>0.72</v>
      </c>
      <c r="EG95" s="204"/>
      <c r="EH95" s="208">
        <f t="shared" si="193"/>
        <v>173.92</v>
      </c>
      <c r="EI95" s="203"/>
      <c r="EJ95" s="205"/>
      <c r="EK95" s="205"/>
      <c r="EL95" s="205"/>
      <c r="EM95" s="204"/>
      <c r="EN95" s="208">
        <f t="shared" si="194"/>
        <v>0</v>
      </c>
      <c r="EO95" s="203"/>
      <c r="EP95" s="205"/>
      <c r="EQ95" s="205"/>
      <c r="ER95" s="205"/>
      <c r="ES95" s="204"/>
      <c r="ET95" s="308">
        <f t="shared" si="195"/>
        <v>0</v>
      </c>
      <c r="EU95" s="203"/>
      <c r="EV95" s="205">
        <f>1.53+1.53</f>
        <v>3.06</v>
      </c>
      <c r="EW95" s="205"/>
      <c r="EX95" s="205">
        <v>0.72</v>
      </c>
      <c r="EY95" s="205">
        <v>0.72</v>
      </c>
      <c r="EZ95" s="205">
        <v>0.72</v>
      </c>
      <c r="FA95" s="204">
        <v>1.53</v>
      </c>
      <c r="FB95" s="208">
        <f t="shared" si="196"/>
        <v>6.75</v>
      </c>
      <c r="FC95" s="208">
        <f t="shared" si="197"/>
        <v>180.67</v>
      </c>
      <c r="FD95" s="203">
        <v>170.95</v>
      </c>
      <c r="FE95" s="205">
        <v>0.72</v>
      </c>
      <c r="FF95" s="204">
        <v>2.16</v>
      </c>
      <c r="FG95" s="208">
        <f t="shared" si="198"/>
        <v>173.82999999999998</v>
      </c>
      <c r="FH95" s="203"/>
      <c r="FI95" s="205"/>
      <c r="FJ95" s="205">
        <v>1.53</v>
      </c>
      <c r="FK95" s="205">
        <v>0.72</v>
      </c>
      <c r="FL95" s="204"/>
      <c r="FM95" s="208">
        <f t="shared" si="199"/>
        <v>2.25</v>
      </c>
      <c r="FN95" s="203"/>
      <c r="FO95" s="205">
        <v>0.72</v>
      </c>
      <c r="FP95" s="205"/>
      <c r="FQ95" s="205">
        <v>1.53</v>
      </c>
      <c r="FR95" s="208">
        <f t="shared" si="165"/>
        <v>2.25</v>
      </c>
      <c r="FS95" s="203"/>
      <c r="FT95" s="205">
        <v>0.72</v>
      </c>
      <c r="FU95" s="205">
        <f>0.72+0.72</f>
        <v>1.44</v>
      </c>
      <c r="FV95" s="205">
        <f>1.53+1.53+0.72+0.72</f>
        <v>4.5</v>
      </c>
      <c r="FW95" s="204"/>
      <c r="FX95" s="208">
        <f t="shared" si="166"/>
        <v>6.66</v>
      </c>
      <c r="FY95" s="203">
        <v>0.54</v>
      </c>
      <c r="FZ95" s="205">
        <v>1.53</v>
      </c>
      <c r="GA95" s="205">
        <v>1.53</v>
      </c>
      <c r="GB95" s="205">
        <v>3.06</v>
      </c>
      <c r="GC95" s="204"/>
      <c r="GD95" s="208">
        <f t="shared" si="167"/>
        <v>6.66</v>
      </c>
      <c r="GE95" s="208">
        <f t="shared" si="168"/>
        <v>191.64999999999998</v>
      </c>
      <c r="GF95" s="203">
        <v>0.72</v>
      </c>
      <c r="GG95" s="205">
        <v>170.95099999999999</v>
      </c>
      <c r="GH95" s="205"/>
      <c r="GI95" s="205"/>
      <c r="GJ95" s="205">
        <v>1.44</v>
      </c>
      <c r="GK95" s="208">
        <f t="shared" si="169"/>
        <v>173.11099999999999</v>
      </c>
      <c r="GL95" s="203">
        <v>0.72</v>
      </c>
      <c r="GM95" s="205"/>
      <c r="GN95" s="205"/>
      <c r="GO95" s="204"/>
      <c r="GP95" s="208">
        <f t="shared" si="170"/>
        <v>0.72</v>
      </c>
      <c r="GQ95" s="203"/>
      <c r="GR95" s="205"/>
      <c r="GS95" s="205">
        <v>0.09</v>
      </c>
      <c r="GT95" s="205"/>
      <c r="GU95" s="204">
        <v>0.72</v>
      </c>
      <c r="GV95" s="208">
        <f t="shared" si="200"/>
        <v>0.80999999999999994</v>
      </c>
      <c r="GW95" s="203">
        <v>0.09</v>
      </c>
      <c r="GX95" s="205">
        <f>0.72+0.135+0.135</f>
        <v>0.99</v>
      </c>
      <c r="GY95" s="205">
        <v>4.5</v>
      </c>
      <c r="GZ95" s="205"/>
      <c r="HA95" s="205"/>
      <c r="HB95" s="204">
        <v>1.53</v>
      </c>
      <c r="HC95" s="208">
        <f t="shared" si="201"/>
        <v>7.11</v>
      </c>
      <c r="HD95" s="208">
        <f t="shared" si="202"/>
        <v>181.751</v>
      </c>
      <c r="HE95" s="203">
        <v>181.90199999999999</v>
      </c>
      <c r="HF95" s="205">
        <v>0.72</v>
      </c>
      <c r="HG95" s="205"/>
      <c r="HH95" s="205"/>
      <c r="HI95" s="208">
        <f t="shared" si="203"/>
        <v>182.62199999999999</v>
      </c>
      <c r="HJ95" s="203"/>
      <c r="HK95" s="205">
        <f>0.72+0.72+0.09</f>
        <v>1.53</v>
      </c>
      <c r="HL95" s="205"/>
      <c r="HM95" s="205">
        <f>1.53+1.53</f>
        <v>3.06</v>
      </c>
      <c r="HN95" s="204">
        <f>0.72+0.72</f>
        <v>1.44</v>
      </c>
      <c r="HO95" s="245">
        <f t="shared" si="204"/>
        <v>6.0299999999999994</v>
      </c>
      <c r="HP95" s="203">
        <v>4.5</v>
      </c>
      <c r="HQ95" s="205">
        <v>1.53</v>
      </c>
      <c r="HR95" s="205">
        <f>0.72+0.72</f>
        <v>1.44</v>
      </c>
      <c r="HS95" s="205">
        <v>1.53</v>
      </c>
      <c r="HT95" s="204">
        <v>1.53</v>
      </c>
      <c r="HU95" s="208">
        <f t="shared" si="205"/>
        <v>10.53</v>
      </c>
      <c r="HV95" s="203">
        <v>1.53</v>
      </c>
      <c r="HW95" s="205">
        <v>0.72</v>
      </c>
      <c r="HX95" s="205">
        <v>0.72</v>
      </c>
      <c r="HY95" s="208">
        <f t="shared" si="171"/>
        <v>2.9699999999999998</v>
      </c>
      <c r="HZ95" s="203"/>
      <c r="IA95" s="205">
        <v>0.72</v>
      </c>
      <c r="IB95" s="204"/>
      <c r="IC95" s="208">
        <f t="shared" si="206"/>
        <v>0.72</v>
      </c>
      <c r="ID95" s="208">
        <f t="shared" si="172"/>
        <v>202.87199999999999</v>
      </c>
      <c r="IE95" s="203">
        <v>220.745</v>
      </c>
      <c r="IF95" s="204">
        <v>2.25</v>
      </c>
      <c r="IG95" s="208">
        <f t="shared" si="207"/>
        <v>222.995</v>
      </c>
      <c r="IH95" s="203"/>
      <c r="II95" s="205">
        <v>0.72</v>
      </c>
      <c r="IJ95" s="205">
        <v>1.53</v>
      </c>
      <c r="IK95" s="205">
        <v>2.25</v>
      </c>
      <c r="IL95" s="204"/>
      <c r="IM95" s="208">
        <f t="shared" si="208"/>
        <v>4.5</v>
      </c>
      <c r="IN95" s="203"/>
      <c r="IO95" s="205">
        <v>1.44</v>
      </c>
      <c r="IP95" s="204">
        <v>0.72</v>
      </c>
      <c r="IQ95" s="208">
        <f t="shared" si="209"/>
        <v>2.16</v>
      </c>
      <c r="IR95" s="203">
        <v>0.72</v>
      </c>
      <c r="IS95" s="205"/>
      <c r="IT95" s="205">
        <v>0.72</v>
      </c>
      <c r="IU95" s="205">
        <v>1.62</v>
      </c>
      <c r="IV95" s="204">
        <v>2.34</v>
      </c>
      <c r="IW95" s="208">
        <f t="shared" si="210"/>
        <v>5.4</v>
      </c>
      <c r="IX95" s="203"/>
      <c r="IY95" s="205">
        <v>1.53</v>
      </c>
      <c r="IZ95" s="205">
        <v>1.53</v>
      </c>
      <c r="JA95" s="205">
        <v>1.53</v>
      </c>
      <c r="JB95" s="204">
        <v>1.8879999999999999</v>
      </c>
      <c r="JC95" s="208">
        <f t="shared" si="211"/>
        <v>6.4779999999999998</v>
      </c>
      <c r="JD95" s="208">
        <f t="shared" si="212"/>
        <v>241.53300000000002</v>
      </c>
      <c r="JE95" s="203">
        <v>1.44</v>
      </c>
      <c r="JF95" s="205">
        <v>187.89599999999999</v>
      </c>
      <c r="JG95" s="205">
        <v>2.97</v>
      </c>
      <c r="JH95" s="205">
        <v>0.72</v>
      </c>
      <c r="JI95" s="204"/>
      <c r="JJ95" s="208">
        <f t="shared" si="213"/>
        <v>193.02599999999998</v>
      </c>
      <c r="JK95" s="203"/>
      <c r="JL95" s="205"/>
      <c r="JM95" s="205"/>
      <c r="JN95" s="205"/>
      <c r="JO95" s="204"/>
      <c r="JP95" s="208">
        <f t="shared" si="214"/>
        <v>0</v>
      </c>
      <c r="JQ95" s="203"/>
      <c r="JR95" s="205"/>
      <c r="JS95" s="205"/>
      <c r="JT95" s="205"/>
      <c r="JU95" s="204"/>
      <c r="JV95" s="208">
        <f t="shared" si="215"/>
        <v>0</v>
      </c>
      <c r="JW95" s="203"/>
      <c r="JX95" s="205"/>
      <c r="JY95" s="205"/>
      <c r="JZ95" s="205"/>
      <c r="KA95" s="205"/>
      <c r="KB95" s="204"/>
      <c r="KC95" s="208">
        <f t="shared" si="216"/>
        <v>0</v>
      </c>
      <c r="KD95" s="208">
        <f t="shared" si="217"/>
        <v>193.02599999999998</v>
      </c>
      <c r="KE95" s="203"/>
      <c r="KF95" s="205"/>
      <c r="KG95" s="205"/>
      <c r="KH95" s="205"/>
      <c r="KI95" s="204"/>
      <c r="KJ95" s="208">
        <f t="shared" si="218"/>
        <v>0</v>
      </c>
      <c r="KK95" s="203"/>
      <c r="KL95" s="205"/>
      <c r="KM95" s="205"/>
      <c r="KN95" s="205"/>
      <c r="KO95" s="204"/>
      <c r="KP95" s="208">
        <f t="shared" si="219"/>
        <v>0</v>
      </c>
      <c r="KQ95" s="203"/>
      <c r="KR95" s="205"/>
      <c r="KS95" s="205"/>
      <c r="KT95" s="205"/>
      <c r="KU95" s="204"/>
      <c r="KV95" s="208">
        <f t="shared" si="220"/>
        <v>0</v>
      </c>
      <c r="KW95" s="203"/>
      <c r="KX95" s="205"/>
      <c r="KY95" s="205"/>
      <c r="KZ95" s="205"/>
      <c r="LA95" s="204"/>
      <c r="LB95" s="208">
        <f t="shared" si="221"/>
        <v>0</v>
      </c>
      <c r="LC95" s="202"/>
      <c r="LD95" s="244"/>
      <c r="LE95" s="245"/>
      <c r="LF95" s="208">
        <f t="shared" si="222"/>
        <v>0</v>
      </c>
      <c r="LG95" s="208">
        <f t="shared" si="223"/>
        <v>0</v>
      </c>
    </row>
    <row r="96" spans="2:325" s="91" customFormat="1">
      <c r="B96" s="167" t="s">
        <v>116</v>
      </c>
      <c r="C96" s="167"/>
      <c r="D96" s="202">
        <f t="shared" si="163"/>
        <v>0</v>
      </c>
      <c r="E96" s="167"/>
      <c r="F96" s="177"/>
      <c r="G96" s="177"/>
      <c r="H96" s="177"/>
      <c r="I96" s="178"/>
      <c r="J96" s="202">
        <f t="shared" si="233"/>
        <v>0</v>
      </c>
      <c r="K96" s="167"/>
      <c r="L96" s="177"/>
      <c r="M96" s="177"/>
      <c r="N96" s="178"/>
      <c r="O96" s="202">
        <f t="shared" si="231"/>
        <v>0</v>
      </c>
      <c r="P96" s="167"/>
      <c r="Q96" s="177"/>
      <c r="R96" s="177"/>
      <c r="S96" s="177"/>
      <c r="T96" s="178"/>
      <c r="U96" s="202">
        <f t="shared" si="173"/>
        <v>0</v>
      </c>
      <c r="V96" s="167"/>
      <c r="W96" s="177"/>
      <c r="X96" s="177"/>
      <c r="Y96" s="177"/>
      <c r="Z96" s="177"/>
      <c r="AA96" s="208">
        <f t="shared" si="174"/>
        <v>0</v>
      </c>
      <c r="AB96" s="208">
        <f>AA96+U96+O96+J96+D96</f>
        <v>0</v>
      </c>
      <c r="AC96" s="203"/>
      <c r="AD96" s="205"/>
      <c r="AE96" s="205"/>
      <c r="AF96" s="205"/>
      <c r="AG96" s="204"/>
      <c r="AH96" s="208">
        <f t="shared" si="227"/>
        <v>0</v>
      </c>
      <c r="AI96" s="203"/>
      <c r="AJ96" s="205"/>
      <c r="AK96" s="205"/>
      <c r="AL96" s="205"/>
      <c r="AM96" s="204"/>
      <c r="AN96" s="208">
        <f t="shared" si="234"/>
        <v>0</v>
      </c>
      <c r="AO96" s="203"/>
      <c r="AP96" s="205"/>
      <c r="AQ96" s="205"/>
      <c r="AR96" s="205"/>
      <c r="AS96" s="204">
        <v>59</v>
      </c>
      <c r="AT96" s="208">
        <f t="shared" si="176"/>
        <v>59</v>
      </c>
      <c r="AU96" s="203"/>
      <c r="AV96" s="205"/>
      <c r="AW96" s="205"/>
      <c r="AX96" s="205"/>
      <c r="AY96" s="204"/>
      <c r="AZ96" s="208">
        <f t="shared" si="177"/>
        <v>0</v>
      </c>
      <c r="BA96" s="208">
        <f t="shared" si="178"/>
        <v>59</v>
      </c>
      <c r="BB96" s="203"/>
      <c r="BC96" s="205"/>
      <c r="BD96" s="205"/>
      <c r="BE96" s="205"/>
      <c r="BF96" s="204"/>
      <c r="BG96" s="208">
        <f t="shared" si="179"/>
        <v>0</v>
      </c>
      <c r="BH96" s="203"/>
      <c r="BI96" s="205"/>
      <c r="BJ96" s="205"/>
      <c r="BK96" s="205"/>
      <c r="BL96" s="204"/>
      <c r="BM96" s="208">
        <f t="shared" si="164"/>
        <v>0</v>
      </c>
      <c r="BN96" s="203"/>
      <c r="BO96" s="205"/>
      <c r="BP96" s="205"/>
      <c r="BQ96" s="204"/>
      <c r="BR96" s="208">
        <f t="shared" si="180"/>
        <v>0</v>
      </c>
      <c r="BS96" s="203"/>
      <c r="BT96" s="205"/>
      <c r="BU96" s="205"/>
      <c r="BV96" s="205"/>
      <c r="BW96" s="204"/>
      <c r="BX96" s="208">
        <f t="shared" si="181"/>
        <v>0</v>
      </c>
      <c r="BY96" s="203"/>
      <c r="BZ96" s="205"/>
      <c r="CA96" s="208">
        <f t="shared" si="182"/>
        <v>0</v>
      </c>
      <c r="CB96" s="208">
        <f t="shared" si="183"/>
        <v>0</v>
      </c>
      <c r="CC96" s="203"/>
      <c r="CD96" s="205"/>
      <c r="CE96" s="205"/>
      <c r="CF96" s="208">
        <f t="shared" si="228"/>
        <v>0</v>
      </c>
      <c r="CG96" s="203"/>
      <c r="CH96" s="205"/>
      <c r="CI96" s="205"/>
      <c r="CJ96" s="204"/>
      <c r="CK96" s="208">
        <f t="shared" si="184"/>
        <v>0</v>
      </c>
      <c r="CL96" s="203"/>
      <c r="CM96" s="205"/>
      <c r="CN96" s="205"/>
      <c r="CO96" s="205"/>
      <c r="CP96" s="204"/>
      <c r="CQ96" s="208">
        <f t="shared" si="185"/>
        <v>0</v>
      </c>
      <c r="CR96" s="203"/>
      <c r="CS96" s="205"/>
      <c r="CT96" s="205"/>
      <c r="CU96" s="205"/>
      <c r="CV96" s="204"/>
      <c r="CW96" s="208">
        <f t="shared" si="232"/>
        <v>0</v>
      </c>
      <c r="CX96" s="203"/>
      <c r="CY96" s="205"/>
      <c r="CZ96" s="205"/>
      <c r="DA96" s="204"/>
      <c r="DB96" s="208">
        <f t="shared" si="187"/>
        <v>0</v>
      </c>
      <c r="DC96" s="208">
        <f t="shared" si="229"/>
        <v>0</v>
      </c>
      <c r="DD96" s="203"/>
      <c r="DE96" s="205"/>
      <c r="DF96" s="205"/>
      <c r="DG96" s="205"/>
      <c r="DH96" s="205"/>
      <c r="DI96" s="208">
        <f t="shared" si="188"/>
        <v>0</v>
      </c>
      <c r="DJ96" s="203"/>
      <c r="DK96" s="205"/>
      <c r="DL96" s="205"/>
      <c r="DM96" s="205"/>
      <c r="DN96" s="204"/>
      <c r="DO96" s="208">
        <f t="shared" si="189"/>
        <v>0</v>
      </c>
      <c r="DP96" s="203"/>
      <c r="DQ96" s="205"/>
      <c r="DR96" s="205"/>
      <c r="DS96" s="205"/>
      <c r="DT96" s="204"/>
      <c r="DU96" s="245">
        <f t="shared" si="190"/>
        <v>0</v>
      </c>
      <c r="DV96" s="203"/>
      <c r="DW96" s="205"/>
      <c r="DX96" s="205"/>
      <c r="DY96" s="205"/>
      <c r="DZ96" s="204"/>
      <c r="EA96" s="208">
        <f t="shared" si="191"/>
        <v>0</v>
      </c>
      <c r="EB96" s="208">
        <f>EA96+DU96+DO96+DI96</f>
        <v>0</v>
      </c>
      <c r="EC96" s="203"/>
      <c r="ED96" s="205"/>
      <c r="EE96" s="205"/>
      <c r="EF96" s="205"/>
      <c r="EG96" s="204"/>
      <c r="EH96" s="208">
        <f t="shared" si="193"/>
        <v>0</v>
      </c>
      <c r="EI96" s="203"/>
      <c r="EJ96" s="205"/>
      <c r="EK96" s="205"/>
      <c r="EL96" s="205"/>
      <c r="EM96" s="204"/>
      <c r="EN96" s="208">
        <f t="shared" si="194"/>
        <v>0</v>
      </c>
      <c r="EO96" s="203"/>
      <c r="EP96" s="205"/>
      <c r="EQ96" s="205"/>
      <c r="ER96" s="205"/>
      <c r="ES96" s="204"/>
      <c r="ET96" s="308">
        <f t="shared" si="195"/>
        <v>0</v>
      </c>
      <c r="EU96" s="203"/>
      <c r="EV96" s="205">
        <v>29.5</v>
      </c>
      <c r="EW96" s="205"/>
      <c r="EX96" s="205"/>
      <c r="EY96" s="205"/>
      <c r="EZ96" s="205"/>
      <c r="FA96" s="204"/>
      <c r="FB96" s="208">
        <f t="shared" si="196"/>
        <v>29.5</v>
      </c>
      <c r="FC96" s="208">
        <f t="shared" si="197"/>
        <v>29.5</v>
      </c>
      <c r="FD96" s="203"/>
      <c r="FE96" s="205"/>
      <c r="FF96" s="204"/>
      <c r="FG96" s="208">
        <f t="shared" si="198"/>
        <v>0</v>
      </c>
      <c r="FH96" s="203"/>
      <c r="FI96" s="205"/>
      <c r="FJ96" s="205"/>
      <c r="FK96" s="205"/>
      <c r="FL96" s="204"/>
      <c r="FM96" s="208">
        <f t="shared" si="199"/>
        <v>0</v>
      </c>
      <c r="FN96" s="203"/>
      <c r="FO96" s="205"/>
      <c r="FP96" s="205"/>
      <c r="FQ96" s="205"/>
      <c r="FR96" s="208">
        <f t="shared" si="165"/>
        <v>0</v>
      </c>
      <c r="FS96" s="203"/>
      <c r="FT96" s="205"/>
      <c r="FU96" s="205"/>
      <c r="FV96" s="205"/>
      <c r="FW96" s="204"/>
      <c r="FX96" s="208">
        <f t="shared" si="166"/>
        <v>0</v>
      </c>
      <c r="FY96" s="203"/>
      <c r="FZ96" s="205"/>
      <c r="GA96" s="205"/>
      <c r="GB96" s="205"/>
      <c r="GC96" s="204"/>
      <c r="GD96" s="208">
        <f>SUM(FY96:GC96)</f>
        <v>0</v>
      </c>
      <c r="GE96" s="208">
        <f t="shared" si="168"/>
        <v>0</v>
      </c>
      <c r="GF96" s="203"/>
      <c r="GG96" s="205"/>
      <c r="GH96" s="205"/>
      <c r="GI96" s="205"/>
      <c r="GJ96" s="205"/>
      <c r="GK96" s="208">
        <f>SUM(GF96:GJ96)</f>
        <v>0</v>
      </c>
      <c r="GL96" s="203"/>
      <c r="GM96" s="205"/>
      <c r="GN96" s="205"/>
      <c r="GO96" s="204"/>
      <c r="GP96" s="208">
        <f>SUM(GL96:GO96)</f>
        <v>0</v>
      </c>
      <c r="GQ96" s="203"/>
      <c r="GR96" s="205"/>
      <c r="GS96" s="205"/>
      <c r="GT96" s="205"/>
      <c r="GU96" s="204"/>
      <c r="GV96" s="208">
        <f t="shared" si="200"/>
        <v>0</v>
      </c>
      <c r="GW96" s="203"/>
      <c r="GX96" s="205"/>
      <c r="GY96" s="205"/>
      <c r="GZ96" s="205"/>
      <c r="HA96" s="205"/>
      <c r="HB96" s="204"/>
      <c r="HC96" s="208">
        <f t="shared" si="201"/>
        <v>0</v>
      </c>
      <c r="HD96" s="208">
        <f t="shared" si="202"/>
        <v>0</v>
      </c>
      <c r="HE96" s="203"/>
      <c r="HF96" s="205"/>
      <c r="HG96" s="205"/>
      <c r="HH96" s="205"/>
      <c r="HI96" s="208">
        <f t="shared" si="203"/>
        <v>0</v>
      </c>
      <c r="HJ96" s="203"/>
      <c r="HK96" s="205"/>
      <c r="HL96" s="205"/>
      <c r="HM96" s="205"/>
      <c r="HN96" s="204"/>
      <c r="HO96" s="245">
        <f t="shared" si="204"/>
        <v>0</v>
      </c>
      <c r="HP96" s="203"/>
      <c r="HQ96" s="205"/>
      <c r="HR96" s="205"/>
      <c r="HS96" s="205"/>
      <c r="HT96" s="204"/>
      <c r="HU96" s="208">
        <f t="shared" si="205"/>
        <v>0</v>
      </c>
      <c r="HV96" s="203"/>
      <c r="HW96" s="205"/>
      <c r="HX96" s="205"/>
      <c r="HY96" s="208">
        <f t="shared" si="171"/>
        <v>0</v>
      </c>
      <c r="HZ96" s="203"/>
      <c r="IA96" s="205"/>
      <c r="IB96" s="204"/>
      <c r="IC96" s="208">
        <f t="shared" si="206"/>
        <v>0</v>
      </c>
      <c r="ID96" s="208">
        <f t="shared" si="172"/>
        <v>0</v>
      </c>
      <c r="IE96" s="203"/>
      <c r="IF96" s="204"/>
      <c r="IG96" s="208">
        <f t="shared" si="207"/>
        <v>0</v>
      </c>
      <c r="IH96" s="203"/>
      <c r="II96" s="205"/>
      <c r="IJ96" s="205"/>
      <c r="IK96" s="205"/>
      <c r="IL96" s="204"/>
      <c r="IM96" s="208">
        <f t="shared" si="208"/>
        <v>0</v>
      </c>
      <c r="IN96" s="203"/>
      <c r="IO96" s="205"/>
      <c r="IP96" s="204"/>
      <c r="IQ96" s="208">
        <f t="shared" si="209"/>
        <v>0</v>
      </c>
      <c r="IR96" s="203"/>
      <c r="IS96" s="205"/>
      <c r="IT96" s="205"/>
      <c r="IU96" s="205"/>
      <c r="IV96" s="204"/>
      <c r="IW96" s="208">
        <f t="shared" si="210"/>
        <v>0</v>
      </c>
      <c r="IX96" s="203"/>
      <c r="IY96" s="205"/>
      <c r="IZ96" s="205"/>
      <c r="JA96" s="205"/>
      <c r="JB96" s="204"/>
      <c r="JC96" s="208">
        <f t="shared" si="211"/>
        <v>0</v>
      </c>
      <c r="JD96" s="208">
        <f t="shared" si="212"/>
        <v>0</v>
      </c>
      <c r="JE96" s="203"/>
      <c r="JF96" s="205"/>
      <c r="JG96" s="205"/>
      <c r="JH96" s="205"/>
      <c r="JI96" s="204"/>
      <c r="JJ96" s="208">
        <f t="shared" ref="JJ96" si="235">SUM(JE96:JI96)</f>
        <v>0</v>
      </c>
      <c r="JK96" s="203"/>
      <c r="JL96" s="205"/>
      <c r="JM96" s="205"/>
      <c r="JN96" s="205"/>
      <c r="JO96" s="204"/>
      <c r="JP96" s="208">
        <f t="shared" si="214"/>
        <v>0</v>
      </c>
      <c r="JQ96" s="203"/>
      <c r="JR96" s="205"/>
      <c r="JS96" s="205"/>
      <c r="JT96" s="205"/>
      <c r="JU96" s="204"/>
      <c r="JV96" s="208">
        <f t="shared" si="215"/>
        <v>0</v>
      </c>
      <c r="JW96" s="203"/>
      <c r="JX96" s="205"/>
      <c r="JY96" s="205"/>
      <c r="JZ96" s="205"/>
      <c r="KA96" s="205"/>
      <c r="KB96" s="204"/>
      <c r="KC96" s="208">
        <f t="shared" si="216"/>
        <v>0</v>
      </c>
      <c r="KD96" s="208">
        <f t="shared" si="217"/>
        <v>0</v>
      </c>
      <c r="KE96" s="203"/>
      <c r="KF96" s="205"/>
      <c r="KG96" s="205"/>
      <c r="KH96" s="205"/>
      <c r="KI96" s="204"/>
      <c r="KJ96" s="208">
        <f t="shared" si="218"/>
        <v>0</v>
      </c>
      <c r="KK96" s="203"/>
      <c r="KL96" s="205"/>
      <c r="KM96" s="205"/>
      <c r="KN96" s="205"/>
      <c r="KO96" s="204"/>
      <c r="KP96" s="208">
        <f t="shared" si="219"/>
        <v>0</v>
      </c>
      <c r="KQ96" s="203"/>
      <c r="KR96" s="205"/>
      <c r="KS96" s="205"/>
      <c r="KT96" s="205"/>
      <c r="KU96" s="204"/>
      <c r="KV96" s="208">
        <f t="shared" si="220"/>
        <v>0</v>
      </c>
      <c r="KW96" s="203"/>
      <c r="KX96" s="205"/>
      <c r="KY96" s="205"/>
      <c r="KZ96" s="205"/>
      <c r="LA96" s="204"/>
      <c r="LB96" s="208">
        <f t="shared" si="221"/>
        <v>0</v>
      </c>
      <c r="LC96" s="202"/>
      <c r="LD96" s="244"/>
      <c r="LE96" s="245"/>
      <c r="LF96" s="208">
        <f t="shared" si="222"/>
        <v>0</v>
      </c>
      <c r="LG96" s="208">
        <f t="shared" si="223"/>
        <v>0</v>
      </c>
    </row>
    <row r="97" spans="2:319" s="91" customFormat="1">
      <c r="B97" s="167"/>
      <c r="C97" s="167"/>
      <c r="D97" s="181"/>
      <c r="E97" s="167"/>
      <c r="F97" s="177"/>
      <c r="G97" s="177"/>
      <c r="H97" s="177"/>
      <c r="I97" s="178"/>
      <c r="J97" s="181"/>
      <c r="K97" s="167"/>
      <c r="L97" s="177"/>
      <c r="M97" s="177"/>
      <c r="N97" s="178"/>
      <c r="O97" s="181"/>
      <c r="P97" s="167"/>
      <c r="Q97" s="177"/>
      <c r="R97" s="177"/>
      <c r="S97" s="177"/>
      <c r="T97" s="178"/>
      <c r="U97" s="181"/>
      <c r="V97" s="167"/>
      <c r="W97" s="177"/>
      <c r="X97" s="177"/>
      <c r="Y97" s="177"/>
      <c r="Z97" s="177"/>
      <c r="AA97" s="168"/>
      <c r="AB97" s="146"/>
      <c r="AC97" s="242"/>
      <c r="AD97" s="224"/>
      <c r="AE97" s="224"/>
      <c r="AF97" s="224"/>
      <c r="AG97" s="243"/>
      <c r="AH97" s="146"/>
      <c r="AI97" s="167"/>
      <c r="AJ97" s="177"/>
      <c r="AK97" s="177"/>
      <c r="AL97" s="177"/>
      <c r="AM97" s="178"/>
      <c r="AN97" s="146"/>
      <c r="AO97" s="167"/>
      <c r="AP97" s="177"/>
      <c r="AQ97" s="177"/>
      <c r="AR97" s="177"/>
      <c r="AS97" s="178"/>
      <c r="AT97" s="146"/>
      <c r="AU97" s="167"/>
      <c r="AV97" s="177"/>
      <c r="AW97" s="177"/>
      <c r="AX97" s="177"/>
      <c r="AY97" s="178"/>
      <c r="AZ97" s="146"/>
      <c r="BA97" s="168"/>
      <c r="BB97" s="181"/>
      <c r="BC97" s="238"/>
      <c r="BD97" s="238"/>
      <c r="BE97" s="238"/>
      <c r="BF97" s="239"/>
      <c r="BG97" s="168"/>
      <c r="BH97" s="181"/>
      <c r="BI97" s="238"/>
      <c r="BJ97" s="238"/>
      <c r="BK97" s="238"/>
      <c r="BL97" s="239"/>
      <c r="BM97" s="168"/>
      <c r="BN97" s="181"/>
      <c r="BO97" s="238"/>
      <c r="BP97" s="238"/>
      <c r="BQ97" s="239"/>
      <c r="BR97" s="168"/>
      <c r="BS97" s="181"/>
      <c r="BT97" s="238"/>
      <c r="BU97" s="238"/>
      <c r="BV97" s="238"/>
      <c r="BW97" s="239"/>
      <c r="BX97" s="168"/>
      <c r="BY97" s="181"/>
      <c r="BZ97" s="238"/>
      <c r="CA97" s="168"/>
      <c r="CB97" s="168"/>
      <c r="CC97" s="242"/>
      <c r="CD97" s="224"/>
      <c r="CE97" s="224"/>
      <c r="CF97" s="168"/>
      <c r="CG97" s="242"/>
      <c r="CH97" s="224"/>
      <c r="CI97" s="224"/>
      <c r="CJ97" s="243"/>
      <c r="CK97" s="168"/>
      <c r="CL97" s="242"/>
      <c r="CM97" s="224"/>
      <c r="CN97" s="224"/>
      <c r="CO97" s="224"/>
      <c r="CP97" s="243"/>
      <c r="CQ97" s="168"/>
      <c r="CR97" s="242"/>
      <c r="CS97" s="224"/>
      <c r="CT97" s="224"/>
      <c r="CU97" s="224"/>
      <c r="CV97" s="243"/>
      <c r="CW97" s="168"/>
      <c r="CX97" s="242"/>
      <c r="CY97" s="224"/>
      <c r="CZ97" s="224"/>
      <c r="DA97" s="243"/>
      <c r="DB97" s="168"/>
      <c r="DC97" s="168"/>
      <c r="DD97" s="242"/>
      <c r="DE97" s="224"/>
      <c r="DF97" s="224"/>
      <c r="DG97" s="224"/>
      <c r="DH97" s="224"/>
      <c r="DI97" s="168"/>
      <c r="DJ97" s="242"/>
      <c r="DK97" s="224"/>
      <c r="DL97" s="224"/>
      <c r="DM97" s="224"/>
      <c r="DN97" s="243"/>
      <c r="DO97" s="168"/>
      <c r="DP97" s="242"/>
      <c r="DQ97" s="224"/>
      <c r="DR97" s="224"/>
      <c r="DS97" s="224"/>
      <c r="DT97" s="243"/>
      <c r="DU97" s="239"/>
      <c r="DV97" s="242"/>
      <c r="DW97" s="224"/>
      <c r="DX97" s="224"/>
      <c r="DY97" s="224"/>
      <c r="DZ97" s="243"/>
      <c r="EA97" s="168"/>
      <c r="EB97" s="168"/>
      <c r="EC97" s="242"/>
      <c r="ED97" s="224"/>
      <c r="EE97" s="224"/>
      <c r="EF97" s="224"/>
      <c r="EG97" s="243"/>
      <c r="EH97" s="168"/>
      <c r="EI97" s="242"/>
      <c r="EJ97" s="224"/>
      <c r="EK97" s="224"/>
      <c r="EL97" s="224"/>
      <c r="EM97" s="243"/>
      <c r="EN97" s="168"/>
      <c r="EO97" s="242"/>
      <c r="EP97" s="224"/>
      <c r="EQ97" s="224"/>
      <c r="ER97" s="224"/>
      <c r="ES97" s="243"/>
      <c r="ET97" s="238"/>
      <c r="EU97" s="242"/>
      <c r="EV97" s="224"/>
      <c r="EW97" s="224"/>
      <c r="EX97" s="224"/>
      <c r="EY97" s="224"/>
      <c r="EZ97" s="224"/>
      <c r="FA97" s="243"/>
      <c r="FB97" s="168"/>
      <c r="FC97" s="168"/>
      <c r="FD97" s="181"/>
      <c r="FE97" s="238"/>
      <c r="FF97" s="239"/>
      <c r="FG97" s="168"/>
      <c r="FH97" s="181"/>
      <c r="FI97" s="238"/>
      <c r="FJ97" s="238"/>
      <c r="FK97" s="238"/>
      <c r="FL97" s="239"/>
      <c r="FM97" s="168"/>
      <c r="FN97" s="181"/>
      <c r="FO97" s="238"/>
      <c r="FP97" s="238"/>
      <c r="FQ97" s="238"/>
      <c r="FR97" s="168"/>
      <c r="FS97" s="181"/>
      <c r="FT97" s="238"/>
      <c r="FU97" s="238"/>
      <c r="FV97" s="238"/>
      <c r="FW97" s="239"/>
      <c r="FX97" s="168"/>
      <c r="FY97" s="181"/>
      <c r="FZ97" s="238"/>
      <c r="GA97" s="238"/>
      <c r="GB97" s="238"/>
      <c r="GC97" s="239"/>
      <c r="GD97" s="168"/>
      <c r="GE97" s="208"/>
      <c r="GF97" s="202"/>
      <c r="GG97" s="244"/>
      <c r="GH97" s="244"/>
      <c r="GI97" s="244"/>
      <c r="GJ97" s="244"/>
      <c r="GK97" s="208"/>
      <c r="GL97" s="202"/>
      <c r="GM97" s="244"/>
      <c r="GN97" s="244"/>
      <c r="GO97" s="245"/>
      <c r="GP97" s="208"/>
      <c r="GQ97" s="202"/>
      <c r="GR97" s="244"/>
      <c r="GS97" s="244"/>
      <c r="GT97" s="244"/>
      <c r="GU97" s="245"/>
      <c r="GV97" s="208"/>
      <c r="GW97" s="202"/>
      <c r="GX97" s="244"/>
      <c r="GY97" s="244"/>
      <c r="GZ97" s="244"/>
      <c r="HA97" s="244"/>
      <c r="HB97" s="245"/>
      <c r="HC97" s="208"/>
      <c r="HD97" s="168"/>
      <c r="HE97" s="181"/>
      <c r="HF97" s="238"/>
      <c r="HG97" s="238"/>
      <c r="HH97" s="238"/>
      <c r="HI97" s="168"/>
      <c r="HJ97" s="181"/>
      <c r="HK97" s="238"/>
      <c r="HL97" s="238"/>
      <c r="HM97" s="238"/>
      <c r="HN97" s="239"/>
      <c r="HO97" s="239"/>
      <c r="HP97" s="181"/>
      <c r="HQ97" s="238"/>
      <c r="HR97" s="238"/>
      <c r="HS97" s="238"/>
      <c r="HT97" s="239"/>
      <c r="HU97" s="168"/>
      <c r="HV97" s="181"/>
      <c r="HW97" s="238"/>
      <c r="HX97" s="238"/>
      <c r="HY97" s="168"/>
      <c r="HZ97" s="181"/>
      <c r="IA97" s="238"/>
      <c r="IB97" s="239"/>
      <c r="IC97" s="168"/>
      <c r="ID97" s="168"/>
      <c r="IE97" s="242"/>
      <c r="IF97" s="243"/>
      <c r="IG97" s="168"/>
      <c r="IH97" s="181"/>
      <c r="II97" s="238"/>
      <c r="IJ97" s="238"/>
      <c r="IK97" s="238"/>
      <c r="IL97" s="239"/>
      <c r="IM97" s="168"/>
      <c r="IN97" s="181"/>
      <c r="IO97" s="238"/>
      <c r="IP97" s="239"/>
      <c r="IQ97" s="168"/>
      <c r="IR97" s="242"/>
      <c r="IS97" s="224"/>
      <c r="IT97" s="224"/>
      <c r="IU97" s="224"/>
      <c r="IV97" s="243"/>
      <c r="IW97" s="168"/>
      <c r="IX97" s="181"/>
      <c r="IY97" s="238"/>
      <c r="IZ97" s="238"/>
      <c r="JA97" s="238"/>
      <c r="JB97" s="239"/>
      <c r="JC97" s="168"/>
      <c r="JD97" s="168"/>
      <c r="JE97" s="242"/>
      <c r="JF97" s="224"/>
      <c r="JG97" s="224"/>
      <c r="JH97" s="224"/>
      <c r="JI97" s="243"/>
      <c r="JJ97" s="168"/>
      <c r="JK97" s="181"/>
      <c r="JL97" s="238"/>
      <c r="JM97" s="238"/>
      <c r="JN97" s="238"/>
      <c r="JO97" s="239"/>
      <c r="JP97" s="168"/>
      <c r="JQ97" s="181"/>
      <c r="JR97" s="238"/>
      <c r="JS97" s="238"/>
      <c r="JT97" s="238"/>
      <c r="JU97" s="239"/>
      <c r="JV97" s="168"/>
      <c r="JW97" s="181"/>
      <c r="JX97" s="238"/>
      <c r="JY97" s="238"/>
      <c r="JZ97" s="238"/>
      <c r="KA97" s="238"/>
      <c r="KB97" s="239"/>
      <c r="KC97" s="168"/>
      <c r="KD97" s="168"/>
      <c r="KE97" s="242"/>
      <c r="KF97" s="224"/>
      <c r="KG97" s="224"/>
      <c r="KH97" s="224"/>
      <c r="KI97" s="243"/>
      <c r="KJ97" s="168"/>
      <c r="KK97" s="181"/>
      <c r="KL97" s="238"/>
      <c r="KM97" s="238"/>
      <c r="KN97" s="238"/>
      <c r="KO97" s="239"/>
      <c r="KP97" s="168"/>
      <c r="KQ97" s="242"/>
      <c r="KR97" s="224"/>
      <c r="KS97" s="224"/>
      <c r="KT97" s="224"/>
      <c r="KU97" s="243"/>
      <c r="KV97" s="168"/>
      <c r="KW97" s="242"/>
      <c r="KX97" s="224"/>
      <c r="KY97" s="224"/>
      <c r="KZ97" s="224"/>
      <c r="LA97" s="243"/>
      <c r="LB97" s="168"/>
      <c r="LC97" s="181"/>
      <c r="LD97" s="238"/>
      <c r="LE97" s="239"/>
      <c r="LF97" s="168"/>
      <c r="LG97" s="168"/>
    </row>
    <row r="98" spans="2:319" s="91" customFormat="1">
      <c r="B98" s="172" t="s">
        <v>90</v>
      </c>
      <c r="C98" s="172">
        <f>SUM(C99:C105)</f>
        <v>0</v>
      </c>
      <c r="D98" s="172">
        <f t="shared" ref="D98:AA98" si="236">SUM(D99:D105)</f>
        <v>0</v>
      </c>
      <c r="E98" s="172">
        <f t="shared" si="236"/>
        <v>4169.6660000000002</v>
      </c>
      <c r="F98" s="179">
        <f t="shared" si="236"/>
        <v>150000</v>
      </c>
      <c r="G98" s="179">
        <f t="shared" si="236"/>
        <v>0</v>
      </c>
      <c r="H98" s="179">
        <f t="shared" si="236"/>
        <v>0</v>
      </c>
      <c r="I98" s="180">
        <f t="shared" si="236"/>
        <v>120000</v>
      </c>
      <c r="J98" s="172">
        <f t="shared" si="236"/>
        <v>274169.66600000003</v>
      </c>
      <c r="K98" s="172">
        <f t="shared" si="236"/>
        <v>0</v>
      </c>
      <c r="L98" s="172">
        <f t="shared" si="236"/>
        <v>150000</v>
      </c>
      <c r="M98" s="179">
        <f t="shared" si="236"/>
        <v>0</v>
      </c>
      <c r="N98" s="180">
        <f t="shared" si="236"/>
        <v>250</v>
      </c>
      <c r="O98" s="172">
        <f t="shared" si="236"/>
        <v>150250</v>
      </c>
      <c r="P98" s="172">
        <f t="shared" si="236"/>
        <v>503.24700000000001</v>
      </c>
      <c r="Q98" s="179">
        <f t="shared" si="236"/>
        <v>119042.196</v>
      </c>
      <c r="R98" s="179">
        <f t="shared" si="236"/>
        <v>50000</v>
      </c>
      <c r="S98" s="179">
        <f t="shared" si="236"/>
        <v>0</v>
      </c>
      <c r="T98" s="180">
        <f t="shared" si="236"/>
        <v>0</v>
      </c>
      <c r="U98" s="172">
        <f t="shared" si="236"/>
        <v>169545.443</v>
      </c>
      <c r="V98" s="172">
        <f t="shared" si="236"/>
        <v>200554.304</v>
      </c>
      <c r="W98" s="179">
        <f t="shared" si="236"/>
        <v>0</v>
      </c>
      <c r="X98" s="179">
        <f t="shared" si="236"/>
        <v>100000</v>
      </c>
      <c r="Y98" s="179">
        <f t="shared" si="236"/>
        <v>45000</v>
      </c>
      <c r="Z98" s="179">
        <f t="shared" si="236"/>
        <v>0</v>
      </c>
      <c r="AA98" s="198">
        <f t="shared" si="236"/>
        <v>345554.304</v>
      </c>
      <c r="AB98" s="234">
        <f t="shared" ref="AB98:AM98" si="237">SUM(AB99:AB105)</f>
        <v>939519.41299999994</v>
      </c>
      <c r="AC98" s="172">
        <f t="shared" si="237"/>
        <v>0</v>
      </c>
      <c r="AD98" s="179">
        <f t="shared" si="237"/>
        <v>0</v>
      </c>
      <c r="AE98" s="179">
        <f t="shared" si="237"/>
        <v>0</v>
      </c>
      <c r="AF98" s="179">
        <f t="shared" si="237"/>
        <v>444211.23000000004</v>
      </c>
      <c r="AG98" s="180">
        <f t="shared" si="237"/>
        <v>-2039.8439999999828</v>
      </c>
      <c r="AH98" s="198">
        <f t="shared" si="237"/>
        <v>442171.38600000006</v>
      </c>
      <c r="AI98" s="172">
        <f t="shared" si="237"/>
        <v>437391.71</v>
      </c>
      <c r="AJ98" s="179">
        <f t="shared" si="237"/>
        <v>0</v>
      </c>
      <c r="AK98" s="179">
        <f t="shared" si="237"/>
        <v>0</v>
      </c>
      <c r="AL98" s="179">
        <f t="shared" si="237"/>
        <v>100000</v>
      </c>
      <c r="AM98" s="180">
        <f t="shared" si="237"/>
        <v>0</v>
      </c>
      <c r="AN98" s="198">
        <f t="shared" ref="AN98:AZ98" si="238">SUM(AN99:AN105)</f>
        <v>537391.71</v>
      </c>
      <c r="AO98" s="172">
        <f t="shared" si="238"/>
        <v>0</v>
      </c>
      <c r="AP98" s="179">
        <f t="shared" si="238"/>
        <v>0</v>
      </c>
      <c r="AQ98" s="179">
        <f t="shared" si="238"/>
        <v>147640.75700000001</v>
      </c>
      <c r="AR98" s="179">
        <f t="shared" si="238"/>
        <v>50000</v>
      </c>
      <c r="AS98" s="180">
        <f t="shared" si="238"/>
        <v>0</v>
      </c>
      <c r="AT98" s="198">
        <f t="shared" si="238"/>
        <v>197640.75700000001</v>
      </c>
      <c r="AU98" s="172">
        <f t="shared" si="238"/>
        <v>529325</v>
      </c>
      <c r="AV98" s="179">
        <f t="shared" si="238"/>
        <v>0</v>
      </c>
      <c r="AW98" s="179">
        <f t="shared" si="238"/>
        <v>0</v>
      </c>
      <c r="AX98" s="179">
        <f t="shared" si="238"/>
        <v>0</v>
      </c>
      <c r="AY98" s="180">
        <f t="shared" si="238"/>
        <v>6443.866</v>
      </c>
      <c r="AZ98" s="198">
        <f t="shared" si="238"/>
        <v>535768.86599999992</v>
      </c>
      <c r="BA98" s="234">
        <f t="shared" ref="BA98:FC98" si="239">SUM(BA99:BA106)</f>
        <v>1712972.7189999998</v>
      </c>
      <c r="BB98" s="172">
        <f t="shared" si="239"/>
        <v>150000</v>
      </c>
      <c r="BC98" s="179">
        <f t="shared" si="239"/>
        <v>0</v>
      </c>
      <c r="BD98" s="179">
        <f t="shared" si="239"/>
        <v>1308075</v>
      </c>
      <c r="BE98" s="179">
        <f t="shared" si="239"/>
        <v>4254.3760000000002</v>
      </c>
      <c r="BF98" s="180">
        <f t="shared" si="239"/>
        <v>0</v>
      </c>
      <c r="BG98" s="198">
        <f t="shared" si="239"/>
        <v>1462329.3759999999</v>
      </c>
      <c r="BH98" s="172">
        <f t="shared" si="239"/>
        <v>150000</v>
      </c>
      <c r="BI98" s="179">
        <f t="shared" si="239"/>
        <v>-2097.3329999999842</v>
      </c>
      <c r="BJ98" s="179">
        <f t="shared" si="239"/>
        <v>40250</v>
      </c>
      <c r="BK98" s="179">
        <f t="shared" si="239"/>
        <v>213550</v>
      </c>
      <c r="BL98" s="180">
        <f t="shared" si="239"/>
        <v>200000</v>
      </c>
      <c r="BM98" s="198">
        <f t="shared" si="239"/>
        <v>601702.66700000002</v>
      </c>
      <c r="BN98" s="172">
        <f t="shared" si="239"/>
        <v>117865.41899999999</v>
      </c>
      <c r="BO98" s="179">
        <f t="shared" si="239"/>
        <v>100000</v>
      </c>
      <c r="BP98" s="179">
        <f t="shared" si="239"/>
        <v>0</v>
      </c>
      <c r="BQ98" s="180">
        <f t="shared" si="239"/>
        <v>0</v>
      </c>
      <c r="BR98" s="198">
        <f t="shared" si="239"/>
        <v>217865.41899999999</v>
      </c>
      <c r="BS98" s="172">
        <f t="shared" si="239"/>
        <v>150000</v>
      </c>
      <c r="BT98" s="179">
        <f t="shared" si="239"/>
        <v>40000</v>
      </c>
      <c r="BU98" s="179">
        <f t="shared" si="239"/>
        <v>0</v>
      </c>
      <c r="BV98" s="179">
        <f t="shared" si="239"/>
        <v>170000</v>
      </c>
      <c r="BW98" s="180">
        <f t="shared" si="239"/>
        <v>30000</v>
      </c>
      <c r="BX98" s="198">
        <f t="shared" si="239"/>
        <v>390000</v>
      </c>
      <c r="BY98" s="172">
        <f>SUM(BY99:BY106)</f>
        <v>0</v>
      </c>
      <c r="BZ98" s="179">
        <f>SUM(BZ99:BZ106)</f>
        <v>120000</v>
      </c>
      <c r="CA98" s="198">
        <f t="shared" si="239"/>
        <v>120000</v>
      </c>
      <c r="CB98" s="234">
        <f t="shared" si="239"/>
        <v>2791897.4620000003</v>
      </c>
      <c r="CC98" s="172">
        <f t="shared" si="239"/>
        <v>0</v>
      </c>
      <c r="CD98" s="179">
        <f t="shared" si="239"/>
        <v>151818.432</v>
      </c>
      <c r="CE98" s="179">
        <f t="shared" si="239"/>
        <v>0</v>
      </c>
      <c r="CF98" s="198">
        <f t="shared" si="239"/>
        <v>151818.432</v>
      </c>
      <c r="CG98" s="172">
        <f t="shared" si="239"/>
        <v>100000</v>
      </c>
      <c r="CH98" s="179">
        <f t="shared" si="239"/>
        <v>40000</v>
      </c>
      <c r="CI98" s="179">
        <f t="shared" si="239"/>
        <v>169842.35500000001</v>
      </c>
      <c r="CJ98" s="180">
        <f t="shared" si="239"/>
        <v>400</v>
      </c>
      <c r="CK98" s="198">
        <f t="shared" si="239"/>
        <v>310242.35499999998</v>
      </c>
      <c r="CL98" s="172">
        <f t="shared" si="239"/>
        <v>0</v>
      </c>
      <c r="CM98" s="179">
        <f t="shared" si="239"/>
        <v>0</v>
      </c>
      <c r="CN98" s="179">
        <f t="shared" si="239"/>
        <v>153564.1</v>
      </c>
      <c r="CO98" s="179">
        <f t="shared" si="239"/>
        <v>1000</v>
      </c>
      <c r="CP98" s="180">
        <f t="shared" si="239"/>
        <v>0</v>
      </c>
      <c r="CQ98" s="198">
        <f t="shared" si="239"/>
        <v>154564.1</v>
      </c>
      <c r="CR98" s="172">
        <f t="shared" si="239"/>
        <v>172917.18900000001</v>
      </c>
      <c r="CS98" s="179">
        <f t="shared" si="239"/>
        <v>150000</v>
      </c>
      <c r="CT98" s="179">
        <f t="shared" si="239"/>
        <v>234720</v>
      </c>
      <c r="CU98" s="179">
        <f t="shared" si="239"/>
        <v>0</v>
      </c>
      <c r="CV98" s="180">
        <f t="shared" si="239"/>
        <v>130000</v>
      </c>
      <c r="CW98" s="198">
        <f t="shared" si="239"/>
        <v>687637.18900000001</v>
      </c>
      <c r="CX98" s="172">
        <f t="shared" si="239"/>
        <v>0</v>
      </c>
      <c r="CY98" s="179">
        <f t="shared" si="239"/>
        <v>0</v>
      </c>
      <c r="CZ98" s="179">
        <f t="shared" si="239"/>
        <v>0</v>
      </c>
      <c r="DA98" s="180">
        <f t="shared" si="239"/>
        <v>151000</v>
      </c>
      <c r="DB98" s="198">
        <f t="shared" si="239"/>
        <v>151000</v>
      </c>
      <c r="DC98" s="234">
        <f t="shared" si="239"/>
        <v>1455262.0760000001</v>
      </c>
      <c r="DD98" s="172">
        <f t="shared" si="239"/>
        <v>50000</v>
      </c>
      <c r="DE98" s="179">
        <f t="shared" si="239"/>
        <v>5783.6660000000002</v>
      </c>
      <c r="DF98" s="179">
        <f t="shared" si="239"/>
        <v>333419.66600000003</v>
      </c>
      <c r="DG98" s="179">
        <f t="shared" si="239"/>
        <v>-16476.471000000005</v>
      </c>
      <c r="DH98" s="179">
        <f t="shared" si="239"/>
        <v>200</v>
      </c>
      <c r="DI98" s="198">
        <f t="shared" si="239"/>
        <v>372926.86099999998</v>
      </c>
      <c r="DJ98" s="172">
        <f t="shared" si="239"/>
        <v>110000</v>
      </c>
      <c r="DK98" s="179">
        <f t="shared" si="239"/>
        <v>0</v>
      </c>
      <c r="DL98" s="179">
        <f t="shared" si="239"/>
        <v>0</v>
      </c>
      <c r="DM98" s="179">
        <f t="shared" si="239"/>
        <v>150</v>
      </c>
      <c r="DN98" s="180">
        <f t="shared" si="239"/>
        <v>269331.71000000002</v>
      </c>
      <c r="DO98" s="198">
        <f t="shared" si="239"/>
        <v>379481.71</v>
      </c>
      <c r="DP98" s="172">
        <f t="shared" si="239"/>
        <v>0</v>
      </c>
      <c r="DQ98" s="179">
        <f t="shared" si="239"/>
        <v>80000</v>
      </c>
      <c r="DR98" s="179">
        <f t="shared" si="239"/>
        <v>100000</v>
      </c>
      <c r="DS98" s="179">
        <f t="shared" si="239"/>
        <v>0</v>
      </c>
      <c r="DT98" s="180">
        <f t="shared" si="239"/>
        <v>0</v>
      </c>
      <c r="DU98" s="180">
        <f t="shared" si="239"/>
        <v>180000</v>
      </c>
      <c r="DV98" s="172">
        <f t="shared" si="239"/>
        <v>0</v>
      </c>
      <c r="DW98" s="179">
        <f t="shared" si="239"/>
        <v>0</v>
      </c>
      <c r="DX98" s="179">
        <f t="shared" si="239"/>
        <v>0</v>
      </c>
      <c r="DY98" s="179">
        <f t="shared" si="239"/>
        <v>278019.31099999999</v>
      </c>
      <c r="DZ98" s="180">
        <f t="shared" si="239"/>
        <v>0</v>
      </c>
      <c r="EA98" s="198">
        <f t="shared" si="239"/>
        <v>278019.31099999999</v>
      </c>
      <c r="EB98" s="234">
        <f t="shared" si="239"/>
        <v>1210427.8820000002</v>
      </c>
      <c r="EC98" s="172">
        <f t="shared" si="239"/>
        <v>60000</v>
      </c>
      <c r="ED98" s="179">
        <f t="shared" si="239"/>
        <v>50000</v>
      </c>
      <c r="EE98" s="179">
        <f t="shared" si="239"/>
        <v>200</v>
      </c>
      <c r="EF98" s="179">
        <f t="shared" si="239"/>
        <v>0</v>
      </c>
      <c r="EG98" s="180">
        <f t="shared" si="239"/>
        <v>0</v>
      </c>
      <c r="EH98" s="198">
        <f t="shared" si="239"/>
        <v>110200</v>
      </c>
      <c r="EI98" s="172">
        <f t="shared" si="239"/>
        <v>0</v>
      </c>
      <c r="EJ98" s="179">
        <f t="shared" si="239"/>
        <v>143292.21800000002</v>
      </c>
      <c r="EK98" s="179">
        <f t="shared" si="239"/>
        <v>99158.305999999997</v>
      </c>
      <c r="EL98" s="179">
        <f t="shared" si="239"/>
        <v>399239.13900000002</v>
      </c>
      <c r="EM98" s="180">
        <f t="shared" si="239"/>
        <v>0</v>
      </c>
      <c r="EN98" s="198">
        <f t="shared" si="239"/>
        <v>641689.66300000006</v>
      </c>
      <c r="EO98" s="172">
        <f t="shared" si="239"/>
        <v>100000</v>
      </c>
      <c r="EP98" s="179">
        <f t="shared" si="239"/>
        <v>4720.6660000000002</v>
      </c>
      <c r="EQ98" s="179">
        <f t="shared" si="239"/>
        <v>0</v>
      </c>
      <c r="ER98" s="179">
        <f t="shared" si="239"/>
        <v>70000</v>
      </c>
      <c r="ES98" s="180">
        <f t="shared" si="239"/>
        <v>0</v>
      </c>
      <c r="ET98" s="179">
        <f t="shared" si="239"/>
        <v>174720.666</v>
      </c>
      <c r="EU98" s="172">
        <f t="shared" si="239"/>
        <v>0</v>
      </c>
      <c r="EV98" s="179">
        <f t="shared" si="239"/>
        <v>60000</v>
      </c>
      <c r="EW98" s="179">
        <f t="shared" si="239"/>
        <v>0</v>
      </c>
      <c r="EX98" s="179">
        <f t="shared" si="239"/>
        <v>0</v>
      </c>
      <c r="EY98" s="179">
        <f t="shared" si="239"/>
        <v>50000</v>
      </c>
      <c r="EZ98" s="179">
        <f>SUM(EZ99:EZ106)</f>
        <v>89384.357000000004</v>
      </c>
      <c r="FA98" s="180">
        <f t="shared" si="239"/>
        <v>0</v>
      </c>
      <c r="FB98" s="198">
        <f t="shared" si="239"/>
        <v>199384.35700000002</v>
      </c>
      <c r="FC98" s="234">
        <f t="shared" si="239"/>
        <v>1125994.6860000002</v>
      </c>
      <c r="FD98" s="172">
        <f t="shared" ref="FD98:FX98" si="240">SUM(FD99:FD106)</f>
        <v>148532.625</v>
      </c>
      <c r="FE98" s="179">
        <f t="shared" si="240"/>
        <v>0</v>
      </c>
      <c r="FF98" s="180">
        <f t="shared" si="240"/>
        <v>250</v>
      </c>
      <c r="FG98" s="198">
        <f t="shared" si="240"/>
        <v>148782.625</v>
      </c>
      <c r="FH98" s="172">
        <f t="shared" si="240"/>
        <v>151730.06599999999</v>
      </c>
      <c r="FI98" s="179">
        <f t="shared" si="240"/>
        <v>0</v>
      </c>
      <c r="FJ98" s="179">
        <f t="shared" si="240"/>
        <v>0</v>
      </c>
      <c r="FK98" s="179">
        <f t="shared" si="240"/>
        <v>177318.834</v>
      </c>
      <c r="FL98" s="180">
        <f t="shared" si="240"/>
        <v>0</v>
      </c>
      <c r="FM98" s="198">
        <f t="shared" si="240"/>
        <v>329048.90000000002</v>
      </c>
      <c r="FN98" s="172">
        <f t="shared" si="240"/>
        <v>0</v>
      </c>
      <c r="FO98" s="179">
        <f t="shared" si="240"/>
        <v>0</v>
      </c>
      <c r="FP98" s="179">
        <f t="shared" si="240"/>
        <v>0</v>
      </c>
      <c r="FQ98" s="179">
        <f t="shared" si="240"/>
        <v>0</v>
      </c>
      <c r="FR98" s="198">
        <f t="shared" si="240"/>
        <v>0</v>
      </c>
      <c r="FS98" s="172">
        <f t="shared" si="240"/>
        <v>0</v>
      </c>
      <c r="FT98" s="179">
        <f t="shared" si="240"/>
        <v>0</v>
      </c>
      <c r="FU98" s="179">
        <f t="shared" si="240"/>
        <v>0</v>
      </c>
      <c r="FV98" s="179">
        <f t="shared" si="240"/>
        <v>249362.226</v>
      </c>
      <c r="FW98" s="180">
        <f t="shared" si="240"/>
        <v>49236.947</v>
      </c>
      <c r="FX98" s="198">
        <f t="shared" si="240"/>
        <v>298599.17300000001</v>
      </c>
      <c r="FY98" s="172">
        <f t="shared" ref="FY98:GD98" si="241">SUM(FY99:FY106)</f>
        <v>0</v>
      </c>
      <c r="FZ98" s="179">
        <f t="shared" si="241"/>
        <v>0</v>
      </c>
      <c r="GA98" s="179">
        <f t="shared" si="241"/>
        <v>0</v>
      </c>
      <c r="GB98" s="179">
        <f t="shared" si="241"/>
        <v>0</v>
      </c>
      <c r="GC98" s="180">
        <f t="shared" si="241"/>
        <v>3031937.9330000002</v>
      </c>
      <c r="GD98" s="198">
        <f t="shared" si="241"/>
        <v>3031937.9330000002</v>
      </c>
      <c r="GE98" s="234">
        <f t="shared" ref="GE98:LG98" si="242">SUM(GE99:GE106)</f>
        <v>3808368.6310000001</v>
      </c>
      <c r="GF98" s="172">
        <f t="shared" si="242"/>
        <v>0</v>
      </c>
      <c r="GG98" s="179">
        <f t="shared" si="242"/>
        <v>0</v>
      </c>
      <c r="GH98" s="179">
        <f t="shared" si="242"/>
        <v>0</v>
      </c>
      <c r="GI98" s="179">
        <f t="shared" si="242"/>
        <v>0</v>
      </c>
      <c r="GJ98" s="179">
        <f t="shared" si="242"/>
        <v>50000</v>
      </c>
      <c r="GK98" s="198">
        <f t="shared" si="242"/>
        <v>50000</v>
      </c>
      <c r="GL98" s="172">
        <f t="shared" si="242"/>
        <v>0</v>
      </c>
      <c r="GM98" s="179">
        <f t="shared" si="242"/>
        <v>150000</v>
      </c>
      <c r="GN98" s="179">
        <f t="shared" si="242"/>
        <v>0</v>
      </c>
      <c r="GO98" s="180">
        <f t="shared" si="242"/>
        <v>0</v>
      </c>
      <c r="GP98" s="198">
        <f t="shared" si="242"/>
        <v>150000</v>
      </c>
      <c r="GQ98" s="172">
        <f t="shared" si="242"/>
        <v>0</v>
      </c>
      <c r="GR98" s="179">
        <f t="shared" si="242"/>
        <v>40000</v>
      </c>
      <c r="GS98" s="179">
        <f t="shared" si="242"/>
        <v>0</v>
      </c>
      <c r="GT98" s="179">
        <f t="shared" si="242"/>
        <v>0</v>
      </c>
      <c r="GU98" s="180">
        <f t="shared" si="242"/>
        <v>254840.34999999998</v>
      </c>
      <c r="GV98" s="198">
        <f t="shared" si="242"/>
        <v>294840.34999999998</v>
      </c>
      <c r="GW98" s="172">
        <f t="shared" si="242"/>
        <v>0</v>
      </c>
      <c r="GX98" s="179">
        <f t="shared" si="242"/>
        <v>148100.405</v>
      </c>
      <c r="GY98" s="179">
        <f t="shared" si="242"/>
        <v>0</v>
      </c>
      <c r="GZ98" s="179">
        <f t="shared" si="242"/>
        <v>220200</v>
      </c>
      <c r="HA98" s="179">
        <f t="shared" si="242"/>
        <v>0</v>
      </c>
      <c r="HB98" s="180">
        <f t="shared" si="242"/>
        <v>244377.17600000001</v>
      </c>
      <c r="HC98" s="198">
        <f t="shared" si="242"/>
        <v>612677.58100000001</v>
      </c>
      <c r="HD98" s="234">
        <f>SUM(HD99:HD106)</f>
        <v>1107517.9309999999</v>
      </c>
      <c r="HE98" s="172">
        <f t="shared" si="242"/>
        <v>0</v>
      </c>
      <c r="HF98" s="179">
        <f t="shared" si="242"/>
        <v>400</v>
      </c>
      <c r="HG98" s="179">
        <f t="shared" si="242"/>
        <v>0</v>
      </c>
      <c r="HH98" s="179">
        <f t="shared" si="242"/>
        <v>120000</v>
      </c>
      <c r="HI98" s="198">
        <f t="shared" si="242"/>
        <v>120400</v>
      </c>
      <c r="HJ98" s="172">
        <f t="shared" si="242"/>
        <v>50593.665999999997</v>
      </c>
      <c r="HK98" s="179">
        <f t="shared" si="242"/>
        <v>100000</v>
      </c>
      <c r="HL98" s="179">
        <f t="shared" si="242"/>
        <v>0</v>
      </c>
      <c r="HM98" s="179">
        <f t="shared" si="242"/>
        <v>0</v>
      </c>
      <c r="HN98" s="180">
        <f t="shared" si="242"/>
        <v>25000</v>
      </c>
      <c r="HO98" s="180">
        <f t="shared" si="242"/>
        <v>175593.666</v>
      </c>
      <c r="HP98" s="172">
        <f t="shared" si="242"/>
        <v>0</v>
      </c>
      <c r="HQ98" s="179">
        <f t="shared" si="242"/>
        <v>50000</v>
      </c>
      <c r="HR98" s="179">
        <f t="shared" si="242"/>
        <v>190000</v>
      </c>
      <c r="HS98" s="179">
        <f t="shared" si="242"/>
        <v>0</v>
      </c>
      <c r="HT98" s="180">
        <f t="shared" si="242"/>
        <v>0</v>
      </c>
      <c r="HU98" s="198">
        <f t="shared" si="242"/>
        <v>240000</v>
      </c>
      <c r="HV98" s="172">
        <f t="shared" si="242"/>
        <v>0</v>
      </c>
      <c r="HW98" s="179">
        <f t="shared" si="242"/>
        <v>172212.90999999992</v>
      </c>
      <c r="HX98" s="179">
        <f t="shared" si="242"/>
        <v>0</v>
      </c>
      <c r="HY98" s="198">
        <f t="shared" si="242"/>
        <v>172212.90999999992</v>
      </c>
      <c r="HZ98" s="172">
        <f t="shared" si="242"/>
        <v>148609.67000000001</v>
      </c>
      <c r="IA98" s="179">
        <f t="shared" si="242"/>
        <v>0</v>
      </c>
      <c r="IB98" s="180">
        <f t="shared" si="242"/>
        <v>100000</v>
      </c>
      <c r="IC98" s="198">
        <f t="shared" si="242"/>
        <v>248609.67</v>
      </c>
      <c r="ID98" s="234">
        <f t="shared" si="242"/>
        <v>956816.24599999993</v>
      </c>
      <c r="IE98" s="172">
        <f t="shared" si="242"/>
        <v>0</v>
      </c>
      <c r="IF98" s="180">
        <f t="shared" si="242"/>
        <v>0</v>
      </c>
      <c r="IG98" s="198">
        <f t="shared" si="242"/>
        <v>0</v>
      </c>
      <c r="IH98" s="172">
        <f t="shared" si="242"/>
        <v>0</v>
      </c>
      <c r="II98" s="179">
        <f t="shared" si="242"/>
        <v>0</v>
      </c>
      <c r="IJ98" s="179">
        <f t="shared" si="242"/>
        <v>838258.46600000001</v>
      </c>
      <c r="IK98" s="179">
        <f t="shared" si="242"/>
        <v>0</v>
      </c>
      <c r="IL98" s="180">
        <f t="shared" si="242"/>
        <v>0</v>
      </c>
      <c r="IM98" s="198">
        <f t="shared" si="242"/>
        <v>838258.46600000001</v>
      </c>
      <c r="IN98" s="172">
        <f t="shared" si="242"/>
        <v>200000</v>
      </c>
      <c r="IO98" s="179">
        <f t="shared" si="242"/>
        <v>0</v>
      </c>
      <c r="IP98" s="180">
        <f t="shared" si="242"/>
        <v>0</v>
      </c>
      <c r="IQ98" s="198">
        <f t="shared" si="242"/>
        <v>200000</v>
      </c>
      <c r="IR98" s="172">
        <f t="shared" si="242"/>
        <v>70200</v>
      </c>
      <c r="IS98" s="179">
        <f t="shared" si="242"/>
        <v>0</v>
      </c>
      <c r="IT98" s="179">
        <f t="shared" si="242"/>
        <v>40000</v>
      </c>
      <c r="IU98" s="179">
        <f t="shared" si="242"/>
        <v>200000</v>
      </c>
      <c r="IV98" s="180">
        <f t="shared" si="242"/>
        <v>0</v>
      </c>
      <c r="IW98" s="198">
        <f t="shared" si="242"/>
        <v>310200</v>
      </c>
      <c r="IX98" s="172">
        <f t="shared" si="242"/>
        <v>0</v>
      </c>
      <c r="IY98" s="179">
        <f t="shared" si="242"/>
        <v>226997.05910000001</v>
      </c>
      <c r="IZ98" s="179">
        <f t="shared" si="242"/>
        <v>-210000</v>
      </c>
      <c r="JA98" s="179">
        <f t="shared" si="242"/>
        <v>0</v>
      </c>
      <c r="JB98" s="180">
        <f t="shared" si="242"/>
        <v>200000</v>
      </c>
      <c r="JC98" s="198">
        <f t="shared" si="242"/>
        <v>216997.05910000001</v>
      </c>
      <c r="JD98" s="234">
        <f t="shared" si="242"/>
        <v>1565455.5251</v>
      </c>
      <c r="JE98" s="172">
        <f t="shared" si="242"/>
        <v>0</v>
      </c>
      <c r="JF98" s="179">
        <f t="shared" si="242"/>
        <v>0</v>
      </c>
      <c r="JG98" s="179">
        <f t="shared" si="242"/>
        <v>0</v>
      </c>
      <c r="JH98" s="179">
        <f t="shared" si="242"/>
        <v>0</v>
      </c>
      <c r="JI98" s="180">
        <f t="shared" si="242"/>
        <v>218195.739</v>
      </c>
      <c r="JJ98" s="198">
        <f t="shared" si="242"/>
        <v>218195.739</v>
      </c>
      <c r="JK98" s="431">
        <f t="shared" si="242"/>
        <v>0</v>
      </c>
      <c r="JL98" s="432">
        <f t="shared" si="242"/>
        <v>0</v>
      </c>
      <c r="JM98" s="432">
        <f t="shared" si="242"/>
        <v>0</v>
      </c>
      <c r="JN98" s="432">
        <f t="shared" si="242"/>
        <v>0</v>
      </c>
      <c r="JO98" s="433">
        <f t="shared" si="242"/>
        <v>0</v>
      </c>
      <c r="JP98" s="148">
        <f t="shared" si="242"/>
        <v>0</v>
      </c>
      <c r="JQ98" s="431">
        <f t="shared" si="242"/>
        <v>0</v>
      </c>
      <c r="JR98" s="432">
        <f t="shared" si="242"/>
        <v>0</v>
      </c>
      <c r="JS98" s="432">
        <f t="shared" si="242"/>
        <v>0</v>
      </c>
      <c r="JT98" s="432">
        <f t="shared" si="242"/>
        <v>0</v>
      </c>
      <c r="JU98" s="433">
        <f t="shared" si="242"/>
        <v>0</v>
      </c>
      <c r="JV98" s="148">
        <f t="shared" si="242"/>
        <v>0</v>
      </c>
      <c r="JW98" s="431">
        <f t="shared" si="242"/>
        <v>0</v>
      </c>
      <c r="JX98" s="432">
        <f t="shared" si="242"/>
        <v>0</v>
      </c>
      <c r="JY98" s="432">
        <f t="shared" si="242"/>
        <v>0</v>
      </c>
      <c r="JZ98" s="432">
        <f t="shared" si="242"/>
        <v>0</v>
      </c>
      <c r="KA98" s="432"/>
      <c r="KB98" s="433">
        <f t="shared" si="242"/>
        <v>0</v>
      </c>
      <c r="KC98" s="148">
        <f t="shared" si="242"/>
        <v>0</v>
      </c>
      <c r="KD98" s="148">
        <f t="shared" si="242"/>
        <v>-420000</v>
      </c>
      <c r="KE98" s="431">
        <f t="shared" si="242"/>
        <v>0</v>
      </c>
      <c r="KF98" s="432">
        <f t="shared" si="242"/>
        <v>0</v>
      </c>
      <c r="KG98" s="432">
        <f t="shared" si="242"/>
        <v>0</v>
      </c>
      <c r="KH98" s="432">
        <f t="shared" si="242"/>
        <v>0</v>
      </c>
      <c r="KI98" s="433">
        <f t="shared" si="242"/>
        <v>0</v>
      </c>
      <c r="KJ98" s="148">
        <f t="shared" si="242"/>
        <v>0</v>
      </c>
      <c r="KK98" s="431">
        <f t="shared" si="242"/>
        <v>0</v>
      </c>
      <c r="KL98" s="432">
        <f t="shared" si="242"/>
        <v>0</v>
      </c>
      <c r="KM98" s="432">
        <f t="shared" si="242"/>
        <v>0</v>
      </c>
      <c r="KN98" s="432">
        <f t="shared" si="242"/>
        <v>0</v>
      </c>
      <c r="KO98" s="433">
        <f t="shared" si="242"/>
        <v>0</v>
      </c>
      <c r="KP98" s="148">
        <f t="shared" si="242"/>
        <v>0</v>
      </c>
      <c r="KQ98" s="431">
        <f t="shared" si="242"/>
        <v>0</v>
      </c>
      <c r="KR98" s="432">
        <f t="shared" si="242"/>
        <v>0</v>
      </c>
      <c r="KS98" s="432">
        <f t="shared" si="242"/>
        <v>0</v>
      </c>
      <c r="KT98" s="432">
        <f t="shared" si="242"/>
        <v>0</v>
      </c>
      <c r="KU98" s="433">
        <f t="shared" si="242"/>
        <v>0</v>
      </c>
      <c r="KV98" s="148">
        <f t="shared" si="242"/>
        <v>0</v>
      </c>
      <c r="KW98" s="431">
        <f t="shared" si="242"/>
        <v>0</v>
      </c>
      <c r="KX98" s="432">
        <f t="shared" si="242"/>
        <v>0</v>
      </c>
      <c r="KY98" s="432">
        <f t="shared" si="242"/>
        <v>0</v>
      </c>
      <c r="KZ98" s="432">
        <f t="shared" si="242"/>
        <v>0</v>
      </c>
      <c r="LA98" s="433">
        <f t="shared" si="242"/>
        <v>0</v>
      </c>
      <c r="LB98" s="148">
        <f t="shared" si="242"/>
        <v>0</v>
      </c>
      <c r="LC98" s="431">
        <f t="shared" si="242"/>
        <v>0</v>
      </c>
      <c r="LD98" s="432">
        <f t="shared" si="242"/>
        <v>0</v>
      </c>
      <c r="LE98" s="433">
        <f t="shared" si="242"/>
        <v>0</v>
      </c>
      <c r="LF98" s="148">
        <f>SUM(LF99:LF106)</f>
        <v>0</v>
      </c>
      <c r="LG98" s="148">
        <f t="shared" si="242"/>
        <v>280000</v>
      </c>
    </row>
    <row r="99" spans="2:319" s="91" customFormat="1">
      <c r="B99" s="167" t="s">
        <v>122</v>
      </c>
      <c r="C99" s="167"/>
      <c r="D99" s="181">
        <f t="shared" ref="D99:D105" si="243">SUM(C99:C99)</f>
        <v>0</v>
      </c>
      <c r="E99" s="167"/>
      <c r="F99" s="177"/>
      <c r="G99" s="177"/>
      <c r="H99" s="177"/>
      <c r="I99" s="178"/>
      <c r="J99" s="181">
        <f t="shared" ref="J99:J106" si="244">SUM(E99:I99)</f>
        <v>0</v>
      </c>
      <c r="K99" s="167"/>
      <c r="L99" s="177"/>
      <c r="M99" s="177"/>
      <c r="N99" s="178"/>
      <c r="O99" s="181">
        <f t="shared" ref="O99:O105" si="245">SUM(K99:N99)</f>
        <v>0</v>
      </c>
      <c r="P99" s="167"/>
      <c r="Q99" s="177"/>
      <c r="R99" s="177"/>
      <c r="S99" s="177"/>
      <c r="T99" s="178"/>
      <c r="U99" s="181">
        <f>SUM(P99:T99)</f>
        <v>0</v>
      </c>
      <c r="V99" s="167"/>
      <c r="W99" s="177"/>
      <c r="X99" s="177"/>
      <c r="Y99" s="177"/>
      <c r="Z99" s="177">
        <f>Z115*2.1885</f>
        <v>0</v>
      </c>
      <c r="AA99" s="168">
        <f>SUM(V99:Z99)</f>
        <v>0</v>
      </c>
      <c r="AB99" s="168">
        <f t="shared" ref="AB99:AB105" si="246">AA99+U99+O99+J99+D99</f>
        <v>0</v>
      </c>
      <c r="AC99" s="242"/>
      <c r="AD99" s="224"/>
      <c r="AE99" s="224"/>
      <c r="AF99" s="224">
        <v>437691.71</v>
      </c>
      <c r="AG99" s="243"/>
      <c r="AH99" s="168">
        <f>SUM(AC99:AG99)</f>
        <v>437691.71</v>
      </c>
      <c r="AI99" s="242">
        <v>437391.71</v>
      </c>
      <c r="AJ99" s="224"/>
      <c r="AK99" s="224"/>
      <c r="AL99" s="224"/>
      <c r="AM99" s="243"/>
      <c r="AN99" s="168">
        <f t="shared" ref="AN99:AN105" si="247">SUM(AI99:AM99)</f>
        <v>437391.71</v>
      </c>
      <c r="AO99" s="242"/>
      <c r="AP99" s="224"/>
      <c r="AQ99" s="224"/>
      <c r="AR99" s="224"/>
      <c r="AS99" s="243"/>
      <c r="AT99" s="168">
        <f>SUM(AO99:AS99)</f>
        <v>0</v>
      </c>
      <c r="AU99" s="242">
        <v>329325</v>
      </c>
      <c r="AV99" s="224"/>
      <c r="AW99" s="224"/>
      <c r="AX99" s="224"/>
      <c r="AY99" s="243"/>
      <c r="AZ99" s="168">
        <f>SUM(AU99:AY99)</f>
        <v>329325</v>
      </c>
      <c r="BA99" s="168">
        <f>AZ99+AT99+AN99+AH99</f>
        <v>1204408.42</v>
      </c>
      <c r="BB99" s="242"/>
      <c r="BC99" s="224"/>
      <c r="BD99" s="224">
        <f>1208075</f>
        <v>1208075</v>
      </c>
      <c r="BE99" s="224"/>
      <c r="BF99" s="243"/>
      <c r="BG99" s="168">
        <f>SUM(BB99:BF99)</f>
        <v>1208075</v>
      </c>
      <c r="BH99" s="242"/>
      <c r="BI99" s="224"/>
      <c r="BJ99" s="224"/>
      <c r="BK99" s="224">
        <v>213550</v>
      </c>
      <c r="BL99" s="243"/>
      <c r="BM99" s="168">
        <f t="shared" ref="BM99:BM105" si="248">SUM(BH99:BL99)</f>
        <v>213550</v>
      </c>
      <c r="BN99" s="242"/>
      <c r="BO99" s="224"/>
      <c r="BP99" s="224"/>
      <c r="BQ99" s="243"/>
      <c r="BR99" s="168">
        <f t="shared" ref="BR99:BR105" si="249">SUM(BN99:BQ99)</f>
        <v>0</v>
      </c>
      <c r="BS99" s="242"/>
      <c r="BT99" s="224"/>
      <c r="BU99" s="224"/>
      <c r="BV99" s="224"/>
      <c r="BW99" s="243"/>
      <c r="BX99" s="168">
        <f>BX115*2.13</f>
        <v>0</v>
      </c>
      <c r="BY99" s="242"/>
      <c r="BZ99" s="224"/>
      <c r="CA99" s="168">
        <f>CA115*2.135</f>
        <v>0</v>
      </c>
      <c r="CB99" s="168">
        <f>CA99+BX99+BR99+BM99+BG99</f>
        <v>1421625</v>
      </c>
      <c r="CC99" s="242"/>
      <c r="CD99" s="224"/>
      <c r="CE99" s="224"/>
      <c r="CF99" s="168">
        <f t="shared" ref="CF99:CF105" si="250">SUM(CC99:CE99)</f>
        <v>0</v>
      </c>
      <c r="CG99" s="242"/>
      <c r="CH99" s="224"/>
      <c r="CI99" s="224">
        <v>169800</v>
      </c>
      <c r="CJ99" s="243"/>
      <c r="CK99" s="168">
        <f>SUM(CG99:CJ99)</f>
        <v>169800</v>
      </c>
      <c r="CL99" s="242"/>
      <c r="CM99" s="224"/>
      <c r="CN99" s="224"/>
      <c r="CO99" s="224"/>
      <c r="CP99" s="243"/>
      <c r="CQ99" s="168">
        <f>SUM(CL99:CP99)</f>
        <v>0</v>
      </c>
      <c r="CR99" s="242"/>
      <c r="CS99" s="224"/>
      <c r="CT99" s="224">
        <v>234720</v>
      </c>
      <c r="CU99" s="224"/>
      <c r="CV99" s="243"/>
      <c r="CW99" s="168">
        <f>SUM(CR99:CV99)</f>
        <v>234720</v>
      </c>
      <c r="CX99" s="242"/>
      <c r="CY99" s="224"/>
      <c r="CZ99" s="224"/>
      <c r="DA99" s="243"/>
      <c r="DB99" s="168">
        <f t="shared" ref="DB99:DB105" si="251">SUM(CX99:DA99)</f>
        <v>0</v>
      </c>
      <c r="DC99" s="168">
        <f>DB99+CW99+CQ99+CK99+CF99</f>
        <v>404520</v>
      </c>
      <c r="DD99" s="242"/>
      <c r="DE99" s="224"/>
      <c r="DF99" s="224"/>
      <c r="DG99" s="224"/>
      <c r="DH99" s="224"/>
      <c r="DI99" s="168">
        <f>SUM(DD99:DH99)</f>
        <v>0</v>
      </c>
      <c r="DJ99" s="242"/>
      <c r="DK99" s="224"/>
      <c r="DL99" s="224"/>
      <c r="DM99" s="224"/>
      <c r="DN99" s="243"/>
      <c r="DO99" s="168">
        <f>SUM(DJ99:DN99)</f>
        <v>0</v>
      </c>
      <c r="DP99" s="242"/>
      <c r="DQ99" s="224"/>
      <c r="DR99" s="224"/>
      <c r="DS99" s="224"/>
      <c r="DT99" s="243"/>
      <c r="DU99" s="239">
        <f>SUM(DP99:DT99)</f>
        <v>0</v>
      </c>
      <c r="DV99" s="242"/>
      <c r="DW99" s="224"/>
      <c r="DX99" s="224"/>
      <c r="DY99" s="224"/>
      <c r="DZ99" s="243"/>
      <c r="EA99" s="168">
        <f>SUM(DV99:DZ99)</f>
        <v>0</v>
      </c>
      <c r="EB99" s="168">
        <f>EA99+DU99+DO99+DI99</f>
        <v>0</v>
      </c>
      <c r="EC99" s="242"/>
      <c r="ED99" s="224"/>
      <c r="EE99" s="224"/>
      <c r="EF99" s="224"/>
      <c r="EG99" s="243"/>
      <c r="EH99" s="168">
        <f>SUM(EC99:EG99)</f>
        <v>0</v>
      </c>
      <c r="EI99" s="242"/>
      <c r="EJ99" s="224"/>
      <c r="EK99" s="224"/>
      <c r="EL99" s="224"/>
      <c r="EM99" s="243"/>
      <c r="EN99" s="168">
        <f>SUM(EI99:EM99)</f>
        <v>0</v>
      </c>
      <c r="EO99" s="242"/>
      <c r="EP99" s="224"/>
      <c r="EQ99" s="224"/>
      <c r="ER99" s="224"/>
      <c r="ES99" s="243"/>
      <c r="ET99" s="238">
        <f>SUM(EO99:ES99)</f>
        <v>0</v>
      </c>
      <c r="EU99" s="242"/>
      <c r="EV99" s="224"/>
      <c r="EW99" s="224"/>
      <c r="EX99" s="224"/>
      <c r="EY99" s="224"/>
      <c r="EZ99" s="224">
        <v>89384.357000000004</v>
      </c>
      <c r="FA99" s="243"/>
      <c r="FB99" s="168">
        <f t="shared" ref="FB99:FB104" si="252">SUM(EU99:FA99)</f>
        <v>89384.357000000004</v>
      </c>
      <c r="FC99" s="168">
        <f>FB99+ET99+EN99+EH99</f>
        <v>89384.357000000004</v>
      </c>
      <c r="FD99" s="242"/>
      <c r="FE99" s="224"/>
      <c r="FF99" s="243"/>
      <c r="FG99" s="168">
        <f>SUM(FD99:FF99)</f>
        <v>0</v>
      </c>
      <c r="FH99" s="242"/>
      <c r="FI99" s="224"/>
      <c r="FJ99" s="224"/>
      <c r="FK99" s="224"/>
      <c r="FL99" s="243"/>
      <c r="FM99" s="168">
        <f>SUM(FH99:FL99)</f>
        <v>0</v>
      </c>
      <c r="FN99" s="242"/>
      <c r="FO99" s="224"/>
      <c r="FP99" s="224"/>
      <c r="FQ99" s="224"/>
      <c r="FR99" s="168">
        <f t="shared" ref="FR99:FR105" si="253">SUM(FN99:FQ99)</f>
        <v>0</v>
      </c>
      <c r="FS99" s="242"/>
      <c r="FT99" s="224"/>
      <c r="FU99" s="224"/>
      <c r="FV99" s="224"/>
      <c r="FW99" s="243"/>
      <c r="FX99" s="168">
        <f>SUM(FS99:FW99)</f>
        <v>0</v>
      </c>
      <c r="FY99" s="242"/>
      <c r="FZ99" s="224"/>
      <c r="GA99" s="224"/>
      <c r="GB99" s="224"/>
      <c r="GC99" s="243"/>
      <c r="GD99" s="168">
        <f>SUM(FY99:GC99)</f>
        <v>0</v>
      </c>
      <c r="GE99" s="168">
        <f t="shared" ref="GE99:GE105" si="254">FG99+FM99+FR99+FX99+GD99</f>
        <v>0</v>
      </c>
      <c r="GF99" s="242"/>
      <c r="GG99" s="224"/>
      <c r="GH99" s="224"/>
      <c r="GI99" s="224"/>
      <c r="GJ99" s="224"/>
      <c r="GK99" s="168">
        <f>SUM(GF99:GJ99)</f>
        <v>0</v>
      </c>
      <c r="GL99" s="242"/>
      <c r="GM99" s="224"/>
      <c r="GN99" s="224"/>
      <c r="GO99" s="243"/>
      <c r="GP99" s="168">
        <f>GP115*2.167</f>
        <v>0</v>
      </c>
      <c r="GQ99" s="242"/>
      <c r="GR99" s="224"/>
      <c r="GS99" s="224"/>
      <c r="GT99" s="224"/>
      <c r="GU99" s="243">
        <f>100000*2.167-1859.65</f>
        <v>214840.34999999998</v>
      </c>
      <c r="GV99" s="168">
        <f>SUM(GQ99:GU99)</f>
        <v>214840.34999999998</v>
      </c>
      <c r="GW99" s="242"/>
      <c r="GX99" s="224"/>
      <c r="GY99" s="224"/>
      <c r="GZ99" s="224">
        <f>100000*2.202</f>
        <v>220200</v>
      </c>
      <c r="HA99" s="224"/>
      <c r="HB99" s="243"/>
      <c r="HC99" s="168">
        <f>SUM(GW99:HB99)</f>
        <v>220200</v>
      </c>
      <c r="HD99" s="168">
        <f>GK99+GP99+GV99+HC99</f>
        <v>435040.35</v>
      </c>
      <c r="HE99" s="242"/>
      <c r="HF99" s="224"/>
      <c r="HG99" s="224"/>
      <c r="HH99" s="224"/>
      <c r="HI99" s="168">
        <f>SUM(HE99:HH99)</f>
        <v>0</v>
      </c>
      <c r="HJ99" s="242"/>
      <c r="HK99" s="224"/>
      <c r="HL99" s="224"/>
      <c r="HM99" s="224"/>
      <c r="HN99" s="243"/>
      <c r="HO99" s="239">
        <f>SUM(HJ99:HN99)</f>
        <v>0</v>
      </c>
      <c r="HP99" s="242"/>
      <c r="HQ99" s="224"/>
      <c r="HR99" s="224"/>
      <c r="HS99" s="224"/>
      <c r="HT99" s="243"/>
      <c r="HU99" s="168">
        <f>SUM(HP99:HT99)</f>
        <v>0</v>
      </c>
      <c r="HV99" s="242"/>
      <c r="HW99" s="224"/>
      <c r="HX99" s="224"/>
      <c r="HY99" s="168">
        <f t="shared" ref="HY99:HY105" si="255">SUM(HV99:HX99)</f>
        <v>0</v>
      </c>
      <c r="HZ99" s="242"/>
      <c r="IA99" s="224"/>
      <c r="IB99" s="243"/>
      <c r="IC99" s="168">
        <f t="shared" ref="IC99:IC105" si="256">SUM(HZ99:IB99)</f>
        <v>0</v>
      </c>
      <c r="ID99" s="168">
        <f t="shared" ref="ID99:ID105" si="257">IC99+HY99+HU99+HO99+HI99</f>
        <v>0</v>
      </c>
      <c r="IE99" s="242"/>
      <c r="IF99" s="243"/>
      <c r="IG99" s="168">
        <f>SUM(IE99:IF99)</f>
        <v>0</v>
      </c>
      <c r="IH99" s="242"/>
      <c r="II99" s="224"/>
      <c r="IJ99" s="224">
        <f>IJ115*2.2015</f>
        <v>330224.99999999994</v>
      </c>
      <c r="IK99" s="224"/>
      <c r="IL99" s="243"/>
      <c r="IM99" s="168">
        <f>SUM(IH99:IL99)</f>
        <v>330224.99999999994</v>
      </c>
      <c r="IN99" s="242"/>
      <c r="IO99" s="224"/>
      <c r="IP99" s="243"/>
      <c r="IQ99" s="168">
        <f>SUM(IN99:IP99)</f>
        <v>0</v>
      </c>
      <c r="IR99" s="242"/>
      <c r="IS99" s="224"/>
      <c r="IT99" s="224"/>
      <c r="IU99" s="224"/>
      <c r="IV99" s="243"/>
      <c r="IW99" s="168">
        <f>SUM(IR99:IV99)</f>
        <v>0</v>
      </c>
      <c r="IX99" s="242"/>
      <c r="IY99" s="224"/>
      <c r="IZ99" s="224"/>
      <c r="JA99" s="224"/>
      <c r="JB99" s="243"/>
      <c r="JC99" s="168">
        <f>SUM(IX99:JB99)</f>
        <v>0</v>
      </c>
      <c r="JD99" s="168">
        <f>JC99+IW99+IQ99+IM99+IG99</f>
        <v>330224.99999999994</v>
      </c>
      <c r="JE99" s="242"/>
      <c r="JF99" s="224"/>
      <c r="JG99" s="224"/>
      <c r="JH99" s="224"/>
      <c r="JI99" s="243">
        <f>JG115*2.1945-1254.261</f>
        <v>218195.739</v>
      </c>
      <c r="JJ99" s="168">
        <f>SUM(JE99:JI99)</f>
        <v>218195.739</v>
      </c>
      <c r="JK99" s="242"/>
      <c r="JL99" s="224"/>
      <c r="JM99" s="224"/>
      <c r="JN99" s="224"/>
      <c r="JO99" s="243"/>
      <c r="JP99" s="168">
        <f>SUM(JK99:JO99)</f>
        <v>0</v>
      </c>
      <c r="JQ99" s="242"/>
      <c r="JR99" s="224"/>
      <c r="JS99" s="224"/>
      <c r="JT99" s="224"/>
      <c r="JU99" s="243"/>
      <c r="JV99" s="168">
        <f>SUM(JQ99:JU99)</f>
        <v>0</v>
      </c>
      <c r="JW99" s="242"/>
      <c r="JX99" s="224"/>
      <c r="JY99" s="224"/>
      <c r="JZ99" s="224"/>
      <c r="KA99" s="224"/>
      <c r="KB99" s="243"/>
      <c r="KC99" s="168">
        <f>SUM(JW99:KB99)</f>
        <v>0</v>
      </c>
      <c r="KD99" s="168">
        <f>KD115*2.2</f>
        <v>0</v>
      </c>
      <c r="KE99" s="242"/>
      <c r="KF99" s="224"/>
      <c r="KG99" s="224"/>
      <c r="KH99" s="224"/>
      <c r="KI99" s="243"/>
      <c r="KJ99" s="168">
        <f>SUM(KE99:KI99)</f>
        <v>0</v>
      </c>
      <c r="KK99" s="242"/>
      <c r="KL99" s="224"/>
      <c r="KM99" s="224"/>
      <c r="KN99" s="224"/>
      <c r="KO99" s="243"/>
      <c r="KP99" s="168">
        <f>SUM(KK99:KO99)</f>
        <v>0</v>
      </c>
      <c r="KQ99" s="242"/>
      <c r="KR99" s="224"/>
      <c r="KS99" s="224"/>
      <c r="KT99" s="224"/>
      <c r="KU99" s="243"/>
      <c r="KV99" s="168">
        <f>SUM(KQ99:KU99)</f>
        <v>0</v>
      </c>
      <c r="KW99" s="242"/>
      <c r="KX99" s="224"/>
      <c r="KY99" s="224"/>
      <c r="KZ99" s="224"/>
      <c r="LA99" s="243"/>
      <c r="LB99" s="168">
        <f>SUM(KW99:LA99)</f>
        <v>0</v>
      </c>
      <c r="LC99" s="181"/>
      <c r="LD99" s="238"/>
      <c r="LE99" s="239"/>
      <c r="LF99" s="168">
        <f>SUM(LC99:LE99)</f>
        <v>0</v>
      </c>
      <c r="LG99" s="168">
        <v>0</v>
      </c>
    </row>
    <row r="100" spans="2:319" s="91" customFormat="1">
      <c r="B100" s="167" t="s">
        <v>102</v>
      </c>
      <c r="C100" s="167"/>
      <c r="D100" s="181">
        <f t="shared" si="243"/>
        <v>0</v>
      </c>
      <c r="E100" s="167"/>
      <c r="F100" s="177"/>
      <c r="G100" s="177"/>
      <c r="H100" s="177"/>
      <c r="I100" s="178"/>
      <c r="J100" s="181">
        <f t="shared" si="244"/>
        <v>0</v>
      </c>
      <c r="K100" s="167"/>
      <c r="L100" s="177"/>
      <c r="M100" s="177"/>
      <c r="N100" s="178"/>
      <c r="O100" s="181">
        <f t="shared" si="245"/>
        <v>0</v>
      </c>
      <c r="P100" s="167"/>
      <c r="Q100" s="177"/>
      <c r="R100" s="177"/>
      <c r="S100" s="177"/>
      <c r="T100" s="178"/>
      <c r="U100" s="181">
        <f t="shared" ref="U100:U105" si="258">SUM(P100:T100)</f>
        <v>0</v>
      </c>
      <c r="V100" s="167"/>
      <c r="W100" s="177"/>
      <c r="X100" s="177"/>
      <c r="Y100" s="177"/>
      <c r="Z100" s="177"/>
      <c r="AA100" s="168">
        <f t="shared" ref="AA100:AA105" si="259">SUM(V100:Z100)</f>
        <v>0</v>
      </c>
      <c r="AB100" s="168">
        <f t="shared" si="246"/>
        <v>0</v>
      </c>
      <c r="AC100" s="242"/>
      <c r="AD100" s="224"/>
      <c r="AE100" s="224"/>
      <c r="AF100" s="224"/>
      <c r="AG100" s="243"/>
      <c r="AH100" s="168">
        <f t="shared" ref="AH100:AH105" si="260">SUM(AC100:AG100)</f>
        <v>0</v>
      </c>
      <c r="AI100" s="242"/>
      <c r="AJ100" s="224"/>
      <c r="AK100" s="224"/>
      <c r="AL100" s="224"/>
      <c r="AM100" s="243"/>
      <c r="AN100" s="168">
        <f t="shared" si="247"/>
        <v>0</v>
      </c>
      <c r="AO100" s="242"/>
      <c r="AP100" s="224"/>
      <c r="AQ100" s="224"/>
      <c r="AR100" s="224"/>
      <c r="AS100" s="243"/>
      <c r="AT100" s="168">
        <f t="shared" ref="AT100:AT105" si="261">SUM(AO100:AS100)</f>
        <v>0</v>
      </c>
      <c r="AU100" s="242"/>
      <c r="AV100" s="224"/>
      <c r="AW100" s="224"/>
      <c r="AX100" s="224"/>
      <c r="AY100" s="243"/>
      <c r="AZ100" s="168">
        <f t="shared" ref="AZ100:AZ105" si="262">SUM(AU100:AY100)</f>
        <v>0</v>
      </c>
      <c r="BA100" s="168">
        <f t="shared" ref="BA100:BA105" si="263">AZ100+AT100+AN100+AH100</f>
        <v>0</v>
      </c>
      <c r="BB100" s="242"/>
      <c r="BC100" s="224"/>
      <c r="BD100" s="224"/>
      <c r="BE100" s="224"/>
      <c r="BF100" s="243"/>
      <c r="BG100" s="168">
        <f t="shared" ref="BG100:BG105" si="264">SUM(BB100:BF100)</f>
        <v>0</v>
      </c>
      <c r="BH100" s="242"/>
      <c r="BI100" s="224"/>
      <c r="BJ100" s="224"/>
      <c r="BK100" s="224"/>
      <c r="BL100" s="243"/>
      <c r="BM100" s="168">
        <f t="shared" si="248"/>
        <v>0</v>
      </c>
      <c r="BN100" s="242"/>
      <c r="BO100" s="224"/>
      <c r="BP100" s="224"/>
      <c r="BQ100" s="243"/>
      <c r="BR100" s="168">
        <f t="shared" si="249"/>
        <v>0</v>
      </c>
      <c r="BS100" s="242"/>
      <c r="BT100" s="224"/>
      <c r="BU100" s="224"/>
      <c r="BV100" s="224"/>
      <c r="BW100" s="243"/>
      <c r="BX100" s="168">
        <f t="shared" ref="BX100:BX105" si="265">SUM(BS100:BW100)</f>
        <v>0</v>
      </c>
      <c r="BY100" s="242"/>
      <c r="BZ100" s="224"/>
      <c r="CA100" s="168">
        <f t="shared" ref="CA100:CA105" si="266">SUM(BY100:BZ100)</f>
        <v>0</v>
      </c>
      <c r="CB100" s="168">
        <f t="shared" ref="CB100:CB105" si="267">CA100+BX100+BR100+BM100+BG100</f>
        <v>0</v>
      </c>
      <c r="CC100" s="242"/>
      <c r="CD100" s="224"/>
      <c r="CE100" s="224"/>
      <c r="CF100" s="168">
        <f t="shared" si="250"/>
        <v>0</v>
      </c>
      <c r="CG100" s="242"/>
      <c r="CH100" s="224"/>
      <c r="CI100" s="224"/>
      <c r="CJ100" s="243"/>
      <c r="CK100" s="168">
        <f t="shared" ref="CK100:CK105" si="268">SUM(CG100:CJ100)</f>
        <v>0</v>
      </c>
      <c r="CL100" s="242"/>
      <c r="CM100" s="224"/>
      <c r="CN100" s="224"/>
      <c r="CO100" s="224"/>
      <c r="CP100" s="243"/>
      <c r="CQ100" s="168">
        <f t="shared" ref="CQ100:CQ105" si="269">SUM(CL100:CP100)</f>
        <v>0</v>
      </c>
      <c r="CR100" s="242"/>
      <c r="CS100" s="224"/>
      <c r="CT100" s="224"/>
      <c r="CU100" s="224"/>
      <c r="CV100" s="243"/>
      <c r="CW100" s="168">
        <f t="shared" ref="CW100:CW105" si="270">SUM(CR100:CV100)</f>
        <v>0</v>
      </c>
      <c r="CX100" s="242"/>
      <c r="CY100" s="224"/>
      <c r="CZ100" s="224"/>
      <c r="DA100" s="243"/>
      <c r="DB100" s="168">
        <f t="shared" si="251"/>
        <v>0</v>
      </c>
      <c r="DC100" s="168">
        <f t="shared" ref="DC100:DC105" si="271">DB100+CW100+CQ100+CK100+CF100</f>
        <v>0</v>
      </c>
      <c r="DD100" s="242"/>
      <c r="DE100" s="224"/>
      <c r="DF100" s="224">
        <v>271110</v>
      </c>
      <c r="DG100" s="224"/>
      <c r="DH100" s="224"/>
      <c r="DI100" s="168">
        <f t="shared" ref="DI100:DI105" si="272">SUM(DD100:DH100)</f>
        <v>271110</v>
      </c>
      <c r="DJ100" s="242"/>
      <c r="DK100" s="224"/>
      <c r="DL100" s="224"/>
      <c r="DM100" s="224"/>
      <c r="DN100" s="243">
        <v>269331.71000000002</v>
      </c>
      <c r="DO100" s="168">
        <f t="shared" ref="DO100:DO105" si="273">SUM(DJ100:DN100)</f>
        <v>269331.71000000002</v>
      </c>
      <c r="DP100" s="242"/>
      <c r="DQ100" s="224"/>
      <c r="DR100" s="224"/>
      <c r="DS100" s="224"/>
      <c r="DT100" s="243"/>
      <c r="DU100" s="239">
        <f t="shared" ref="DU100:DU105" si="274">SUM(DP100:DT100)</f>
        <v>0</v>
      </c>
      <c r="DV100" s="242"/>
      <c r="DW100" s="224"/>
      <c r="DX100" s="224"/>
      <c r="DY100" s="224">
        <v>278019.31099999999</v>
      </c>
      <c r="DZ100" s="243"/>
      <c r="EA100" s="168">
        <f t="shared" ref="EA100:EA105" si="275">SUM(DV100:DZ100)</f>
        <v>278019.31099999999</v>
      </c>
      <c r="EB100" s="168">
        <f t="shared" ref="EB100:EB105" si="276">EA100+DU100+DO100+DI100</f>
        <v>818461.02099999995</v>
      </c>
      <c r="EC100" s="242"/>
      <c r="ED100" s="224"/>
      <c r="EE100" s="224"/>
      <c r="EF100" s="224"/>
      <c r="EG100" s="243"/>
      <c r="EH100" s="168">
        <f t="shared" ref="EH100:EH105" si="277">SUM(EC100:EG100)</f>
        <v>0</v>
      </c>
      <c r="EI100" s="242"/>
      <c r="EJ100" s="224"/>
      <c r="EK100" s="224"/>
      <c r="EL100" s="224"/>
      <c r="EM100" s="243"/>
      <c r="EN100" s="168">
        <f t="shared" ref="EN100:EN105" si="278">SUM(EI100:EM100)</f>
        <v>0</v>
      </c>
      <c r="EO100" s="242"/>
      <c r="EP100" s="224"/>
      <c r="EQ100" s="224"/>
      <c r="ER100" s="224"/>
      <c r="ES100" s="243"/>
      <c r="ET100" s="238">
        <f t="shared" ref="ET100:ET105" si="279">SUM(EO100:ES100)</f>
        <v>0</v>
      </c>
      <c r="EU100" s="242"/>
      <c r="EV100" s="224"/>
      <c r="EW100" s="224"/>
      <c r="EX100" s="224"/>
      <c r="EY100" s="224"/>
      <c r="EZ100" s="224"/>
      <c r="FA100" s="243"/>
      <c r="FB100" s="168">
        <f t="shared" si="252"/>
        <v>0</v>
      </c>
      <c r="FC100" s="168">
        <f t="shared" ref="FC100:FC105" si="280">FB100+ET100+EN100+EH100</f>
        <v>0</v>
      </c>
      <c r="FD100" s="242"/>
      <c r="FE100" s="224"/>
      <c r="FF100" s="243"/>
      <c r="FG100" s="168">
        <f t="shared" ref="FG100:FG105" si="281">SUM(FD100:FF100)</f>
        <v>0</v>
      </c>
      <c r="FH100" s="242"/>
      <c r="FI100" s="224"/>
      <c r="FJ100" s="224"/>
      <c r="FK100" s="224"/>
      <c r="FL100" s="243"/>
      <c r="FM100" s="168">
        <f t="shared" ref="FM100:FM105" si="282">SUM(FH100:FL100)</f>
        <v>0</v>
      </c>
      <c r="FN100" s="242"/>
      <c r="FO100" s="224"/>
      <c r="FP100" s="224"/>
      <c r="FQ100" s="224"/>
      <c r="FR100" s="168">
        <f t="shared" si="253"/>
        <v>0</v>
      </c>
      <c r="FS100" s="242"/>
      <c r="FT100" s="224"/>
      <c r="FU100" s="224"/>
      <c r="FV100" s="224"/>
      <c r="FW100" s="243"/>
      <c r="FX100" s="168">
        <f t="shared" ref="FX100:FX105" si="283">SUM(FS100:FW100)</f>
        <v>0</v>
      </c>
      <c r="FY100" s="242"/>
      <c r="FZ100" s="224"/>
      <c r="GA100" s="224"/>
      <c r="GB100" s="224"/>
      <c r="GC100" s="243"/>
      <c r="GD100" s="168">
        <f t="shared" ref="GD100:GD105" si="284">SUM(FY100:GC100)</f>
        <v>0</v>
      </c>
      <c r="GE100" s="168">
        <f t="shared" si="254"/>
        <v>0</v>
      </c>
      <c r="GF100" s="242"/>
      <c r="GG100" s="224"/>
      <c r="GH100" s="224"/>
      <c r="GI100" s="224"/>
      <c r="GJ100" s="224"/>
      <c r="GK100" s="168">
        <f t="shared" ref="GK100:GK105" si="285">SUM(GF100:GJ100)</f>
        <v>0</v>
      </c>
      <c r="GL100" s="242"/>
      <c r="GM100" s="224"/>
      <c r="GN100" s="224"/>
      <c r="GO100" s="243"/>
      <c r="GP100" s="168">
        <f t="shared" ref="GP100:GP105" si="286">SUM(GL100:GO100)</f>
        <v>0</v>
      </c>
      <c r="GQ100" s="242"/>
      <c r="GR100" s="224"/>
      <c r="GS100" s="224"/>
      <c r="GT100" s="224"/>
      <c r="GU100" s="243"/>
      <c r="GV100" s="168">
        <f t="shared" ref="GV100:GV105" si="287">SUM(GQ100:GU100)</f>
        <v>0</v>
      </c>
      <c r="GW100" s="242"/>
      <c r="GX100" s="224"/>
      <c r="GY100" s="224"/>
      <c r="GZ100" s="224"/>
      <c r="HA100" s="224"/>
      <c r="HB100" s="243">
        <f>86000*1.9155-355.824</f>
        <v>164377.17600000001</v>
      </c>
      <c r="HC100" s="168">
        <f t="shared" ref="HC100:HC105" si="288">SUM(GW100:HB100)</f>
        <v>164377.17600000001</v>
      </c>
      <c r="HD100" s="168">
        <f t="shared" ref="HD100:HD105" si="289">GK100+GP100+GV100+HC100</f>
        <v>164377.17600000001</v>
      </c>
      <c r="HE100" s="242"/>
      <c r="HF100" s="224"/>
      <c r="HG100" s="224"/>
      <c r="HH100" s="224"/>
      <c r="HI100" s="168">
        <f t="shared" ref="HI100:HI105" si="290">SUM(HE100:HH100)</f>
        <v>0</v>
      </c>
      <c r="HJ100" s="242"/>
      <c r="HK100" s="224"/>
      <c r="HL100" s="224"/>
      <c r="HM100" s="224"/>
      <c r="HN100" s="243"/>
      <c r="HO100" s="239">
        <f t="shared" ref="HO100:HO105" si="291">SUM(HJ100:HN100)</f>
        <v>0</v>
      </c>
      <c r="HP100" s="242"/>
      <c r="HQ100" s="224"/>
      <c r="HR100" s="224"/>
      <c r="HS100" s="224"/>
      <c r="HT100" s="243"/>
      <c r="HU100" s="168">
        <f t="shared" ref="HU100:HU105" si="292">SUM(HP100:HT100)</f>
        <v>0</v>
      </c>
      <c r="HV100" s="242"/>
      <c r="HW100" s="224">
        <f>171369.65+170257.85+194660.34+259925.07</f>
        <v>796212.90999999992</v>
      </c>
      <c r="HX100" s="224"/>
      <c r="HY100" s="168">
        <f t="shared" si="255"/>
        <v>796212.90999999992</v>
      </c>
      <c r="HZ100" s="242"/>
      <c r="IA100" s="224"/>
      <c r="IB100" s="243"/>
      <c r="IC100" s="168">
        <f t="shared" si="256"/>
        <v>0</v>
      </c>
      <c r="ID100" s="168">
        <f t="shared" si="257"/>
        <v>796212.90999999992</v>
      </c>
      <c r="IE100" s="242"/>
      <c r="IF100" s="243"/>
      <c r="IG100" s="168">
        <f t="shared" ref="IG100:IG105" si="293">SUM(IE100:IF100)</f>
        <v>0</v>
      </c>
      <c r="IH100" s="242"/>
      <c r="II100" s="224"/>
      <c r="IJ100" s="224"/>
      <c r="IK100" s="224"/>
      <c r="IL100" s="243"/>
      <c r="IM100" s="168">
        <f t="shared" ref="IM100:IM105" si="294">SUM(IH100:IL100)</f>
        <v>0</v>
      </c>
      <c r="IN100" s="242"/>
      <c r="IO100" s="224"/>
      <c r="IP100" s="243"/>
      <c r="IQ100" s="168">
        <f t="shared" ref="IQ100:IQ105" si="295">SUM(IN100:IP100)</f>
        <v>0</v>
      </c>
      <c r="IR100" s="242"/>
      <c r="IS100" s="224"/>
      <c r="IT100" s="224"/>
      <c r="IU100" s="224"/>
      <c r="IV100" s="243"/>
      <c r="IW100" s="168">
        <f t="shared" ref="IW100:IW105" si="296">SUM(IR100:IV100)</f>
        <v>0</v>
      </c>
      <c r="IX100" s="242"/>
      <c r="IY100" s="224">
        <f>114687.7*1.983-428.65</f>
        <v>226997.05910000001</v>
      </c>
      <c r="IZ100" s="224"/>
      <c r="JA100" s="224"/>
      <c r="JB100" s="243"/>
      <c r="JC100" s="168">
        <f t="shared" ref="JC100:JC105" si="297">SUM(IX100:JB100)</f>
        <v>226997.05910000001</v>
      </c>
      <c r="JD100" s="168">
        <f t="shared" ref="JD100:JD105" si="298">JC100+IW100+IQ100+IM100+IG100</f>
        <v>226997.05910000001</v>
      </c>
      <c r="JE100" s="242"/>
      <c r="JF100" s="224"/>
      <c r="JG100" s="224"/>
      <c r="JH100" s="224"/>
      <c r="JI100" s="243"/>
      <c r="JJ100" s="168">
        <f t="shared" ref="JJ100:JJ105" si="299">SUM(JE100:JI100)</f>
        <v>0</v>
      </c>
      <c r="JK100" s="242"/>
      <c r="JL100" s="224"/>
      <c r="JM100" s="224"/>
      <c r="JN100" s="224"/>
      <c r="JO100" s="243"/>
      <c r="JP100" s="168">
        <f t="shared" ref="JP100:JP105" si="300">SUM(JK100:JO100)</f>
        <v>0</v>
      </c>
      <c r="JQ100" s="242"/>
      <c r="JR100" s="224"/>
      <c r="JS100" s="224"/>
      <c r="JT100" s="224"/>
      <c r="JU100" s="243"/>
      <c r="JV100" s="168">
        <f t="shared" ref="JV100:JV105" si="301">SUM(JQ100:JU100)</f>
        <v>0</v>
      </c>
      <c r="JW100" s="242"/>
      <c r="JX100" s="224"/>
      <c r="JY100" s="224"/>
      <c r="JZ100" s="224"/>
      <c r="KA100" s="224"/>
      <c r="KB100" s="243"/>
      <c r="KC100" s="168">
        <f t="shared" ref="KC100:KC105" si="302">SUM(JW100:KB100)</f>
        <v>0</v>
      </c>
      <c r="KD100" s="168">
        <f>KD129*1.97</f>
        <v>0</v>
      </c>
      <c r="KE100" s="242"/>
      <c r="KF100" s="224"/>
      <c r="KG100" s="224"/>
      <c r="KH100" s="224"/>
      <c r="KI100" s="243"/>
      <c r="KJ100" s="168">
        <f t="shared" ref="KJ100:KJ105" si="303">SUM(KE100:KI100)</f>
        <v>0</v>
      </c>
      <c r="KK100" s="242"/>
      <c r="KL100" s="224"/>
      <c r="KM100" s="224"/>
      <c r="KN100" s="224"/>
      <c r="KO100" s="243"/>
      <c r="KP100" s="168">
        <f t="shared" ref="KP100:KP105" si="304">SUM(KK100:KO100)</f>
        <v>0</v>
      </c>
      <c r="KQ100" s="242"/>
      <c r="KR100" s="224"/>
      <c r="KS100" s="224"/>
      <c r="KT100" s="224"/>
      <c r="KU100" s="243"/>
      <c r="KV100" s="168">
        <f t="shared" ref="KV100:KV105" si="305">SUM(KQ100:KU100)</f>
        <v>0</v>
      </c>
      <c r="KW100" s="242"/>
      <c r="KX100" s="224"/>
      <c r="KY100" s="224"/>
      <c r="KZ100" s="224"/>
      <c r="LA100" s="243"/>
      <c r="LB100" s="168">
        <f t="shared" ref="LB100:LB105" si="306">SUM(KW100:LA100)</f>
        <v>0</v>
      </c>
      <c r="LC100" s="181"/>
      <c r="LD100" s="238"/>
      <c r="LE100" s="239"/>
      <c r="LF100" s="168">
        <f t="shared" ref="LF100:LF105" si="307">SUM(LC100:LE100)</f>
        <v>0</v>
      </c>
      <c r="LG100" s="168">
        <f t="shared" ref="LG100:LG105" si="308">LF100+LB100+KV100+KP100+KJ100</f>
        <v>0</v>
      </c>
    </row>
    <row r="101" spans="2:319" s="91" customFormat="1">
      <c r="B101" s="167" t="s">
        <v>138</v>
      </c>
      <c r="C101" s="167"/>
      <c r="D101" s="181">
        <f t="shared" si="243"/>
        <v>0</v>
      </c>
      <c r="E101" s="167"/>
      <c r="F101" s="177"/>
      <c r="G101" s="177"/>
      <c r="H101" s="177"/>
      <c r="I101" s="178"/>
      <c r="J101" s="181">
        <f t="shared" si="244"/>
        <v>0</v>
      </c>
      <c r="K101" s="167"/>
      <c r="L101" s="177"/>
      <c r="M101" s="177"/>
      <c r="N101" s="178"/>
      <c r="O101" s="181">
        <f t="shared" si="245"/>
        <v>0</v>
      </c>
      <c r="P101" s="167"/>
      <c r="Q101" s="177"/>
      <c r="R101" s="177"/>
      <c r="S101" s="177"/>
      <c r="T101" s="178"/>
      <c r="U101" s="181">
        <f t="shared" si="258"/>
        <v>0</v>
      </c>
      <c r="V101" s="167"/>
      <c r="W101" s="177"/>
      <c r="X101" s="177"/>
      <c r="Y101" s="177"/>
      <c r="Z101" s="177"/>
      <c r="AA101" s="168">
        <f t="shared" si="259"/>
        <v>0</v>
      </c>
      <c r="AB101" s="168">
        <f t="shared" si="246"/>
        <v>0</v>
      </c>
      <c r="AC101" s="242"/>
      <c r="AD101" s="224"/>
      <c r="AE101" s="224"/>
      <c r="AF101" s="224"/>
      <c r="AG101" s="243"/>
      <c r="AH101" s="168">
        <f t="shared" si="260"/>
        <v>0</v>
      </c>
      <c r="AI101" s="242"/>
      <c r="AJ101" s="224"/>
      <c r="AK101" s="224"/>
      <c r="AL101" s="224"/>
      <c r="AM101" s="243"/>
      <c r="AN101" s="168">
        <f t="shared" si="247"/>
        <v>0</v>
      </c>
      <c r="AO101" s="242"/>
      <c r="AP101" s="224"/>
      <c r="AQ101" s="224"/>
      <c r="AR101" s="224"/>
      <c r="AS101" s="243"/>
      <c r="AT101" s="168">
        <f t="shared" si="261"/>
        <v>0</v>
      </c>
      <c r="AU101" s="242"/>
      <c r="AV101" s="224"/>
      <c r="AW101" s="224"/>
      <c r="AX101" s="224"/>
      <c r="AY101" s="243"/>
      <c r="AZ101" s="168">
        <f t="shared" si="262"/>
        <v>0</v>
      </c>
      <c r="BA101" s="168">
        <f t="shared" si="263"/>
        <v>0</v>
      </c>
      <c r="BB101" s="242"/>
      <c r="BC101" s="224"/>
      <c r="BD101" s="224"/>
      <c r="BE101" s="224"/>
      <c r="BF101" s="243"/>
      <c r="BG101" s="168">
        <f t="shared" si="264"/>
        <v>0</v>
      </c>
      <c r="BH101" s="242"/>
      <c r="BI101" s="224"/>
      <c r="BJ101" s="224"/>
      <c r="BK101" s="224"/>
      <c r="BL101" s="243"/>
      <c r="BM101" s="168">
        <f t="shared" si="248"/>
        <v>0</v>
      </c>
      <c r="BN101" s="242"/>
      <c r="BO101" s="224"/>
      <c r="BP101" s="224"/>
      <c r="BQ101" s="243"/>
      <c r="BR101" s="168">
        <f t="shared" si="249"/>
        <v>0</v>
      </c>
      <c r="BS101" s="242"/>
      <c r="BT101" s="224"/>
      <c r="BU101" s="224"/>
      <c r="BV101" s="224"/>
      <c r="BW101" s="243"/>
      <c r="BX101" s="168">
        <f t="shared" si="265"/>
        <v>0</v>
      </c>
      <c r="BY101" s="242"/>
      <c r="BZ101" s="224"/>
      <c r="CA101" s="168">
        <f t="shared" si="266"/>
        <v>0</v>
      </c>
      <c r="CB101" s="168">
        <f t="shared" si="267"/>
        <v>0</v>
      </c>
      <c r="CC101" s="242"/>
      <c r="CD101" s="224"/>
      <c r="CE101" s="224"/>
      <c r="CF101" s="168">
        <f t="shared" si="250"/>
        <v>0</v>
      </c>
      <c r="CG101" s="242"/>
      <c r="CH101" s="224"/>
      <c r="CI101" s="224"/>
      <c r="CJ101" s="243"/>
      <c r="CK101" s="168">
        <f t="shared" si="268"/>
        <v>0</v>
      </c>
      <c r="CL101" s="242"/>
      <c r="CM101" s="224"/>
      <c r="CN101" s="224"/>
      <c r="CO101" s="224"/>
      <c r="CP101" s="243"/>
      <c r="CQ101" s="168">
        <f t="shared" si="269"/>
        <v>0</v>
      </c>
      <c r="CR101" s="242"/>
      <c r="CS101" s="224"/>
      <c r="CT101" s="224"/>
      <c r="CU101" s="224"/>
      <c r="CV101" s="243"/>
      <c r="CW101" s="168">
        <f t="shared" si="270"/>
        <v>0</v>
      </c>
      <c r="CX101" s="242"/>
      <c r="CY101" s="224"/>
      <c r="CZ101" s="224"/>
      <c r="DA101" s="243"/>
      <c r="DB101" s="168">
        <f t="shared" si="251"/>
        <v>0</v>
      </c>
      <c r="DC101" s="168">
        <f t="shared" si="271"/>
        <v>0</v>
      </c>
      <c r="DD101" s="242"/>
      <c r="DE101" s="224"/>
      <c r="DF101" s="224"/>
      <c r="DG101" s="224"/>
      <c r="DH101" s="224"/>
      <c r="DI101" s="168">
        <f t="shared" si="272"/>
        <v>0</v>
      </c>
      <c r="DJ101" s="242"/>
      <c r="DK101" s="224"/>
      <c r="DL101" s="224"/>
      <c r="DM101" s="224"/>
      <c r="DN101" s="243"/>
      <c r="DO101" s="168">
        <f t="shared" si="273"/>
        <v>0</v>
      </c>
      <c r="DP101" s="242"/>
      <c r="DQ101" s="224"/>
      <c r="DR101" s="224"/>
      <c r="DS101" s="224"/>
      <c r="DT101" s="243"/>
      <c r="DU101" s="239">
        <f t="shared" si="274"/>
        <v>0</v>
      </c>
      <c r="DV101" s="242"/>
      <c r="DW101" s="224"/>
      <c r="DX101" s="224"/>
      <c r="DY101" s="224"/>
      <c r="DZ101" s="243"/>
      <c r="EA101" s="168">
        <f t="shared" si="275"/>
        <v>0</v>
      </c>
      <c r="EB101" s="168">
        <f t="shared" si="276"/>
        <v>0</v>
      </c>
      <c r="EC101" s="242"/>
      <c r="ED101" s="224"/>
      <c r="EE101" s="224"/>
      <c r="EF101" s="224"/>
      <c r="EG101" s="243"/>
      <c r="EH101" s="168">
        <f t="shared" si="277"/>
        <v>0</v>
      </c>
      <c r="EI101" s="242"/>
      <c r="EJ101" s="224"/>
      <c r="EK101" s="224"/>
      <c r="EL101" s="224"/>
      <c r="EM101" s="243"/>
      <c r="EN101" s="168">
        <f t="shared" si="278"/>
        <v>0</v>
      </c>
      <c r="EO101" s="242"/>
      <c r="EP101" s="224"/>
      <c r="EQ101" s="224"/>
      <c r="ER101" s="224"/>
      <c r="ES101" s="243"/>
      <c r="ET101" s="238">
        <f t="shared" si="279"/>
        <v>0</v>
      </c>
      <c r="EU101" s="242"/>
      <c r="EV101" s="224"/>
      <c r="EW101" s="224"/>
      <c r="EX101" s="224"/>
      <c r="EY101" s="224"/>
      <c r="EZ101" s="224"/>
      <c r="FA101" s="243"/>
      <c r="FB101" s="168">
        <f t="shared" si="252"/>
        <v>0</v>
      </c>
      <c r="FC101" s="168">
        <f t="shared" si="280"/>
        <v>0</v>
      </c>
      <c r="FD101" s="242"/>
      <c r="FE101" s="224"/>
      <c r="FF101" s="243"/>
      <c r="FG101" s="168">
        <f t="shared" si="281"/>
        <v>0</v>
      </c>
      <c r="FH101" s="242"/>
      <c r="FI101" s="224"/>
      <c r="FJ101" s="224"/>
      <c r="FK101" s="224"/>
      <c r="FL101" s="243"/>
      <c r="FM101" s="168">
        <f t="shared" si="282"/>
        <v>0</v>
      </c>
      <c r="FN101" s="242"/>
      <c r="FO101" s="224"/>
      <c r="FP101" s="224"/>
      <c r="FQ101" s="224"/>
      <c r="FR101" s="168">
        <f t="shared" si="253"/>
        <v>0</v>
      </c>
      <c r="FS101" s="242"/>
      <c r="FT101" s="224"/>
      <c r="FU101" s="224"/>
      <c r="FV101" s="224"/>
      <c r="FW101" s="243"/>
      <c r="FX101" s="168">
        <f t="shared" si="283"/>
        <v>0</v>
      </c>
      <c r="FY101" s="242"/>
      <c r="FZ101" s="224"/>
      <c r="GA101" s="224"/>
      <c r="GB101" s="224"/>
      <c r="GC101" s="243">
        <v>3031937.9330000002</v>
      </c>
      <c r="GD101" s="168">
        <f t="shared" si="284"/>
        <v>3031937.9330000002</v>
      </c>
      <c r="GE101" s="168">
        <f t="shared" si="254"/>
        <v>3031937.9330000002</v>
      </c>
      <c r="GF101" s="242"/>
      <c r="GG101" s="224"/>
      <c r="GH101" s="224"/>
      <c r="GI101" s="224"/>
      <c r="GJ101" s="224"/>
      <c r="GK101" s="168">
        <f t="shared" si="285"/>
        <v>0</v>
      </c>
      <c r="GL101" s="242"/>
      <c r="GM101" s="224"/>
      <c r="GN101" s="224"/>
      <c r="GO101" s="243"/>
      <c r="GP101" s="168">
        <f t="shared" si="286"/>
        <v>0</v>
      </c>
      <c r="GQ101" s="242"/>
      <c r="GR101" s="224"/>
      <c r="GS101" s="224"/>
      <c r="GT101" s="224"/>
      <c r="GU101" s="243"/>
      <c r="GV101" s="168">
        <f t="shared" si="287"/>
        <v>0</v>
      </c>
      <c r="GW101" s="242"/>
      <c r="GX101" s="224"/>
      <c r="GY101" s="224"/>
      <c r="GZ101" s="224"/>
      <c r="HA101" s="224"/>
      <c r="HB101" s="243"/>
      <c r="HC101" s="168">
        <f t="shared" si="288"/>
        <v>0</v>
      </c>
      <c r="HD101" s="168">
        <f t="shared" si="289"/>
        <v>0</v>
      </c>
      <c r="HE101" s="242"/>
      <c r="HF101" s="224"/>
      <c r="HG101" s="224"/>
      <c r="HH101" s="224"/>
      <c r="HI101" s="168">
        <f t="shared" si="290"/>
        <v>0</v>
      </c>
      <c r="HJ101" s="242"/>
      <c r="HK101" s="224"/>
      <c r="HL101" s="224"/>
      <c r="HM101" s="224"/>
      <c r="HN101" s="243"/>
      <c r="HO101" s="239">
        <f t="shared" si="291"/>
        <v>0</v>
      </c>
      <c r="HP101" s="242"/>
      <c r="HQ101" s="224"/>
      <c r="HR101" s="224"/>
      <c r="HS101" s="224"/>
      <c r="HT101" s="243"/>
      <c r="HU101" s="168">
        <f t="shared" si="292"/>
        <v>0</v>
      </c>
      <c r="HV101" s="242"/>
      <c r="HW101" s="224"/>
      <c r="HX101" s="224"/>
      <c r="HY101" s="168">
        <f t="shared" si="255"/>
        <v>0</v>
      </c>
      <c r="HZ101" s="242"/>
      <c r="IA101" s="224"/>
      <c r="IB101" s="243"/>
      <c r="IC101" s="168">
        <f t="shared" si="256"/>
        <v>0</v>
      </c>
      <c r="ID101" s="168">
        <f t="shared" si="257"/>
        <v>0</v>
      </c>
      <c r="IE101" s="242"/>
      <c r="IF101" s="243"/>
      <c r="IG101" s="168">
        <f t="shared" si="293"/>
        <v>0</v>
      </c>
      <c r="IH101" s="242"/>
      <c r="II101" s="224"/>
      <c r="IJ101" s="224"/>
      <c r="IK101" s="224"/>
      <c r="IL101" s="243"/>
      <c r="IM101" s="168">
        <f t="shared" si="294"/>
        <v>0</v>
      </c>
      <c r="IN101" s="242"/>
      <c r="IO101" s="224"/>
      <c r="IP101" s="243"/>
      <c r="IQ101" s="168">
        <f t="shared" si="295"/>
        <v>0</v>
      </c>
      <c r="IR101" s="242"/>
      <c r="IS101" s="224"/>
      <c r="IT101" s="224"/>
      <c r="IU101" s="224"/>
      <c r="IV101" s="243"/>
      <c r="IW101" s="168">
        <f t="shared" si="296"/>
        <v>0</v>
      </c>
      <c r="IX101" s="242"/>
      <c r="IY101" s="224"/>
      <c r="IZ101" s="224"/>
      <c r="JA101" s="224"/>
      <c r="JB101" s="243"/>
      <c r="JC101" s="168">
        <f t="shared" si="297"/>
        <v>0</v>
      </c>
      <c r="JD101" s="168">
        <f t="shared" si="298"/>
        <v>0</v>
      </c>
      <c r="JE101" s="242"/>
      <c r="JF101" s="224"/>
      <c r="JG101" s="224"/>
      <c r="JH101" s="224"/>
      <c r="JI101" s="243"/>
      <c r="JJ101" s="168">
        <f t="shared" si="299"/>
        <v>0</v>
      </c>
      <c r="JK101" s="242"/>
      <c r="JL101" s="224"/>
      <c r="JM101" s="224"/>
      <c r="JN101" s="224"/>
      <c r="JO101" s="243"/>
      <c r="JP101" s="168">
        <f t="shared" si="300"/>
        <v>0</v>
      </c>
      <c r="JQ101" s="242"/>
      <c r="JR101" s="224"/>
      <c r="JS101" s="224"/>
      <c r="JT101" s="224"/>
      <c r="JU101" s="243"/>
      <c r="JV101" s="168">
        <f t="shared" si="301"/>
        <v>0</v>
      </c>
      <c r="JW101" s="242"/>
      <c r="JX101" s="224"/>
      <c r="JY101" s="224"/>
      <c r="JZ101" s="224"/>
      <c r="KA101" s="224"/>
      <c r="KB101" s="243"/>
      <c r="KC101" s="168">
        <f t="shared" si="302"/>
        <v>0</v>
      </c>
      <c r="KD101" s="168">
        <f t="shared" ref="KD101:KD105" si="309">JJ101+JP101+JV101+KC101</f>
        <v>0</v>
      </c>
      <c r="KE101" s="242"/>
      <c r="KF101" s="224"/>
      <c r="KG101" s="224"/>
      <c r="KH101" s="224"/>
      <c r="KI101" s="243"/>
      <c r="KJ101" s="168">
        <f t="shared" si="303"/>
        <v>0</v>
      </c>
      <c r="KK101" s="242"/>
      <c r="KL101" s="224"/>
      <c r="KM101" s="224"/>
      <c r="KN101" s="224"/>
      <c r="KO101" s="243"/>
      <c r="KP101" s="168">
        <f t="shared" si="304"/>
        <v>0</v>
      </c>
      <c r="KQ101" s="242"/>
      <c r="KR101" s="224"/>
      <c r="KS101" s="224"/>
      <c r="KT101" s="224"/>
      <c r="KU101" s="243"/>
      <c r="KV101" s="168">
        <f t="shared" si="305"/>
        <v>0</v>
      </c>
      <c r="KW101" s="242"/>
      <c r="KX101" s="224"/>
      <c r="KY101" s="224"/>
      <c r="KZ101" s="224"/>
      <c r="LA101" s="243"/>
      <c r="LB101" s="168">
        <f t="shared" si="306"/>
        <v>0</v>
      </c>
      <c r="LC101" s="181"/>
      <c r="LD101" s="238"/>
      <c r="LE101" s="239"/>
      <c r="LF101" s="168">
        <f t="shared" si="307"/>
        <v>0</v>
      </c>
      <c r="LG101" s="168">
        <v>0</v>
      </c>
    </row>
    <row r="102" spans="2:319" s="91" customFormat="1">
      <c r="B102" s="167" t="s">
        <v>103</v>
      </c>
      <c r="C102" s="167"/>
      <c r="D102" s="181">
        <f t="shared" si="243"/>
        <v>0</v>
      </c>
      <c r="E102" s="167">
        <v>4169.6660000000002</v>
      </c>
      <c r="F102" s="177"/>
      <c r="G102" s="177"/>
      <c r="H102" s="177"/>
      <c r="I102" s="178"/>
      <c r="J102" s="181">
        <f t="shared" si="244"/>
        <v>4169.6660000000002</v>
      </c>
      <c r="K102" s="167"/>
      <c r="L102" s="177"/>
      <c r="M102" s="177"/>
      <c r="N102" s="178">
        <v>250</v>
      </c>
      <c r="O102" s="181">
        <f t="shared" si="245"/>
        <v>250</v>
      </c>
      <c r="P102" s="167">
        <v>503.24700000000001</v>
      </c>
      <c r="Q102" s="177"/>
      <c r="R102" s="177"/>
      <c r="S102" s="177"/>
      <c r="T102" s="178"/>
      <c r="U102" s="181">
        <f t="shared" si="258"/>
        <v>503.24700000000001</v>
      </c>
      <c r="V102" s="167">
        <v>554.30399999999997</v>
      </c>
      <c r="W102" s="177"/>
      <c r="X102" s="177"/>
      <c r="Y102" s="177"/>
      <c r="Z102" s="177"/>
      <c r="AA102" s="168">
        <f t="shared" si="259"/>
        <v>554.30399999999997</v>
      </c>
      <c r="AB102" s="168">
        <f t="shared" si="246"/>
        <v>5477.2170000000006</v>
      </c>
      <c r="AC102" s="242"/>
      <c r="AD102" s="224"/>
      <c r="AE102" s="224"/>
      <c r="AF102" s="224">
        <v>6519.52</v>
      </c>
      <c r="AG102" s="243"/>
      <c r="AH102" s="168">
        <f>SUM(AC102:AG102)</f>
        <v>6519.52</v>
      </c>
      <c r="AI102" s="242"/>
      <c r="AJ102" s="224"/>
      <c r="AK102" s="224"/>
      <c r="AL102" s="224"/>
      <c r="AM102" s="243"/>
      <c r="AN102" s="168">
        <f t="shared" si="247"/>
        <v>0</v>
      </c>
      <c r="AO102" s="242"/>
      <c r="AP102" s="224"/>
      <c r="AQ102" s="224"/>
      <c r="AR102" s="224"/>
      <c r="AS102" s="243"/>
      <c r="AT102" s="168">
        <f t="shared" si="261"/>
        <v>0</v>
      </c>
      <c r="AU102" s="242"/>
      <c r="AV102" s="224"/>
      <c r="AW102" s="224"/>
      <c r="AX102" s="224"/>
      <c r="AY102" s="243">
        <v>6443.866</v>
      </c>
      <c r="AZ102" s="168">
        <f t="shared" si="262"/>
        <v>6443.866</v>
      </c>
      <c r="BA102" s="168">
        <f t="shared" si="263"/>
        <v>12963.386</v>
      </c>
      <c r="BB102" s="242"/>
      <c r="BC102" s="224"/>
      <c r="BD102" s="224"/>
      <c r="BE102" s="224">
        <f>4169.666+84.71</f>
        <v>4254.3760000000002</v>
      </c>
      <c r="BF102" s="243"/>
      <c r="BG102" s="168">
        <f t="shared" si="264"/>
        <v>4254.3760000000002</v>
      </c>
      <c r="BH102" s="242"/>
      <c r="BI102" s="224"/>
      <c r="BJ102" s="224">
        <v>250</v>
      </c>
      <c r="BK102" s="224"/>
      <c r="BL102" s="243"/>
      <c r="BM102" s="168">
        <f t="shared" si="248"/>
        <v>250</v>
      </c>
      <c r="BN102" s="242"/>
      <c r="BO102" s="224"/>
      <c r="BP102" s="224"/>
      <c r="BQ102" s="243"/>
      <c r="BR102" s="168">
        <f t="shared" si="249"/>
        <v>0</v>
      </c>
      <c r="BS102" s="242"/>
      <c r="BT102" s="224"/>
      <c r="BU102" s="224"/>
      <c r="BV102" s="224"/>
      <c r="BW102" s="243"/>
      <c r="BX102" s="168">
        <f t="shared" si="265"/>
        <v>0</v>
      </c>
      <c r="BY102" s="242"/>
      <c r="BZ102" s="224"/>
      <c r="CA102" s="168">
        <f t="shared" si="266"/>
        <v>0</v>
      </c>
      <c r="CB102" s="168">
        <f t="shared" si="267"/>
        <v>4504.3760000000002</v>
      </c>
      <c r="CC102" s="242"/>
      <c r="CD102" s="224">
        <f>16788.766+15029.666</f>
        <v>31818.432000000001</v>
      </c>
      <c r="CE102" s="224"/>
      <c r="CF102" s="168">
        <f t="shared" si="250"/>
        <v>31818.432000000001</v>
      </c>
      <c r="CG102" s="242"/>
      <c r="CH102" s="224">
        <v>40000</v>
      </c>
      <c r="CI102" s="224">
        <v>42.354999999999997</v>
      </c>
      <c r="CJ102" s="243">
        <v>400</v>
      </c>
      <c r="CK102" s="168">
        <f t="shared" si="268"/>
        <v>40442.355000000003</v>
      </c>
      <c r="CL102" s="242"/>
      <c r="CM102" s="224"/>
      <c r="CN102" s="224">
        <f>2600+964.1</f>
        <v>3564.1</v>
      </c>
      <c r="CO102" s="224"/>
      <c r="CP102" s="243"/>
      <c r="CQ102" s="168">
        <f t="shared" si="269"/>
        <v>3564.1</v>
      </c>
      <c r="CR102" s="242"/>
      <c r="CS102" s="224"/>
      <c r="CT102" s="224"/>
      <c r="CU102" s="224"/>
      <c r="CV102" s="243"/>
      <c r="CW102" s="168">
        <f t="shared" si="270"/>
        <v>0</v>
      </c>
      <c r="CX102" s="242"/>
      <c r="CY102" s="224"/>
      <c r="CZ102" s="224"/>
      <c r="DA102" s="243">
        <v>1000</v>
      </c>
      <c r="DB102" s="168">
        <f t="shared" si="251"/>
        <v>1000</v>
      </c>
      <c r="DC102" s="168">
        <f t="shared" si="271"/>
        <v>76824.887000000002</v>
      </c>
      <c r="DD102" s="242"/>
      <c r="DE102" s="224">
        <v>5783.6660000000002</v>
      </c>
      <c r="DF102" s="224">
        <f>11409.666+900</f>
        <v>12309.665999999999</v>
      </c>
      <c r="DG102" s="224"/>
      <c r="DH102" s="224">
        <v>200</v>
      </c>
      <c r="DI102" s="168">
        <f t="shared" si="272"/>
        <v>18293.331999999999</v>
      </c>
      <c r="DJ102" s="242"/>
      <c r="DK102" s="224"/>
      <c r="DL102" s="224"/>
      <c r="DM102" s="224">
        <v>150</v>
      </c>
      <c r="DN102" s="243"/>
      <c r="DO102" s="168">
        <f t="shared" si="273"/>
        <v>150</v>
      </c>
      <c r="DP102" s="242"/>
      <c r="DQ102" s="224"/>
      <c r="DR102" s="224"/>
      <c r="DS102" s="224"/>
      <c r="DT102" s="243"/>
      <c r="DU102" s="239">
        <f t="shared" si="274"/>
        <v>0</v>
      </c>
      <c r="DV102" s="242"/>
      <c r="DW102" s="224"/>
      <c r="DX102" s="224"/>
      <c r="DY102" s="224"/>
      <c r="DZ102" s="243"/>
      <c r="EA102" s="168">
        <f t="shared" si="275"/>
        <v>0</v>
      </c>
      <c r="EB102" s="168">
        <f t="shared" si="276"/>
        <v>18443.331999999999</v>
      </c>
      <c r="EC102" s="242"/>
      <c r="ED102" s="224"/>
      <c r="EE102" s="224">
        <v>200</v>
      </c>
      <c r="EF102" s="224"/>
      <c r="EG102" s="243"/>
      <c r="EH102" s="168">
        <f t="shared" si="277"/>
        <v>200</v>
      </c>
      <c r="EI102" s="242"/>
      <c r="EJ102" s="224">
        <v>250</v>
      </c>
      <c r="EK102" s="224"/>
      <c r="EL102" s="224"/>
      <c r="EM102" s="243"/>
      <c r="EN102" s="168">
        <f t="shared" si="278"/>
        <v>250</v>
      </c>
      <c r="EO102" s="242"/>
      <c r="EP102" s="224">
        <v>4720.6660000000002</v>
      </c>
      <c r="EQ102" s="224"/>
      <c r="ER102" s="224"/>
      <c r="ES102" s="243"/>
      <c r="ET102" s="238">
        <f t="shared" si="279"/>
        <v>4720.6660000000002</v>
      </c>
      <c r="EU102" s="242"/>
      <c r="EV102" s="224"/>
      <c r="EW102" s="224"/>
      <c r="EX102" s="224"/>
      <c r="EY102" s="224"/>
      <c r="EZ102" s="224"/>
      <c r="FA102" s="243"/>
      <c r="FB102" s="168">
        <f t="shared" si="252"/>
        <v>0</v>
      </c>
      <c r="FC102" s="168">
        <f t="shared" si="280"/>
        <v>5170.6660000000002</v>
      </c>
      <c r="FD102" s="242"/>
      <c r="FE102" s="224"/>
      <c r="FF102" s="243">
        <v>250</v>
      </c>
      <c r="FG102" s="168">
        <f t="shared" si="281"/>
        <v>250</v>
      </c>
      <c r="FH102" s="242">
        <v>1730.066</v>
      </c>
      <c r="FI102" s="224"/>
      <c r="FJ102" s="224"/>
      <c r="FK102" s="224">
        <f>200+4169.666</f>
        <v>4369.6660000000002</v>
      </c>
      <c r="FL102" s="243"/>
      <c r="FM102" s="168">
        <f t="shared" si="282"/>
        <v>6099.732</v>
      </c>
      <c r="FN102" s="242"/>
      <c r="FO102" s="224"/>
      <c r="FP102" s="224"/>
      <c r="FQ102" s="224"/>
      <c r="FR102" s="168">
        <f t="shared" si="253"/>
        <v>0</v>
      </c>
      <c r="FS102" s="242"/>
      <c r="FT102" s="224"/>
      <c r="FU102" s="224"/>
      <c r="FV102" s="224"/>
      <c r="FW102" s="243"/>
      <c r="FX102" s="168">
        <f t="shared" si="283"/>
        <v>0</v>
      </c>
      <c r="FY102" s="242"/>
      <c r="FZ102" s="224"/>
      <c r="GA102" s="224"/>
      <c r="GB102" s="224"/>
      <c r="GC102" s="243"/>
      <c r="GD102" s="168">
        <f t="shared" si="284"/>
        <v>0</v>
      </c>
      <c r="GE102" s="168">
        <f t="shared" si="254"/>
        <v>6349.732</v>
      </c>
      <c r="GF102" s="242"/>
      <c r="GG102" s="224"/>
      <c r="GH102" s="224"/>
      <c r="GI102" s="224"/>
      <c r="GJ102" s="224"/>
      <c r="GK102" s="168">
        <f t="shared" si="285"/>
        <v>0</v>
      </c>
      <c r="GL102" s="242"/>
      <c r="GM102" s="224"/>
      <c r="GN102" s="224"/>
      <c r="GO102" s="243"/>
      <c r="GP102" s="168">
        <f t="shared" si="286"/>
        <v>0</v>
      </c>
      <c r="GQ102" s="242"/>
      <c r="GR102" s="224"/>
      <c r="GS102" s="224"/>
      <c r="GT102" s="224"/>
      <c r="GU102" s="243"/>
      <c r="GV102" s="168">
        <f t="shared" si="287"/>
        <v>0</v>
      </c>
      <c r="GW102" s="242"/>
      <c r="GX102" s="224"/>
      <c r="GY102" s="224"/>
      <c r="GZ102" s="224"/>
      <c r="HA102" s="224"/>
      <c r="HB102" s="243"/>
      <c r="HC102" s="168">
        <f t="shared" si="288"/>
        <v>0</v>
      </c>
      <c r="HD102" s="168">
        <f t="shared" si="289"/>
        <v>0</v>
      </c>
      <c r="HE102" s="242"/>
      <c r="HF102" s="224">
        <v>400</v>
      </c>
      <c r="HG102" s="224"/>
      <c r="HH102" s="224"/>
      <c r="HI102" s="168">
        <f t="shared" si="290"/>
        <v>400</v>
      </c>
      <c r="HJ102" s="242">
        <v>15593.665999999999</v>
      </c>
      <c r="HK102" s="224"/>
      <c r="HL102" s="224"/>
      <c r="HM102" s="224"/>
      <c r="HN102" s="243"/>
      <c r="HO102" s="239">
        <f t="shared" si="291"/>
        <v>15593.665999999999</v>
      </c>
      <c r="HP102" s="242"/>
      <c r="HQ102" s="224"/>
      <c r="HR102" s="224"/>
      <c r="HS102" s="224"/>
      <c r="HT102" s="243"/>
      <c r="HU102" s="168">
        <f t="shared" si="292"/>
        <v>0</v>
      </c>
      <c r="HV102" s="242"/>
      <c r="HW102" s="224"/>
      <c r="HX102" s="224"/>
      <c r="HY102" s="168">
        <f t="shared" si="255"/>
        <v>0</v>
      </c>
      <c r="HZ102" s="242"/>
      <c r="IA102" s="224"/>
      <c r="IB102" s="243"/>
      <c r="IC102" s="168">
        <f t="shared" si="256"/>
        <v>0</v>
      </c>
      <c r="ID102" s="168">
        <f t="shared" si="257"/>
        <v>15993.665999999999</v>
      </c>
      <c r="IE102" s="242"/>
      <c r="IF102" s="243"/>
      <c r="IG102" s="168">
        <f t="shared" si="293"/>
        <v>0</v>
      </c>
      <c r="IH102" s="242"/>
      <c r="II102" s="224"/>
      <c r="IJ102" s="224"/>
      <c r="IK102" s="224"/>
      <c r="IL102" s="243"/>
      <c r="IM102" s="168">
        <f t="shared" si="294"/>
        <v>0</v>
      </c>
      <c r="IN102" s="242"/>
      <c r="IO102" s="224"/>
      <c r="IP102" s="243"/>
      <c r="IQ102" s="168">
        <f t="shared" si="295"/>
        <v>0</v>
      </c>
      <c r="IR102" s="242">
        <v>200</v>
      </c>
      <c r="IS102" s="224"/>
      <c r="IT102" s="224"/>
      <c r="IU102" s="224"/>
      <c r="IV102" s="243"/>
      <c r="IW102" s="168">
        <f t="shared" si="296"/>
        <v>200</v>
      </c>
      <c r="IX102" s="242"/>
      <c r="IY102" s="224"/>
      <c r="IZ102" s="224"/>
      <c r="JA102" s="224"/>
      <c r="JB102" s="243"/>
      <c r="JC102" s="168">
        <f t="shared" si="297"/>
        <v>0</v>
      </c>
      <c r="JD102" s="168">
        <f t="shared" si="298"/>
        <v>200</v>
      </c>
      <c r="JE102" s="167"/>
      <c r="JF102" s="224"/>
      <c r="JG102" s="224"/>
      <c r="JH102" s="224"/>
      <c r="JI102" s="243"/>
      <c r="JJ102" s="168">
        <f t="shared" si="299"/>
        <v>0</v>
      </c>
      <c r="JK102" s="242"/>
      <c r="JL102" s="224"/>
      <c r="JM102" s="224"/>
      <c r="JN102" s="224"/>
      <c r="JO102" s="243"/>
      <c r="JP102" s="168">
        <f t="shared" si="300"/>
        <v>0</v>
      </c>
      <c r="JQ102" s="242"/>
      <c r="JR102" s="224"/>
      <c r="JS102" s="224"/>
      <c r="JT102" s="224"/>
      <c r="JU102" s="243"/>
      <c r="JV102" s="168">
        <f t="shared" si="301"/>
        <v>0</v>
      </c>
      <c r="JW102" s="242"/>
      <c r="JX102" s="224"/>
      <c r="JY102" s="224"/>
      <c r="JZ102" s="224"/>
      <c r="KA102" s="224"/>
      <c r="KB102" s="243"/>
      <c r="KC102" s="168">
        <f t="shared" si="302"/>
        <v>0</v>
      </c>
      <c r="KD102" s="168">
        <f t="shared" si="309"/>
        <v>0</v>
      </c>
      <c r="KE102" s="242"/>
      <c r="KF102" s="224"/>
      <c r="KG102" s="224"/>
      <c r="KH102" s="224"/>
      <c r="KI102" s="243"/>
      <c r="KJ102" s="168">
        <f t="shared" si="303"/>
        <v>0</v>
      </c>
      <c r="KK102" s="242"/>
      <c r="KL102" s="224"/>
      <c r="KM102" s="224"/>
      <c r="KN102" s="224"/>
      <c r="KO102" s="243"/>
      <c r="KP102" s="168">
        <f t="shared" si="304"/>
        <v>0</v>
      </c>
      <c r="KQ102" s="242"/>
      <c r="KR102" s="224"/>
      <c r="KS102" s="224"/>
      <c r="KT102" s="224"/>
      <c r="KU102" s="243"/>
      <c r="KV102" s="168">
        <f t="shared" si="305"/>
        <v>0</v>
      </c>
      <c r="KW102" s="242"/>
      <c r="KX102" s="224"/>
      <c r="KY102" s="224"/>
      <c r="KZ102" s="224"/>
      <c r="LA102" s="243"/>
      <c r="LB102" s="168">
        <f t="shared" si="306"/>
        <v>0</v>
      </c>
      <c r="LC102" s="181"/>
      <c r="LD102" s="238"/>
      <c r="LE102" s="239"/>
      <c r="LF102" s="168">
        <f t="shared" si="307"/>
        <v>0</v>
      </c>
      <c r="LG102" s="168">
        <f t="shared" si="308"/>
        <v>0</v>
      </c>
    </row>
    <row r="103" spans="2:319" s="91" customFormat="1">
      <c r="B103" s="167" t="s">
        <v>399</v>
      </c>
      <c r="C103" s="167">
        <f>C11</f>
        <v>0</v>
      </c>
      <c r="D103" s="181">
        <f t="shared" si="243"/>
        <v>0</v>
      </c>
      <c r="E103" s="167">
        <f>E11</f>
        <v>0</v>
      </c>
      <c r="F103" s="177">
        <f>F11</f>
        <v>150000</v>
      </c>
      <c r="G103" s="177">
        <f>G11</f>
        <v>0</v>
      </c>
      <c r="H103" s="177">
        <f>H11</f>
        <v>0</v>
      </c>
      <c r="I103" s="178">
        <f>I11</f>
        <v>120000</v>
      </c>
      <c r="J103" s="181">
        <f>SUM(E103:I103)</f>
        <v>270000</v>
      </c>
      <c r="K103" s="167">
        <f>K11</f>
        <v>0</v>
      </c>
      <c r="L103" s="177">
        <f>L11</f>
        <v>150000</v>
      </c>
      <c r="M103" s="177">
        <f>M11</f>
        <v>0</v>
      </c>
      <c r="N103" s="178">
        <f>N11</f>
        <v>0</v>
      </c>
      <c r="O103" s="181">
        <f t="shared" si="245"/>
        <v>150000</v>
      </c>
      <c r="P103" s="167">
        <f>P11</f>
        <v>0</v>
      </c>
      <c r="Q103" s="177">
        <f>Q11</f>
        <v>0</v>
      </c>
      <c r="R103" s="177">
        <f>R11</f>
        <v>50000</v>
      </c>
      <c r="S103" s="177">
        <f>S11</f>
        <v>0</v>
      </c>
      <c r="T103" s="178">
        <f>T11</f>
        <v>0</v>
      </c>
      <c r="U103" s="181">
        <f t="shared" si="258"/>
        <v>50000</v>
      </c>
      <c r="V103" s="167">
        <f>V11</f>
        <v>200000</v>
      </c>
      <c r="W103" s="177">
        <f>W11</f>
        <v>0</v>
      </c>
      <c r="X103" s="177">
        <f>X11</f>
        <v>100000</v>
      </c>
      <c r="Y103" s="177">
        <f>Y11</f>
        <v>45000</v>
      </c>
      <c r="Z103" s="178">
        <f>Z11</f>
        <v>0</v>
      </c>
      <c r="AA103" s="168">
        <f t="shared" si="259"/>
        <v>345000</v>
      </c>
      <c r="AB103" s="168">
        <f t="shared" si="246"/>
        <v>815000</v>
      </c>
      <c r="AC103" s="242">
        <f>AC11</f>
        <v>0</v>
      </c>
      <c r="AD103" s="224">
        <f>AD11</f>
        <v>0</v>
      </c>
      <c r="AE103" s="224">
        <f>AE11</f>
        <v>0</v>
      </c>
      <c r="AF103" s="224">
        <f>AF11</f>
        <v>0</v>
      </c>
      <c r="AG103" s="243">
        <f>AG11</f>
        <v>0</v>
      </c>
      <c r="AH103" s="168">
        <f t="shared" si="260"/>
        <v>0</v>
      </c>
      <c r="AI103" s="242">
        <f>AI11</f>
        <v>0</v>
      </c>
      <c r="AJ103" s="224">
        <f>AJ11</f>
        <v>0</v>
      </c>
      <c r="AK103" s="224">
        <f>AK11</f>
        <v>0</v>
      </c>
      <c r="AL103" s="224">
        <f>AL11</f>
        <v>100000</v>
      </c>
      <c r="AM103" s="243">
        <f>AM11</f>
        <v>0</v>
      </c>
      <c r="AN103" s="168">
        <f t="shared" si="247"/>
        <v>100000</v>
      </c>
      <c r="AO103" s="242">
        <f>AO11</f>
        <v>0</v>
      </c>
      <c r="AP103" s="224">
        <f>AP11</f>
        <v>0</v>
      </c>
      <c r="AQ103" s="224">
        <f>AQ11</f>
        <v>0</v>
      </c>
      <c r="AR103" s="224">
        <f>AR11</f>
        <v>50000</v>
      </c>
      <c r="AS103" s="243">
        <f>AS11</f>
        <v>0</v>
      </c>
      <c r="AT103" s="168">
        <f t="shared" si="261"/>
        <v>50000</v>
      </c>
      <c r="AU103" s="242">
        <f>AU11</f>
        <v>200000</v>
      </c>
      <c r="AV103" s="224">
        <f>AV11</f>
        <v>0</v>
      </c>
      <c r="AW103" s="224">
        <f>AW11</f>
        <v>0</v>
      </c>
      <c r="AX103" s="224">
        <f>AX11</f>
        <v>0</v>
      </c>
      <c r="AY103" s="243">
        <f>AY11</f>
        <v>0</v>
      </c>
      <c r="AZ103" s="168">
        <f t="shared" si="262"/>
        <v>200000</v>
      </c>
      <c r="BA103" s="168">
        <f>AZ103+AT103+AN103+AH103</f>
        <v>350000</v>
      </c>
      <c r="BB103" s="242">
        <f>BB11</f>
        <v>150000</v>
      </c>
      <c r="BC103" s="224">
        <f>BC11</f>
        <v>0</v>
      </c>
      <c r="BD103" s="224">
        <f>BD11</f>
        <v>100000</v>
      </c>
      <c r="BE103" s="224">
        <f>BE11</f>
        <v>0</v>
      </c>
      <c r="BF103" s="243">
        <f>BF11</f>
        <v>0</v>
      </c>
      <c r="BG103" s="168">
        <f t="shared" si="264"/>
        <v>250000</v>
      </c>
      <c r="BH103" s="242">
        <f t="shared" ref="BH103:CA103" si="310">BH11</f>
        <v>150000</v>
      </c>
      <c r="BI103" s="224">
        <f t="shared" si="310"/>
        <v>0</v>
      </c>
      <c r="BJ103" s="224">
        <f t="shared" si="310"/>
        <v>40000</v>
      </c>
      <c r="BK103" s="224">
        <f t="shared" si="310"/>
        <v>0</v>
      </c>
      <c r="BL103" s="243">
        <f t="shared" si="310"/>
        <v>200000</v>
      </c>
      <c r="BM103" s="168">
        <f t="shared" si="248"/>
        <v>390000</v>
      </c>
      <c r="BN103" s="242">
        <f t="shared" si="310"/>
        <v>0</v>
      </c>
      <c r="BO103" s="224">
        <f t="shared" si="310"/>
        <v>100000</v>
      </c>
      <c r="BP103" s="224">
        <f t="shared" si="310"/>
        <v>0</v>
      </c>
      <c r="BQ103" s="243">
        <f t="shared" si="310"/>
        <v>0</v>
      </c>
      <c r="BR103" s="168">
        <f t="shared" si="249"/>
        <v>100000</v>
      </c>
      <c r="BS103" s="242">
        <f t="shared" si="310"/>
        <v>150000</v>
      </c>
      <c r="BT103" s="224">
        <f t="shared" si="310"/>
        <v>40000</v>
      </c>
      <c r="BU103" s="224">
        <f t="shared" si="310"/>
        <v>0</v>
      </c>
      <c r="BV103" s="224">
        <f t="shared" si="310"/>
        <v>170000</v>
      </c>
      <c r="BW103" s="243">
        <f t="shared" si="310"/>
        <v>30000</v>
      </c>
      <c r="BX103" s="168">
        <f>BX11</f>
        <v>390000</v>
      </c>
      <c r="BY103" s="242">
        <f t="shared" si="310"/>
        <v>0</v>
      </c>
      <c r="BZ103" s="224">
        <f t="shared" si="310"/>
        <v>120000</v>
      </c>
      <c r="CA103" s="168">
        <f t="shared" si="310"/>
        <v>120000</v>
      </c>
      <c r="CB103" s="168">
        <f t="shared" si="267"/>
        <v>1250000</v>
      </c>
      <c r="CC103" s="242">
        <f>CC11</f>
        <v>0</v>
      </c>
      <c r="CD103" s="224">
        <f>CD11</f>
        <v>120000</v>
      </c>
      <c r="CE103" s="224">
        <f>CE11</f>
        <v>0</v>
      </c>
      <c r="CF103" s="168">
        <f t="shared" si="250"/>
        <v>120000</v>
      </c>
      <c r="CG103" s="242">
        <f>CG11</f>
        <v>100000</v>
      </c>
      <c r="CH103" s="224">
        <f>CH11</f>
        <v>0</v>
      </c>
      <c r="CI103" s="224">
        <f>CI11</f>
        <v>0</v>
      </c>
      <c r="CJ103" s="243">
        <f>CJ11</f>
        <v>0</v>
      </c>
      <c r="CK103" s="168">
        <f t="shared" si="268"/>
        <v>100000</v>
      </c>
      <c r="CL103" s="242">
        <f t="shared" ref="CL103:CV103" si="311">CL11</f>
        <v>0</v>
      </c>
      <c r="CM103" s="224">
        <f t="shared" si="311"/>
        <v>0</v>
      </c>
      <c r="CN103" s="224">
        <f t="shared" si="311"/>
        <v>150000</v>
      </c>
      <c r="CO103" s="224">
        <f t="shared" si="311"/>
        <v>1000</v>
      </c>
      <c r="CP103" s="243">
        <f t="shared" si="311"/>
        <v>0</v>
      </c>
      <c r="CQ103" s="168">
        <f t="shared" si="269"/>
        <v>151000</v>
      </c>
      <c r="CR103" s="242">
        <f t="shared" si="311"/>
        <v>0</v>
      </c>
      <c r="CS103" s="224">
        <f t="shared" si="311"/>
        <v>150000</v>
      </c>
      <c r="CT103" s="224">
        <f t="shared" si="311"/>
        <v>0</v>
      </c>
      <c r="CU103" s="224">
        <f t="shared" si="311"/>
        <v>0</v>
      </c>
      <c r="CV103" s="243">
        <f t="shared" si="311"/>
        <v>130000</v>
      </c>
      <c r="CW103" s="168">
        <f t="shared" si="270"/>
        <v>280000</v>
      </c>
      <c r="CX103" s="242">
        <f>CX11</f>
        <v>0</v>
      </c>
      <c r="CY103" s="224">
        <f>CY11</f>
        <v>0</v>
      </c>
      <c r="CZ103" s="224">
        <f>CZ11</f>
        <v>0</v>
      </c>
      <c r="DA103" s="243">
        <f>DA11</f>
        <v>150000</v>
      </c>
      <c r="DB103" s="168">
        <f t="shared" si="251"/>
        <v>150000</v>
      </c>
      <c r="DC103" s="168">
        <f>DB103+CW103+CQ103+CK103+CF103</f>
        <v>801000</v>
      </c>
      <c r="DD103" s="242">
        <f>DD11</f>
        <v>50000</v>
      </c>
      <c r="DE103" s="224">
        <f>DE11</f>
        <v>0</v>
      </c>
      <c r="DF103" s="224">
        <f>DF11</f>
        <v>50000</v>
      </c>
      <c r="DG103" s="224">
        <f>DG11</f>
        <v>0</v>
      </c>
      <c r="DH103" s="224">
        <f>DH11</f>
        <v>0</v>
      </c>
      <c r="DI103" s="168">
        <f t="shared" si="272"/>
        <v>100000</v>
      </c>
      <c r="DJ103" s="242">
        <f>DJ11</f>
        <v>110000</v>
      </c>
      <c r="DK103" s="224">
        <f>DK11</f>
        <v>0</v>
      </c>
      <c r="DL103" s="224">
        <f>DL11</f>
        <v>0</v>
      </c>
      <c r="DM103" s="224">
        <f>DM11</f>
        <v>0</v>
      </c>
      <c r="DN103" s="243">
        <f>DN11</f>
        <v>0</v>
      </c>
      <c r="DO103" s="168">
        <f t="shared" si="273"/>
        <v>110000</v>
      </c>
      <c r="DP103" s="242">
        <f>DP11</f>
        <v>0</v>
      </c>
      <c r="DQ103" s="224">
        <f>DQ11</f>
        <v>80000</v>
      </c>
      <c r="DR103" s="224">
        <f>DR11</f>
        <v>100000</v>
      </c>
      <c r="DS103" s="224">
        <f>DS11</f>
        <v>0</v>
      </c>
      <c r="DT103" s="243">
        <f>DT11</f>
        <v>0</v>
      </c>
      <c r="DU103" s="239">
        <f>SUM(DP103:DT103)</f>
        <v>180000</v>
      </c>
      <c r="DV103" s="242">
        <f>DV11</f>
        <v>0</v>
      </c>
      <c r="DW103" s="224">
        <f>DW11</f>
        <v>0</v>
      </c>
      <c r="DX103" s="224">
        <f>DX11</f>
        <v>0</v>
      </c>
      <c r="DY103" s="224">
        <f>DY11</f>
        <v>0</v>
      </c>
      <c r="DZ103" s="243">
        <f>DZ11</f>
        <v>0</v>
      </c>
      <c r="EA103" s="168">
        <f t="shared" si="275"/>
        <v>0</v>
      </c>
      <c r="EB103" s="168">
        <f>EA103+DU103+DO103+DI103</f>
        <v>390000</v>
      </c>
      <c r="EC103" s="242">
        <f>EC11</f>
        <v>60000</v>
      </c>
      <c r="ED103" s="224">
        <f>ED11</f>
        <v>50000</v>
      </c>
      <c r="EE103" s="224">
        <f>EE11</f>
        <v>0</v>
      </c>
      <c r="EF103" s="224">
        <f>EF11</f>
        <v>0</v>
      </c>
      <c r="EG103" s="243">
        <f>EG11</f>
        <v>0</v>
      </c>
      <c r="EH103" s="168">
        <f t="shared" si="277"/>
        <v>110000</v>
      </c>
      <c r="EI103" s="242">
        <f t="shared" ref="EI103:ES103" si="312">EI11</f>
        <v>0</v>
      </c>
      <c r="EJ103" s="224">
        <f t="shared" si="312"/>
        <v>150000</v>
      </c>
      <c r="EK103" s="224">
        <f t="shared" si="312"/>
        <v>0</v>
      </c>
      <c r="EL103" s="224">
        <f t="shared" si="312"/>
        <v>75000</v>
      </c>
      <c r="EM103" s="243">
        <f t="shared" si="312"/>
        <v>0</v>
      </c>
      <c r="EN103" s="168">
        <f t="shared" si="278"/>
        <v>225000</v>
      </c>
      <c r="EO103" s="242">
        <f t="shared" si="312"/>
        <v>100000</v>
      </c>
      <c r="EP103" s="224">
        <f t="shared" si="312"/>
        <v>0</v>
      </c>
      <c r="EQ103" s="224">
        <f t="shared" si="312"/>
        <v>0</v>
      </c>
      <c r="ER103" s="224">
        <f t="shared" si="312"/>
        <v>70000</v>
      </c>
      <c r="ES103" s="243">
        <f t="shared" si="312"/>
        <v>0</v>
      </c>
      <c r="ET103" s="238">
        <f t="shared" si="279"/>
        <v>170000</v>
      </c>
      <c r="EU103" s="242">
        <f t="shared" ref="EU103:FA103" si="313">EU11</f>
        <v>0</v>
      </c>
      <c r="EV103" s="224">
        <f t="shared" si="313"/>
        <v>60000</v>
      </c>
      <c r="EW103" s="224">
        <f t="shared" si="313"/>
        <v>0</v>
      </c>
      <c r="EX103" s="224">
        <f t="shared" si="313"/>
        <v>0</v>
      </c>
      <c r="EY103" s="224">
        <f t="shared" si="313"/>
        <v>50000</v>
      </c>
      <c r="EZ103" s="224">
        <f>EZ11</f>
        <v>0</v>
      </c>
      <c r="FA103" s="243">
        <f t="shared" si="313"/>
        <v>0</v>
      </c>
      <c r="FB103" s="168">
        <f t="shared" si="252"/>
        <v>110000</v>
      </c>
      <c r="FC103" s="168">
        <f t="shared" si="280"/>
        <v>615000</v>
      </c>
      <c r="FD103" s="242">
        <f>FD11</f>
        <v>150000</v>
      </c>
      <c r="FE103" s="224">
        <f>FE11</f>
        <v>0</v>
      </c>
      <c r="FF103" s="243">
        <f>FF11</f>
        <v>0</v>
      </c>
      <c r="FG103" s="168">
        <f t="shared" si="281"/>
        <v>150000</v>
      </c>
      <c r="FH103" s="242">
        <f>FH11</f>
        <v>150000</v>
      </c>
      <c r="FI103" s="224">
        <f>FI11</f>
        <v>0</v>
      </c>
      <c r="FJ103" s="224">
        <f>FJ11</f>
        <v>0</v>
      </c>
      <c r="FK103" s="224">
        <f>FK11</f>
        <v>0</v>
      </c>
      <c r="FL103" s="243">
        <f>FL11</f>
        <v>0</v>
      </c>
      <c r="FM103" s="168">
        <f t="shared" si="282"/>
        <v>150000</v>
      </c>
      <c r="FN103" s="242"/>
      <c r="FO103" s="224"/>
      <c r="FP103" s="224"/>
      <c r="FQ103" s="224"/>
      <c r="FR103" s="168">
        <f t="shared" si="253"/>
        <v>0</v>
      </c>
      <c r="FS103" s="242">
        <f>FS11</f>
        <v>0</v>
      </c>
      <c r="FT103" s="224">
        <f>FT11</f>
        <v>0</v>
      </c>
      <c r="FU103" s="224">
        <f>FU11</f>
        <v>0</v>
      </c>
      <c r="FV103" s="224">
        <f>FV11</f>
        <v>150000</v>
      </c>
      <c r="FW103" s="243">
        <f>FW11</f>
        <v>0</v>
      </c>
      <c r="FX103" s="168">
        <f t="shared" si="283"/>
        <v>150000</v>
      </c>
      <c r="FY103" s="242">
        <f>FY11</f>
        <v>0</v>
      </c>
      <c r="FZ103" s="224">
        <f>FZ11</f>
        <v>0</v>
      </c>
      <c r="GA103" s="224">
        <f>GA11</f>
        <v>0</v>
      </c>
      <c r="GB103" s="224">
        <f>GB11</f>
        <v>0</v>
      </c>
      <c r="GC103" s="243">
        <f>GC11</f>
        <v>0</v>
      </c>
      <c r="GD103" s="168">
        <f t="shared" si="284"/>
        <v>0</v>
      </c>
      <c r="GE103" s="168">
        <f t="shared" si="254"/>
        <v>450000</v>
      </c>
      <c r="GF103" s="242">
        <f>GF11</f>
        <v>0</v>
      </c>
      <c r="GG103" s="224">
        <f>GG11</f>
        <v>0</v>
      </c>
      <c r="GH103" s="224">
        <f>GH11</f>
        <v>0</v>
      </c>
      <c r="GI103" s="224">
        <f>GI11</f>
        <v>0</v>
      </c>
      <c r="GJ103" s="224">
        <f>GJ11</f>
        <v>50000</v>
      </c>
      <c r="GK103" s="168">
        <f t="shared" si="285"/>
        <v>50000</v>
      </c>
      <c r="GL103" s="242">
        <f t="shared" ref="GL103:GQ103" si="314">GL11</f>
        <v>0</v>
      </c>
      <c r="GM103" s="224">
        <f t="shared" si="314"/>
        <v>150000</v>
      </c>
      <c r="GN103" s="224">
        <f t="shared" si="314"/>
        <v>0</v>
      </c>
      <c r="GO103" s="243">
        <f t="shared" si="314"/>
        <v>0</v>
      </c>
      <c r="GP103" s="168">
        <f t="shared" si="314"/>
        <v>150000</v>
      </c>
      <c r="GQ103" s="242">
        <f t="shared" si="314"/>
        <v>0</v>
      </c>
      <c r="GR103" s="224">
        <f>GR11</f>
        <v>40000</v>
      </c>
      <c r="GS103" s="224">
        <f>GS11</f>
        <v>0</v>
      </c>
      <c r="GT103" s="224">
        <f>GT11</f>
        <v>0</v>
      </c>
      <c r="GU103" s="243">
        <f>GU11</f>
        <v>40000</v>
      </c>
      <c r="GV103" s="168">
        <f t="shared" si="287"/>
        <v>80000</v>
      </c>
      <c r="GW103" s="242">
        <f t="shared" ref="GW103:HB103" si="315">GW11</f>
        <v>0</v>
      </c>
      <c r="GX103" s="224">
        <f t="shared" si="315"/>
        <v>0</v>
      </c>
      <c r="GY103" s="224">
        <f t="shared" si="315"/>
        <v>0</v>
      </c>
      <c r="GZ103" s="224">
        <f t="shared" si="315"/>
        <v>0</v>
      </c>
      <c r="HA103" s="224">
        <f t="shared" si="315"/>
        <v>0</v>
      </c>
      <c r="HB103" s="243">
        <f t="shared" si="315"/>
        <v>80000</v>
      </c>
      <c r="HC103" s="168">
        <f t="shared" si="288"/>
        <v>80000</v>
      </c>
      <c r="HD103" s="168">
        <f>GK103+GP103+GV103+HC103</f>
        <v>360000</v>
      </c>
      <c r="HE103" s="242">
        <f>HE11</f>
        <v>0</v>
      </c>
      <c r="HF103" s="224">
        <f>HF11</f>
        <v>0</v>
      </c>
      <c r="HG103" s="224">
        <f>HG11</f>
        <v>0</v>
      </c>
      <c r="HH103" s="224">
        <f>HH11</f>
        <v>120000</v>
      </c>
      <c r="HI103" s="168">
        <f t="shared" si="290"/>
        <v>120000</v>
      </c>
      <c r="HJ103" s="242">
        <f>HJ11</f>
        <v>35000</v>
      </c>
      <c r="HK103" s="224">
        <f t="shared" ref="HK103:HN103" si="316">HK11</f>
        <v>100000</v>
      </c>
      <c r="HL103" s="224">
        <f t="shared" si="316"/>
        <v>0</v>
      </c>
      <c r="HM103" s="224">
        <f t="shared" si="316"/>
        <v>0</v>
      </c>
      <c r="HN103" s="243">
        <f t="shared" si="316"/>
        <v>25000</v>
      </c>
      <c r="HO103" s="239">
        <f t="shared" si="291"/>
        <v>160000</v>
      </c>
      <c r="HP103" s="242">
        <f>HP11</f>
        <v>0</v>
      </c>
      <c r="HQ103" s="224">
        <f t="shared" ref="HQ103:HT103" si="317">HQ11</f>
        <v>50000</v>
      </c>
      <c r="HR103" s="224">
        <f t="shared" si="317"/>
        <v>190000</v>
      </c>
      <c r="HS103" s="224">
        <f t="shared" si="317"/>
        <v>0</v>
      </c>
      <c r="HT103" s="243">
        <f t="shared" si="317"/>
        <v>0</v>
      </c>
      <c r="HU103" s="168">
        <f t="shared" si="292"/>
        <v>240000</v>
      </c>
      <c r="HV103" s="242">
        <f>HV11</f>
        <v>0</v>
      </c>
      <c r="HW103" s="224">
        <f t="shared" ref="HW103:HX103" si="318">HW11</f>
        <v>0</v>
      </c>
      <c r="HX103" s="243">
        <f t="shared" si="318"/>
        <v>0</v>
      </c>
      <c r="HY103" s="168">
        <f t="shared" si="255"/>
        <v>0</v>
      </c>
      <c r="HZ103" s="242">
        <f>HZ11</f>
        <v>0</v>
      </c>
      <c r="IA103" s="224">
        <f t="shared" ref="IA103:IB103" si="319">IA11</f>
        <v>0</v>
      </c>
      <c r="IB103" s="243">
        <f t="shared" si="319"/>
        <v>100000</v>
      </c>
      <c r="IC103" s="168">
        <f t="shared" si="256"/>
        <v>100000</v>
      </c>
      <c r="ID103" s="168">
        <f t="shared" si="257"/>
        <v>620000</v>
      </c>
      <c r="IE103" s="242">
        <f>IE11</f>
        <v>0</v>
      </c>
      <c r="IF103" s="243">
        <f>IF11</f>
        <v>0</v>
      </c>
      <c r="IG103" s="168">
        <f t="shared" si="293"/>
        <v>0</v>
      </c>
      <c r="IH103" s="242">
        <f>IH11</f>
        <v>0</v>
      </c>
      <c r="II103" s="224">
        <f>II11</f>
        <v>0</v>
      </c>
      <c r="IJ103" s="224">
        <f>IJ11</f>
        <v>90000</v>
      </c>
      <c r="IK103" s="224">
        <f>IK11</f>
        <v>0</v>
      </c>
      <c r="IL103" s="243">
        <f>IL11</f>
        <v>0</v>
      </c>
      <c r="IM103" s="168">
        <f t="shared" si="294"/>
        <v>90000</v>
      </c>
      <c r="IN103" s="242">
        <f>IN11</f>
        <v>200000</v>
      </c>
      <c r="IO103" s="224">
        <f>IO11</f>
        <v>0</v>
      </c>
      <c r="IP103" s="243">
        <f>IP11</f>
        <v>0</v>
      </c>
      <c r="IQ103" s="168">
        <f t="shared" si="295"/>
        <v>200000</v>
      </c>
      <c r="IR103" s="242">
        <f>IR11</f>
        <v>70000</v>
      </c>
      <c r="IS103" s="224">
        <f t="shared" ref="IS103:IV103" si="320">IS11</f>
        <v>0</v>
      </c>
      <c r="IT103" s="224">
        <f t="shared" si="320"/>
        <v>40000</v>
      </c>
      <c r="IU103" s="224">
        <f t="shared" si="320"/>
        <v>200000</v>
      </c>
      <c r="IV103" s="243">
        <f t="shared" si="320"/>
        <v>0</v>
      </c>
      <c r="IW103" s="168">
        <f t="shared" si="296"/>
        <v>310000</v>
      </c>
      <c r="IX103" s="242">
        <f>IX11</f>
        <v>0</v>
      </c>
      <c r="IY103" s="224">
        <f t="shared" ref="IY103:JB103" si="321">IY11</f>
        <v>0</v>
      </c>
      <c r="IZ103" s="224">
        <f t="shared" si="321"/>
        <v>0</v>
      </c>
      <c r="JA103" s="224">
        <f t="shared" si="321"/>
        <v>0</v>
      </c>
      <c r="JB103" s="243">
        <f t="shared" si="321"/>
        <v>200000</v>
      </c>
      <c r="JC103" s="168">
        <f t="shared" si="297"/>
        <v>200000</v>
      </c>
      <c r="JD103" s="168">
        <f t="shared" si="298"/>
        <v>800000</v>
      </c>
      <c r="JE103" s="242">
        <f>JE11</f>
        <v>0</v>
      </c>
      <c r="JF103" s="224">
        <f t="shared" ref="JF103:JI103" si="322">JF11</f>
        <v>0</v>
      </c>
      <c r="JG103" s="224">
        <f t="shared" si="322"/>
        <v>0</v>
      </c>
      <c r="JH103" s="224">
        <f t="shared" si="322"/>
        <v>0</v>
      </c>
      <c r="JI103" s="243">
        <f t="shared" si="322"/>
        <v>0</v>
      </c>
      <c r="JJ103" s="168">
        <f t="shared" si="299"/>
        <v>0</v>
      </c>
      <c r="JK103" s="242"/>
      <c r="JL103" s="224"/>
      <c r="JM103" s="224"/>
      <c r="JN103" s="224"/>
      <c r="JO103" s="243"/>
      <c r="JP103" s="168">
        <f t="shared" si="300"/>
        <v>0</v>
      </c>
      <c r="JQ103" s="242"/>
      <c r="JR103" s="224"/>
      <c r="JS103" s="224"/>
      <c r="JT103" s="224"/>
      <c r="JU103" s="243"/>
      <c r="JV103" s="168">
        <f t="shared" si="301"/>
        <v>0</v>
      </c>
      <c r="JW103" s="242"/>
      <c r="JX103" s="224"/>
      <c r="JY103" s="224"/>
      <c r="JZ103" s="224"/>
      <c r="KA103" s="224"/>
      <c r="KB103" s="243"/>
      <c r="KC103" s="168">
        <f t="shared" si="302"/>
        <v>0</v>
      </c>
      <c r="KD103" s="168">
        <f>+KD11</f>
        <v>0</v>
      </c>
      <c r="KE103" s="242"/>
      <c r="KF103" s="224"/>
      <c r="KG103" s="224"/>
      <c r="KH103" s="224"/>
      <c r="KI103" s="243"/>
      <c r="KJ103" s="168">
        <f t="shared" si="303"/>
        <v>0</v>
      </c>
      <c r="KK103" s="242"/>
      <c r="KL103" s="224"/>
      <c r="KM103" s="224"/>
      <c r="KN103" s="224"/>
      <c r="KO103" s="243"/>
      <c r="KP103" s="168">
        <f t="shared" si="304"/>
        <v>0</v>
      </c>
      <c r="KQ103" s="242"/>
      <c r="KR103" s="224"/>
      <c r="KS103" s="224"/>
      <c r="KT103" s="224"/>
      <c r="KU103" s="243"/>
      <c r="KV103" s="168">
        <f t="shared" si="305"/>
        <v>0</v>
      </c>
      <c r="KW103" s="242"/>
      <c r="KX103" s="224"/>
      <c r="KY103" s="224"/>
      <c r="KZ103" s="224"/>
      <c r="LA103" s="243"/>
      <c r="LB103" s="168">
        <f t="shared" si="306"/>
        <v>0</v>
      </c>
      <c r="LC103" s="181"/>
      <c r="LD103" s="238"/>
      <c r="LE103" s="239"/>
      <c r="LF103" s="168">
        <f t="shared" si="307"/>
        <v>0</v>
      </c>
      <c r="LG103" s="168">
        <f>+LG11</f>
        <v>280000</v>
      </c>
    </row>
    <row r="104" spans="2:319" s="91" customFormat="1">
      <c r="B104" s="167" t="s">
        <v>400</v>
      </c>
      <c r="C104" s="167"/>
      <c r="D104" s="181">
        <f t="shared" si="243"/>
        <v>0</v>
      </c>
      <c r="E104" s="167"/>
      <c r="F104" s="177"/>
      <c r="G104" s="177"/>
      <c r="H104" s="177"/>
      <c r="I104" s="178"/>
      <c r="J104" s="181">
        <f t="shared" si="244"/>
        <v>0</v>
      </c>
      <c r="K104" s="167"/>
      <c r="L104" s="177"/>
      <c r="M104" s="177"/>
      <c r="N104" s="178"/>
      <c r="O104" s="181">
        <f t="shared" si="245"/>
        <v>0</v>
      </c>
      <c r="P104" s="167"/>
      <c r="Q104" s="177"/>
      <c r="R104" s="177"/>
      <c r="S104" s="177"/>
      <c r="T104" s="178"/>
      <c r="U104" s="181">
        <f t="shared" si="258"/>
        <v>0</v>
      </c>
      <c r="V104" s="167"/>
      <c r="W104" s="177"/>
      <c r="X104" s="177"/>
      <c r="Y104" s="177"/>
      <c r="Z104" s="177"/>
      <c r="AA104" s="168">
        <f t="shared" si="259"/>
        <v>0</v>
      </c>
      <c r="AB104" s="168">
        <f t="shared" si="246"/>
        <v>0</v>
      </c>
      <c r="AC104" s="242"/>
      <c r="AD104" s="224"/>
      <c r="AE104" s="224"/>
      <c r="AF104" s="224"/>
      <c r="AG104" s="243">
        <f>517960.156-520000</f>
        <v>-2039.8439999999828</v>
      </c>
      <c r="AH104" s="168">
        <f t="shared" si="260"/>
        <v>-2039.8439999999828</v>
      </c>
      <c r="AI104" s="242"/>
      <c r="AJ104" s="224"/>
      <c r="AK104" s="224"/>
      <c r="AL104" s="224"/>
      <c r="AM104" s="243"/>
      <c r="AN104" s="168">
        <f t="shared" si="247"/>
        <v>0</v>
      </c>
      <c r="AO104" s="242"/>
      <c r="AP104" s="224"/>
      <c r="AQ104" s="224"/>
      <c r="AR104" s="224"/>
      <c r="AS104" s="243"/>
      <c r="AT104" s="168">
        <f t="shared" si="261"/>
        <v>0</v>
      </c>
      <c r="AU104" s="242"/>
      <c r="AV104" s="224"/>
      <c r="AW104" s="224"/>
      <c r="AX104" s="224"/>
      <c r="AY104" s="243"/>
      <c r="AZ104" s="168">
        <f t="shared" si="262"/>
        <v>0</v>
      </c>
      <c r="BA104" s="168">
        <f t="shared" si="263"/>
        <v>-2039.8439999999828</v>
      </c>
      <c r="BB104" s="242"/>
      <c r="BC104" s="224"/>
      <c r="BD104" s="224"/>
      <c r="BE104" s="224"/>
      <c r="BF104" s="243"/>
      <c r="BG104" s="168">
        <f t="shared" si="264"/>
        <v>0</v>
      </c>
      <c r="BH104" s="242"/>
      <c r="BI104" s="224">
        <f>517902.667-520000</f>
        <v>-2097.3329999999842</v>
      </c>
      <c r="BJ104" s="224"/>
      <c r="BK104" s="224"/>
      <c r="BL104" s="243"/>
      <c r="BM104" s="168">
        <f t="shared" si="248"/>
        <v>-2097.3329999999842</v>
      </c>
      <c r="BN104" s="242"/>
      <c r="BO104" s="224"/>
      <c r="BP104" s="224"/>
      <c r="BQ104" s="243"/>
      <c r="BR104" s="168">
        <f t="shared" si="249"/>
        <v>0</v>
      </c>
      <c r="BS104" s="242"/>
      <c r="BT104" s="224"/>
      <c r="BU104" s="224"/>
      <c r="BV104" s="224"/>
      <c r="BW104" s="243"/>
      <c r="BX104" s="168">
        <f t="shared" si="265"/>
        <v>0</v>
      </c>
      <c r="BY104" s="242"/>
      <c r="BZ104" s="224"/>
      <c r="CA104" s="168">
        <f t="shared" si="266"/>
        <v>0</v>
      </c>
      <c r="CB104" s="168">
        <f t="shared" si="267"/>
        <v>-2097.3329999999842</v>
      </c>
      <c r="CC104" s="242"/>
      <c r="CD104" s="224"/>
      <c r="CE104" s="224"/>
      <c r="CF104" s="168">
        <f t="shared" si="250"/>
        <v>0</v>
      </c>
      <c r="CG104" s="242"/>
      <c r="CH104" s="224"/>
      <c r="CI104" s="224"/>
      <c r="CJ104" s="243"/>
      <c r="CK104" s="168">
        <f t="shared" si="268"/>
        <v>0</v>
      </c>
      <c r="CL104" s="242"/>
      <c r="CM104" s="224"/>
      <c r="CN104" s="224"/>
      <c r="CO104" s="224"/>
      <c r="CP104" s="243"/>
      <c r="CQ104" s="168">
        <f t="shared" si="269"/>
        <v>0</v>
      </c>
      <c r="CR104" s="242"/>
      <c r="CS104" s="224"/>
      <c r="CT104" s="224"/>
      <c r="CU104" s="224"/>
      <c r="CV104" s="243"/>
      <c r="CW104" s="168">
        <f t="shared" si="270"/>
        <v>0</v>
      </c>
      <c r="CX104" s="242"/>
      <c r="CY104" s="224"/>
      <c r="CZ104" s="224"/>
      <c r="DA104" s="243"/>
      <c r="DB104" s="168">
        <f t="shared" si="251"/>
        <v>0</v>
      </c>
      <c r="DC104" s="168">
        <f t="shared" si="271"/>
        <v>0</v>
      </c>
      <c r="DD104" s="242"/>
      <c r="DE104" s="224"/>
      <c r="DF104" s="224"/>
      <c r="DG104" s="224">
        <f>163421.217+343666.479-520000-3058.611-505.556</f>
        <v>-16476.471000000005</v>
      </c>
      <c r="DH104" s="224"/>
      <c r="DI104" s="168">
        <f t="shared" si="272"/>
        <v>-16476.471000000005</v>
      </c>
      <c r="DJ104" s="242"/>
      <c r="DK104" s="224"/>
      <c r="DL104" s="224"/>
      <c r="DM104" s="224"/>
      <c r="DN104" s="243"/>
      <c r="DO104" s="168">
        <f t="shared" si="273"/>
        <v>0</v>
      </c>
      <c r="DP104" s="242"/>
      <c r="DQ104" s="224"/>
      <c r="DR104" s="224"/>
      <c r="DS104" s="224"/>
      <c r="DT104" s="243"/>
      <c r="DU104" s="239">
        <f t="shared" si="274"/>
        <v>0</v>
      </c>
      <c r="DV104" s="242"/>
      <c r="DW104" s="224"/>
      <c r="DX104" s="224"/>
      <c r="DY104" s="224"/>
      <c r="DZ104" s="243"/>
      <c r="EA104" s="168">
        <f t="shared" si="275"/>
        <v>0</v>
      </c>
      <c r="EB104" s="168">
        <f t="shared" si="276"/>
        <v>-16476.471000000005</v>
      </c>
      <c r="EC104" s="242"/>
      <c r="ED104" s="224"/>
      <c r="EE104" s="224"/>
      <c r="EF104" s="224"/>
      <c r="EG104" s="243"/>
      <c r="EH104" s="168">
        <f t="shared" si="277"/>
        <v>0</v>
      </c>
      <c r="EI104" s="242"/>
      <c r="EJ104" s="224">
        <f>340153.9-345000+161888.318-164000</f>
        <v>-6957.7819999999774</v>
      </c>
      <c r="EK104" s="224"/>
      <c r="EL104" s="224">
        <f>104754.183+219484.956</f>
        <v>324239.13900000002</v>
      </c>
      <c r="EM104" s="243"/>
      <c r="EN104" s="168">
        <f t="shared" si="278"/>
        <v>317281.35700000008</v>
      </c>
      <c r="EO104" s="242"/>
      <c r="EP104" s="224"/>
      <c r="EQ104" s="224"/>
      <c r="ER104" s="224"/>
      <c r="ES104" s="243"/>
      <c r="ET104" s="238">
        <f t="shared" si="279"/>
        <v>0</v>
      </c>
      <c r="EU104" s="242"/>
      <c r="EV104" s="224"/>
      <c r="EW104" s="224"/>
      <c r="EX104" s="224"/>
      <c r="EY104" s="224"/>
      <c r="EZ104" s="224"/>
      <c r="FA104" s="243"/>
      <c r="FB104" s="168">
        <f t="shared" si="252"/>
        <v>0</v>
      </c>
      <c r="FC104" s="168">
        <f t="shared" si="280"/>
        <v>317281.35700000008</v>
      </c>
      <c r="FD104" s="242">
        <f>104525.925-105000+219006.7-220000</f>
        <v>-1467.375</v>
      </c>
      <c r="FE104" s="224"/>
      <c r="FF104" s="243"/>
      <c r="FG104" s="168">
        <f t="shared" si="281"/>
        <v>-1467.375</v>
      </c>
      <c r="FH104" s="242"/>
      <c r="FI104" s="224"/>
      <c r="FJ104" s="224"/>
      <c r="FK104" s="224"/>
      <c r="FL104" s="243"/>
      <c r="FM104" s="168">
        <f t="shared" si="282"/>
        <v>0</v>
      </c>
      <c r="FN104" s="242"/>
      <c r="FO104" s="224"/>
      <c r="FP104" s="224"/>
      <c r="FQ104" s="224"/>
      <c r="FR104" s="168">
        <f t="shared" si="253"/>
        <v>0</v>
      </c>
      <c r="FS104" s="242"/>
      <c r="FT104" s="224"/>
      <c r="FU104" s="224"/>
      <c r="FV104" s="224"/>
      <c r="FW104" s="243"/>
      <c r="FX104" s="168">
        <f t="shared" si="283"/>
        <v>0</v>
      </c>
      <c r="FY104" s="242"/>
      <c r="FZ104" s="224"/>
      <c r="GA104" s="224"/>
      <c r="GB104" s="224"/>
      <c r="GC104" s="243"/>
      <c r="GD104" s="168">
        <f t="shared" si="284"/>
        <v>0</v>
      </c>
      <c r="GE104" s="168">
        <f t="shared" si="254"/>
        <v>-1467.375</v>
      </c>
      <c r="GF104" s="242"/>
      <c r="GG104" s="224"/>
      <c r="GH104" s="224"/>
      <c r="GI104" s="224"/>
      <c r="GJ104" s="224"/>
      <c r="GK104" s="168">
        <f t="shared" si="285"/>
        <v>0</v>
      </c>
      <c r="GL104" s="242"/>
      <c r="GM104" s="224"/>
      <c r="GN104" s="224"/>
      <c r="GO104" s="243"/>
      <c r="GP104" s="168">
        <f t="shared" si="286"/>
        <v>0</v>
      </c>
      <c r="GQ104" s="242"/>
      <c r="GR104" s="224"/>
      <c r="GS104" s="224"/>
      <c r="GT104" s="224"/>
      <c r="GU104" s="243"/>
      <c r="GV104" s="168">
        <f t="shared" si="287"/>
        <v>0</v>
      </c>
      <c r="GW104" s="242"/>
      <c r="GX104" s="224"/>
      <c r="GY104" s="224"/>
      <c r="GZ104" s="224"/>
      <c r="HA104" s="224"/>
      <c r="HB104" s="243"/>
      <c r="HC104" s="168">
        <f t="shared" si="288"/>
        <v>0</v>
      </c>
      <c r="HD104" s="168">
        <f t="shared" si="289"/>
        <v>0</v>
      </c>
      <c r="HE104" s="242"/>
      <c r="HF104" s="224"/>
      <c r="HG104" s="224"/>
      <c r="HH104" s="224"/>
      <c r="HI104" s="168">
        <f t="shared" si="290"/>
        <v>0</v>
      </c>
      <c r="HJ104" s="242"/>
      <c r="HK104" s="224"/>
      <c r="HL104" s="224"/>
      <c r="HM104" s="224"/>
      <c r="HN104" s="243"/>
      <c r="HO104" s="239">
        <f t="shared" si="291"/>
        <v>0</v>
      </c>
      <c r="HP104" s="242"/>
      <c r="HQ104" s="224"/>
      <c r="HR104" s="224"/>
      <c r="HS104" s="224"/>
      <c r="HT104" s="243"/>
      <c r="HU104" s="168">
        <f t="shared" si="292"/>
        <v>0</v>
      </c>
      <c r="HV104" s="242"/>
      <c r="HW104" s="224">
        <f>-164000-105000-220000-135000</f>
        <v>-624000</v>
      </c>
      <c r="HX104" s="224"/>
      <c r="HY104" s="168">
        <f t="shared" si="255"/>
        <v>-624000</v>
      </c>
      <c r="HZ104" s="242"/>
      <c r="IA104" s="224"/>
      <c r="IB104" s="243"/>
      <c r="IC104" s="168">
        <f t="shared" si="256"/>
        <v>0</v>
      </c>
      <c r="ID104" s="168">
        <f t="shared" si="257"/>
        <v>-624000</v>
      </c>
      <c r="IE104" s="242"/>
      <c r="IF104" s="243"/>
      <c r="IG104" s="168">
        <f t="shared" si="293"/>
        <v>0</v>
      </c>
      <c r="IH104" s="242"/>
      <c r="II104" s="224"/>
      <c r="IJ104" s="177">
        <f>253806.033+164227.433</f>
        <v>418033.46600000001</v>
      </c>
      <c r="IK104" s="224"/>
      <c r="IL104" s="243"/>
      <c r="IM104" s="168">
        <f t="shared" si="294"/>
        <v>418033.46600000001</v>
      </c>
      <c r="IN104" s="242"/>
      <c r="IO104" s="224"/>
      <c r="IP104" s="243"/>
      <c r="IQ104" s="168">
        <f t="shared" si="295"/>
        <v>0</v>
      </c>
      <c r="IR104" s="242"/>
      <c r="IS104" s="224"/>
      <c r="IT104" s="224"/>
      <c r="IU104" s="224"/>
      <c r="IV104" s="243"/>
      <c r="IW104" s="168">
        <f t="shared" si="296"/>
        <v>0</v>
      </c>
      <c r="IX104" s="242"/>
      <c r="IY104" s="224"/>
      <c r="IZ104" s="224">
        <v>-210000</v>
      </c>
      <c r="JA104" s="224"/>
      <c r="JB104" s="243"/>
      <c r="JC104" s="168">
        <f t="shared" si="297"/>
        <v>-210000</v>
      </c>
      <c r="JD104" s="168">
        <f t="shared" si="298"/>
        <v>208033.46600000001</v>
      </c>
      <c r="JE104" s="242"/>
      <c r="JF104" s="224"/>
      <c r="JG104" s="224"/>
      <c r="JH104" s="224"/>
      <c r="JI104" s="243"/>
      <c r="JJ104" s="168">
        <f t="shared" si="299"/>
        <v>0</v>
      </c>
      <c r="JK104" s="242"/>
      <c r="JL104" s="224"/>
      <c r="JM104" s="224"/>
      <c r="JN104" s="224"/>
      <c r="JO104" s="243"/>
      <c r="JP104" s="168">
        <f t="shared" si="300"/>
        <v>0</v>
      </c>
      <c r="JQ104" s="242"/>
      <c r="JR104" s="224"/>
      <c r="JS104" s="224"/>
      <c r="JT104" s="224"/>
      <c r="JU104" s="243"/>
      <c r="JV104" s="168">
        <f t="shared" si="301"/>
        <v>0</v>
      </c>
      <c r="JW104" s="242"/>
      <c r="JX104" s="224"/>
      <c r="JY104" s="224"/>
      <c r="JZ104" s="224"/>
      <c r="KA104" s="224"/>
      <c r="KB104" s="243"/>
      <c r="KC104" s="168">
        <f t="shared" si="302"/>
        <v>0</v>
      </c>
      <c r="KD104" s="168">
        <f>-'EXP SNA'!H43-'EXP SNA'!H44</f>
        <v>-420000</v>
      </c>
      <c r="KE104" s="242"/>
      <c r="KF104" s="224"/>
      <c r="KG104" s="224"/>
      <c r="KH104" s="224"/>
      <c r="KI104" s="243"/>
      <c r="KJ104" s="168">
        <f t="shared" si="303"/>
        <v>0</v>
      </c>
      <c r="KK104" s="242"/>
      <c r="KL104" s="224"/>
      <c r="KM104" s="224"/>
      <c r="KN104" s="224"/>
      <c r="KO104" s="243"/>
      <c r="KP104" s="168">
        <f t="shared" si="304"/>
        <v>0</v>
      </c>
      <c r="KQ104" s="242"/>
      <c r="KR104" s="224"/>
      <c r="KS104" s="224"/>
      <c r="KT104" s="224"/>
      <c r="KU104" s="243"/>
      <c r="KV104" s="168">
        <f t="shared" si="305"/>
        <v>0</v>
      </c>
      <c r="KW104" s="242"/>
      <c r="KX104" s="224"/>
      <c r="KY104" s="224"/>
      <c r="KZ104" s="224"/>
      <c r="LA104" s="243"/>
      <c r="LB104" s="168">
        <f t="shared" si="306"/>
        <v>0</v>
      </c>
      <c r="LC104" s="181"/>
      <c r="LD104" s="238"/>
      <c r="LE104" s="239"/>
      <c r="LF104" s="168">
        <f t="shared" si="307"/>
        <v>0</v>
      </c>
      <c r="LG104" s="168">
        <f t="shared" si="308"/>
        <v>0</v>
      </c>
    </row>
    <row r="105" spans="2:319" s="91" customFormat="1">
      <c r="B105" s="167" t="s">
        <v>108</v>
      </c>
      <c r="C105" s="167"/>
      <c r="D105" s="181">
        <f t="shared" si="243"/>
        <v>0</v>
      </c>
      <c r="E105" s="167"/>
      <c r="F105" s="177"/>
      <c r="G105" s="177"/>
      <c r="H105" s="177"/>
      <c r="I105" s="178"/>
      <c r="J105" s="181">
        <f t="shared" si="244"/>
        <v>0</v>
      </c>
      <c r="K105" s="167"/>
      <c r="L105" s="177"/>
      <c r="M105" s="177"/>
      <c r="N105" s="178"/>
      <c r="O105" s="181">
        <f t="shared" si="245"/>
        <v>0</v>
      </c>
      <c r="P105" s="167"/>
      <c r="Q105" s="177">
        <v>119042.196</v>
      </c>
      <c r="R105" s="177"/>
      <c r="S105" s="177"/>
      <c r="T105" s="178"/>
      <c r="U105" s="181">
        <f t="shared" si="258"/>
        <v>119042.196</v>
      </c>
      <c r="V105" s="167"/>
      <c r="W105" s="177"/>
      <c r="X105" s="177"/>
      <c r="Y105" s="177"/>
      <c r="Z105" s="177"/>
      <c r="AA105" s="168">
        <f t="shared" si="259"/>
        <v>0</v>
      </c>
      <c r="AB105" s="168">
        <f t="shared" si="246"/>
        <v>119042.196</v>
      </c>
      <c r="AC105" s="242"/>
      <c r="AD105" s="224"/>
      <c r="AE105" s="224"/>
      <c r="AF105" s="224"/>
      <c r="AG105" s="243"/>
      <c r="AH105" s="168">
        <f t="shared" si="260"/>
        <v>0</v>
      </c>
      <c r="AI105" s="242"/>
      <c r="AJ105" s="224"/>
      <c r="AK105" s="224"/>
      <c r="AL105" s="224"/>
      <c r="AM105" s="243"/>
      <c r="AN105" s="168">
        <f t="shared" si="247"/>
        <v>0</v>
      </c>
      <c r="AO105" s="242"/>
      <c r="AP105" s="224"/>
      <c r="AQ105" s="224">
        <f>150000-2359.243</f>
        <v>147640.75700000001</v>
      </c>
      <c r="AR105" s="224"/>
      <c r="AS105" s="243"/>
      <c r="AT105" s="168">
        <f t="shared" si="261"/>
        <v>147640.75700000001</v>
      </c>
      <c r="AU105" s="242"/>
      <c r="AV105" s="224"/>
      <c r="AW105" s="224"/>
      <c r="AX105" s="224"/>
      <c r="AY105" s="243"/>
      <c r="AZ105" s="168">
        <f t="shared" si="262"/>
        <v>0</v>
      </c>
      <c r="BA105" s="168">
        <f t="shared" si="263"/>
        <v>147640.75700000001</v>
      </c>
      <c r="BB105" s="242"/>
      <c r="BC105" s="224"/>
      <c r="BD105" s="224"/>
      <c r="BE105" s="224"/>
      <c r="BF105" s="243"/>
      <c r="BG105" s="168">
        <f t="shared" si="264"/>
        <v>0</v>
      </c>
      <c r="BH105" s="242"/>
      <c r="BI105" s="224"/>
      <c r="BJ105" s="224"/>
      <c r="BK105" s="224"/>
      <c r="BL105" s="243"/>
      <c r="BM105" s="168">
        <f t="shared" si="248"/>
        <v>0</v>
      </c>
      <c r="BN105" s="242">
        <v>117865.41899999999</v>
      </c>
      <c r="BO105" s="224"/>
      <c r="BP105" s="224"/>
      <c r="BQ105" s="243"/>
      <c r="BR105" s="168">
        <f t="shared" si="249"/>
        <v>117865.41899999999</v>
      </c>
      <c r="BS105" s="242"/>
      <c r="BT105" s="224"/>
      <c r="BU105" s="224"/>
      <c r="BV105" s="224"/>
      <c r="BW105" s="243"/>
      <c r="BX105" s="168">
        <f t="shared" si="265"/>
        <v>0</v>
      </c>
      <c r="BY105" s="242"/>
      <c r="BZ105" s="224"/>
      <c r="CA105" s="168">
        <f t="shared" si="266"/>
        <v>0</v>
      </c>
      <c r="CB105" s="168">
        <f t="shared" si="267"/>
        <v>117865.41899999999</v>
      </c>
      <c r="CC105" s="242"/>
      <c r="CD105" s="224"/>
      <c r="CE105" s="224"/>
      <c r="CF105" s="168">
        <f t="shared" si="250"/>
        <v>0</v>
      </c>
      <c r="CG105" s="242"/>
      <c r="CH105" s="224"/>
      <c r="CI105" s="224"/>
      <c r="CJ105" s="243"/>
      <c r="CK105" s="168">
        <f t="shared" si="268"/>
        <v>0</v>
      </c>
      <c r="CL105" s="242"/>
      <c r="CM105" s="224"/>
      <c r="CN105" s="224"/>
      <c r="CO105" s="224"/>
      <c r="CP105" s="243"/>
      <c r="CQ105" s="168">
        <f t="shared" si="269"/>
        <v>0</v>
      </c>
      <c r="CR105" s="242">
        <v>172917.18900000001</v>
      </c>
      <c r="CS105" s="224"/>
      <c r="CT105" s="224"/>
      <c r="CU105" s="224"/>
      <c r="CV105" s="243"/>
      <c r="CW105" s="168">
        <f t="shared" si="270"/>
        <v>172917.18900000001</v>
      </c>
      <c r="CX105" s="242"/>
      <c r="CY105" s="224"/>
      <c r="CZ105" s="224"/>
      <c r="DA105" s="243"/>
      <c r="DB105" s="168">
        <f t="shared" si="251"/>
        <v>0</v>
      </c>
      <c r="DC105" s="168">
        <f t="shared" si="271"/>
        <v>172917.18900000001</v>
      </c>
      <c r="DD105" s="242"/>
      <c r="DE105" s="224"/>
      <c r="DF105" s="224"/>
      <c r="DG105" s="224"/>
      <c r="DH105" s="224"/>
      <c r="DI105" s="168">
        <f t="shared" si="272"/>
        <v>0</v>
      </c>
      <c r="DJ105" s="242"/>
      <c r="DK105" s="224"/>
      <c r="DL105" s="224"/>
      <c r="DM105" s="224"/>
      <c r="DN105" s="243"/>
      <c r="DO105" s="168">
        <f t="shared" si="273"/>
        <v>0</v>
      </c>
      <c r="DP105" s="242"/>
      <c r="DQ105" s="224"/>
      <c r="DR105" s="224"/>
      <c r="DS105" s="224"/>
      <c r="DT105" s="243"/>
      <c r="DU105" s="239">
        <f t="shared" si="274"/>
        <v>0</v>
      </c>
      <c r="DV105" s="242"/>
      <c r="DW105" s="224"/>
      <c r="DX105" s="224"/>
      <c r="DY105" s="224"/>
      <c r="DZ105" s="243"/>
      <c r="EA105" s="168">
        <f t="shared" si="275"/>
        <v>0</v>
      </c>
      <c r="EB105" s="168">
        <f t="shared" si="276"/>
        <v>0</v>
      </c>
      <c r="EC105" s="242"/>
      <c r="ED105" s="224"/>
      <c r="EE105" s="224"/>
      <c r="EF105" s="224"/>
      <c r="EG105" s="243"/>
      <c r="EH105" s="168">
        <f t="shared" si="277"/>
        <v>0</v>
      </c>
      <c r="EI105" s="242"/>
      <c r="EJ105" s="224"/>
      <c r="EK105" s="224">
        <v>99158.305999999997</v>
      </c>
      <c r="EL105" s="224"/>
      <c r="EM105" s="243"/>
      <c r="EN105" s="168">
        <f t="shared" si="278"/>
        <v>99158.305999999997</v>
      </c>
      <c r="EO105" s="242"/>
      <c r="EP105" s="224"/>
      <c r="EQ105" s="224"/>
      <c r="ER105" s="224"/>
      <c r="ES105" s="243"/>
      <c r="ET105" s="238">
        <f t="shared" si="279"/>
        <v>0</v>
      </c>
      <c r="EU105" s="242"/>
      <c r="EV105" s="224"/>
      <c r="EW105" s="224"/>
      <c r="EX105" s="224"/>
      <c r="EY105" s="224"/>
      <c r="EZ105" s="224"/>
      <c r="FA105" s="243"/>
      <c r="FB105" s="168">
        <f>SUM(EU105:FA105)</f>
        <v>0</v>
      </c>
      <c r="FC105" s="168">
        <f t="shared" si="280"/>
        <v>99158.305999999997</v>
      </c>
      <c r="FD105" s="242"/>
      <c r="FE105" s="224"/>
      <c r="FF105" s="243"/>
      <c r="FG105" s="168">
        <f t="shared" si="281"/>
        <v>0</v>
      </c>
      <c r="FH105" s="242"/>
      <c r="FI105" s="224"/>
      <c r="FJ105" s="224"/>
      <c r="FK105" s="224">
        <v>172949.16800000001</v>
      </c>
      <c r="FL105" s="243"/>
      <c r="FM105" s="168">
        <f t="shared" si="282"/>
        <v>172949.16800000001</v>
      </c>
      <c r="FN105" s="242"/>
      <c r="FO105" s="224"/>
      <c r="FP105" s="224"/>
      <c r="FQ105" s="224"/>
      <c r="FR105" s="168">
        <f t="shared" si="253"/>
        <v>0</v>
      </c>
      <c r="FS105" s="242"/>
      <c r="FT105" s="224"/>
      <c r="FU105" s="224"/>
      <c r="FV105" s="224">
        <f>100000-637.774</f>
        <v>99362.225999999995</v>
      </c>
      <c r="FW105" s="243">
        <v>49236.947</v>
      </c>
      <c r="FX105" s="168">
        <f t="shared" si="283"/>
        <v>148599.17300000001</v>
      </c>
      <c r="FY105" s="242"/>
      <c r="FZ105" s="224"/>
      <c r="GA105" s="224"/>
      <c r="GB105" s="224"/>
      <c r="GC105" s="243"/>
      <c r="GD105" s="168">
        <f t="shared" si="284"/>
        <v>0</v>
      </c>
      <c r="GE105" s="168">
        <f t="shared" si="254"/>
        <v>321548.34100000001</v>
      </c>
      <c r="GF105" s="242"/>
      <c r="GG105" s="224"/>
      <c r="GH105" s="224"/>
      <c r="GI105" s="224"/>
      <c r="GJ105" s="224"/>
      <c r="GK105" s="168">
        <f t="shared" si="285"/>
        <v>0</v>
      </c>
      <c r="GL105" s="242"/>
      <c r="GM105" s="224"/>
      <c r="GN105" s="224"/>
      <c r="GO105" s="243"/>
      <c r="GP105" s="168">
        <f t="shared" si="286"/>
        <v>0</v>
      </c>
      <c r="GQ105" s="242"/>
      <c r="GR105" s="224"/>
      <c r="GS105" s="224"/>
      <c r="GT105" s="224"/>
      <c r="GU105" s="243"/>
      <c r="GV105" s="168">
        <f t="shared" si="287"/>
        <v>0</v>
      </c>
      <c r="GW105" s="242"/>
      <c r="GX105" s="224">
        <v>148100.405</v>
      </c>
      <c r="GY105" s="224"/>
      <c r="GZ105" s="224"/>
      <c r="HA105" s="224"/>
      <c r="HB105" s="243"/>
      <c r="HC105" s="168">
        <f t="shared" si="288"/>
        <v>148100.405</v>
      </c>
      <c r="HD105" s="168">
        <f t="shared" si="289"/>
        <v>148100.405</v>
      </c>
      <c r="HE105" s="242"/>
      <c r="HF105" s="224"/>
      <c r="HG105" s="224"/>
      <c r="HH105" s="224"/>
      <c r="HI105" s="168">
        <f t="shared" si="290"/>
        <v>0</v>
      </c>
      <c r="HJ105" s="242"/>
      <c r="HK105" s="224"/>
      <c r="HL105" s="224"/>
      <c r="HM105" s="224"/>
      <c r="HN105" s="243"/>
      <c r="HO105" s="239">
        <f t="shared" si="291"/>
        <v>0</v>
      </c>
      <c r="HP105" s="242"/>
      <c r="HQ105" s="224"/>
      <c r="HR105" s="224"/>
      <c r="HS105" s="224"/>
      <c r="HT105" s="243"/>
      <c r="HU105" s="168">
        <f t="shared" si="292"/>
        <v>0</v>
      </c>
      <c r="HV105" s="242"/>
      <c r="HW105" s="224"/>
      <c r="HX105" s="224"/>
      <c r="HY105" s="168">
        <f t="shared" si="255"/>
        <v>0</v>
      </c>
      <c r="HZ105" s="242">
        <v>148609.67000000001</v>
      </c>
      <c r="IA105" s="224"/>
      <c r="IB105" s="243"/>
      <c r="IC105" s="168">
        <f t="shared" si="256"/>
        <v>148609.67000000001</v>
      </c>
      <c r="ID105" s="168">
        <f t="shared" si="257"/>
        <v>148609.67000000001</v>
      </c>
      <c r="IE105" s="242"/>
      <c r="IF105" s="243"/>
      <c r="IG105" s="168">
        <f t="shared" si="293"/>
        <v>0</v>
      </c>
      <c r="IH105" s="242"/>
      <c r="II105" s="224"/>
      <c r="IJ105" s="224"/>
      <c r="IK105" s="224"/>
      <c r="IL105" s="243"/>
      <c r="IM105" s="168">
        <f t="shared" si="294"/>
        <v>0</v>
      </c>
      <c r="IN105" s="242"/>
      <c r="IO105" s="224"/>
      <c r="IP105" s="243"/>
      <c r="IQ105" s="168">
        <f t="shared" si="295"/>
        <v>0</v>
      </c>
      <c r="IR105" s="242"/>
      <c r="IS105" s="224"/>
      <c r="IT105" s="224"/>
      <c r="IU105" s="224"/>
      <c r="IV105" s="243"/>
      <c r="IW105" s="168">
        <f t="shared" si="296"/>
        <v>0</v>
      </c>
      <c r="IX105" s="242"/>
      <c r="IY105" s="224"/>
      <c r="IZ105" s="224"/>
      <c r="JA105" s="224"/>
      <c r="JB105" s="243"/>
      <c r="JC105" s="168">
        <f t="shared" si="297"/>
        <v>0</v>
      </c>
      <c r="JD105" s="168">
        <f t="shared" si="298"/>
        <v>0</v>
      </c>
      <c r="JE105" s="242"/>
      <c r="JF105" s="224"/>
      <c r="JG105" s="224"/>
      <c r="JH105" s="224"/>
      <c r="JI105" s="243"/>
      <c r="JJ105" s="168">
        <f t="shared" si="299"/>
        <v>0</v>
      </c>
      <c r="JK105" s="242"/>
      <c r="JL105" s="224"/>
      <c r="JM105" s="224"/>
      <c r="JN105" s="224"/>
      <c r="JO105" s="243"/>
      <c r="JP105" s="168">
        <f t="shared" si="300"/>
        <v>0</v>
      </c>
      <c r="JQ105" s="242"/>
      <c r="JR105" s="224"/>
      <c r="JS105" s="224"/>
      <c r="JT105" s="224"/>
      <c r="JU105" s="243"/>
      <c r="JV105" s="168">
        <f t="shared" si="301"/>
        <v>0</v>
      </c>
      <c r="JW105" s="242"/>
      <c r="JX105" s="224"/>
      <c r="JY105" s="224"/>
      <c r="JZ105" s="224"/>
      <c r="KA105" s="224"/>
      <c r="KB105" s="243"/>
      <c r="KC105" s="168">
        <f t="shared" si="302"/>
        <v>0</v>
      </c>
      <c r="KD105" s="168">
        <f t="shared" si="309"/>
        <v>0</v>
      </c>
      <c r="KE105" s="242"/>
      <c r="KF105" s="224"/>
      <c r="KG105" s="224"/>
      <c r="KH105" s="224"/>
      <c r="KI105" s="243"/>
      <c r="KJ105" s="168">
        <f t="shared" si="303"/>
        <v>0</v>
      </c>
      <c r="KK105" s="242"/>
      <c r="KL105" s="224"/>
      <c r="KM105" s="224"/>
      <c r="KN105" s="224"/>
      <c r="KO105" s="243"/>
      <c r="KP105" s="168">
        <f t="shared" si="304"/>
        <v>0</v>
      </c>
      <c r="KQ105" s="242"/>
      <c r="KR105" s="224"/>
      <c r="KS105" s="224"/>
      <c r="KT105" s="224"/>
      <c r="KU105" s="243"/>
      <c r="KV105" s="168">
        <f t="shared" si="305"/>
        <v>0</v>
      </c>
      <c r="KW105" s="242"/>
      <c r="KX105" s="224"/>
      <c r="KY105" s="224"/>
      <c r="KZ105" s="224"/>
      <c r="LA105" s="243"/>
      <c r="LB105" s="168">
        <f t="shared" si="306"/>
        <v>0</v>
      </c>
      <c r="LC105" s="181"/>
      <c r="LD105" s="238"/>
      <c r="LE105" s="239"/>
      <c r="LF105" s="168">
        <f t="shared" si="307"/>
        <v>0</v>
      </c>
      <c r="LG105" s="168">
        <f t="shared" si="308"/>
        <v>0</v>
      </c>
    </row>
    <row r="106" spans="2:319" s="91" customFormat="1">
      <c r="B106" s="167"/>
      <c r="C106" s="167"/>
      <c r="D106" s="181"/>
      <c r="E106" s="167"/>
      <c r="F106" s="177"/>
      <c r="G106" s="177"/>
      <c r="H106" s="177"/>
      <c r="I106" s="178"/>
      <c r="J106" s="181">
        <f t="shared" si="244"/>
        <v>0</v>
      </c>
      <c r="K106" s="167"/>
      <c r="L106" s="177"/>
      <c r="M106" s="177"/>
      <c r="N106" s="178"/>
      <c r="O106" s="181"/>
      <c r="P106" s="167"/>
      <c r="Q106" s="177"/>
      <c r="R106" s="177"/>
      <c r="S106" s="177"/>
      <c r="T106" s="178"/>
      <c r="U106" s="181"/>
      <c r="V106" s="167"/>
      <c r="W106" s="177"/>
      <c r="X106" s="177"/>
      <c r="Y106" s="177"/>
      <c r="Z106" s="177"/>
      <c r="AA106" s="168"/>
      <c r="AB106" s="146"/>
      <c r="AC106" s="242"/>
      <c r="AD106" s="224"/>
      <c r="AE106" s="224"/>
      <c r="AF106" s="224"/>
      <c r="AG106" s="243"/>
      <c r="AH106" s="146"/>
      <c r="AI106" s="167"/>
      <c r="AJ106" s="177"/>
      <c r="AK106" s="177"/>
      <c r="AL106" s="177"/>
      <c r="AM106" s="178"/>
      <c r="AN106" s="146"/>
      <c r="AO106" s="167"/>
      <c r="AP106" s="177"/>
      <c r="AQ106" s="177"/>
      <c r="AR106" s="177"/>
      <c r="AS106" s="178"/>
      <c r="AT106" s="146"/>
      <c r="AU106" s="242"/>
      <c r="AV106" s="224"/>
      <c r="AW106" s="224"/>
      <c r="AX106" s="224"/>
      <c r="AY106" s="243"/>
      <c r="AZ106" s="146"/>
      <c r="BA106" s="168"/>
      <c r="BB106" s="181"/>
      <c r="BC106" s="238"/>
      <c r="BD106" s="238"/>
      <c r="BE106" s="238"/>
      <c r="BF106" s="239"/>
      <c r="BG106" s="168"/>
      <c r="BH106" s="181"/>
      <c r="BI106" s="238"/>
      <c r="BJ106" s="238"/>
      <c r="BK106" s="238"/>
      <c r="BL106" s="239"/>
      <c r="BM106" s="168"/>
      <c r="BN106" s="181"/>
      <c r="BO106" s="238"/>
      <c r="BP106" s="238"/>
      <c r="BQ106" s="239"/>
      <c r="BR106" s="168"/>
      <c r="BS106" s="181"/>
      <c r="BT106" s="238"/>
      <c r="BU106" s="238"/>
      <c r="BV106" s="238"/>
      <c r="BW106" s="239"/>
      <c r="BX106" s="168"/>
      <c r="BY106" s="181"/>
      <c r="BZ106" s="238"/>
      <c r="CA106" s="168"/>
      <c r="CB106" s="168"/>
      <c r="CC106" s="242"/>
      <c r="CD106" s="224"/>
      <c r="CE106" s="224"/>
      <c r="CF106" s="168"/>
      <c r="CG106" s="242"/>
      <c r="CH106" s="224"/>
      <c r="CI106" s="224"/>
      <c r="CJ106" s="243"/>
      <c r="CK106" s="168"/>
      <c r="CL106" s="242"/>
      <c r="CM106" s="224"/>
      <c r="CN106" s="224"/>
      <c r="CO106" s="224"/>
      <c r="CP106" s="243"/>
      <c r="CQ106" s="168"/>
      <c r="CR106" s="242"/>
      <c r="CS106" s="224"/>
      <c r="CT106" s="224"/>
      <c r="CU106" s="224"/>
      <c r="CV106" s="243"/>
      <c r="CW106" s="168"/>
      <c r="CX106" s="242"/>
      <c r="CY106" s="224"/>
      <c r="CZ106" s="224"/>
      <c r="DA106" s="243"/>
      <c r="DB106" s="168"/>
      <c r="DC106" s="168"/>
      <c r="DD106" s="242"/>
      <c r="DE106" s="224"/>
      <c r="DF106" s="224"/>
      <c r="DG106" s="224"/>
      <c r="DH106" s="224"/>
      <c r="DI106" s="168"/>
      <c r="DJ106" s="242"/>
      <c r="DK106" s="224"/>
      <c r="DL106" s="224"/>
      <c r="DM106" s="224"/>
      <c r="DN106" s="243"/>
      <c r="DO106" s="168"/>
      <c r="DP106" s="242"/>
      <c r="DQ106" s="224"/>
      <c r="DR106" s="224"/>
      <c r="DS106" s="224"/>
      <c r="DT106" s="243"/>
      <c r="DU106" s="239"/>
      <c r="DV106" s="242"/>
      <c r="DW106" s="224"/>
      <c r="DX106" s="224"/>
      <c r="DY106" s="224"/>
      <c r="DZ106" s="243"/>
      <c r="EA106" s="168"/>
      <c r="EB106" s="168"/>
      <c r="EC106" s="242"/>
      <c r="ED106" s="224"/>
      <c r="EE106" s="224"/>
      <c r="EF106" s="224"/>
      <c r="EG106" s="243"/>
      <c r="EH106" s="168"/>
      <c r="EI106" s="181"/>
      <c r="EJ106" s="238"/>
      <c r="EK106" s="238"/>
      <c r="EL106" s="238"/>
      <c r="EM106" s="239"/>
      <c r="EN106" s="168"/>
      <c r="EO106" s="242"/>
      <c r="EP106" s="224"/>
      <c r="EQ106" s="224"/>
      <c r="ER106" s="224"/>
      <c r="ES106" s="243"/>
      <c r="ET106" s="238"/>
      <c r="EU106" s="242"/>
      <c r="EV106" s="224"/>
      <c r="EW106" s="224"/>
      <c r="EX106" s="224"/>
      <c r="EY106" s="224"/>
      <c r="EZ106" s="224"/>
      <c r="FA106" s="243"/>
      <c r="FB106" s="168"/>
      <c r="FC106" s="168"/>
      <c r="FD106" s="181"/>
      <c r="FE106" s="238"/>
      <c r="FF106" s="239"/>
      <c r="FG106" s="168"/>
      <c r="FH106" s="181"/>
      <c r="FI106" s="238"/>
      <c r="FJ106" s="238"/>
      <c r="FK106" s="238"/>
      <c r="FL106" s="239"/>
      <c r="FM106" s="168"/>
      <c r="FN106" s="181"/>
      <c r="FO106" s="238"/>
      <c r="FP106" s="238"/>
      <c r="FQ106" s="238"/>
      <c r="FR106" s="168"/>
      <c r="FS106" s="181"/>
      <c r="FT106" s="238"/>
      <c r="FU106" s="238"/>
      <c r="FV106" s="238"/>
      <c r="FW106" s="239"/>
      <c r="FX106" s="168"/>
      <c r="FY106" s="181"/>
      <c r="FZ106" s="238"/>
      <c r="GA106" s="238"/>
      <c r="GB106" s="238"/>
      <c r="GC106" s="239"/>
      <c r="GD106" s="168"/>
      <c r="GE106" s="168"/>
      <c r="GF106" s="181"/>
      <c r="GG106" s="238"/>
      <c r="GH106" s="238"/>
      <c r="GI106" s="238"/>
      <c r="GJ106" s="238"/>
      <c r="GK106" s="168"/>
      <c r="GL106" s="242"/>
      <c r="GM106" s="224"/>
      <c r="GN106" s="224"/>
      <c r="GO106" s="243"/>
      <c r="GP106" s="168"/>
      <c r="GQ106" s="181"/>
      <c r="GR106" s="238"/>
      <c r="GS106" s="238"/>
      <c r="GT106" s="238"/>
      <c r="GU106" s="239"/>
      <c r="GV106" s="168"/>
      <c r="GW106" s="181"/>
      <c r="GX106" s="238"/>
      <c r="GY106" s="238"/>
      <c r="GZ106" s="238"/>
      <c r="HA106" s="238"/>
      <c r="HB106" s="239"/>
      <c r="HC106" s="168"/>
      <c r="HD106" s="168"/>
      <c r="HE106" s="242"/>
      <c r="HF106" s="224"/>
      <c r="HG106" s="224"/>
      <c r="HH106" s="224"/>
      <c r="HI106" s="168"/>
      <c r="HJ106" s="242"/>
      <c r="HK106" s="224"/>
      <c r="HL106" s="224"/>
      <c r="HM106" s="224"/>
      <c r="HN106" s="243"/>
      <c r="HO106" s="239"/>
      <c r="HP106" s="181"/>
      <c r="HQ106" s="238"/>
      <c r="HR106" s="238"/>
      <c r="HS106" s="238"/>
      <c r="HT106" s="239"/>
      <c r="HU106" s="168"/>
      <c r="HV106" s="181"/>
      <c r="HW106" s="238"/>
      <c r="HX106" s="238"/>
      <c r="HY106" s="168"/>
      <c r="HZ106" s="242"/>
      <c r="IA106" s="224"/>
      <c r="IB106" s="243"/>
      <c r="IC106" s="168"/>
      <c r="ID106" s="168"/>
      <c r="IE106" s="242"/>
      <c r="IF106" s="243"/>
      <c r="IG106" s="168"/>
      <c r="IH106" s="181"/>
      <c r="II106" s="238"/>
      <c r="IJ106" s="238"/>
      <c r="IK106" s="238"/>
      <c r="IL106" s="239"/>
      <c r="IM106" s="168"/>
      <c r="IN106" s="242"/>
      <c r="IO106" s="224"/>
      <c r="IP106" s="243"/>
      <c r="IQ106" s="168"/>
      <c r="IR106" s="242"/>
      <c r="IS106" s="224"/>
      <c r="IT106" s="224"/>
      <c r="IU106" s="224"/>
      <c r="IV106" s="243"/>
      <c r="IW106" s="168"/>
      <c r="IX106" s="242"/>
      <c r="IY106" s="224"/>
      <c r="IZ106" s="224"/>
      <c r="JA106" s="224"/>
      <c r="JB106" s="243"/>
      <c r="JC106" s="168"/>
      <c r="JD106" s="168"/>
      <c r="JE106" s="181"/>
      <c r="JF106" s="238"/>
      <c r="JG106" s="238"/>
      <c r="JH106" s="238"/>
      <c r="JI106" s="239"/>
      <c r="JJ106" s="168"/>
      <c r="JK106" s="181"/>
      <c r="JL106" s="238"/>
      <c r="JM106" s="238"/>
      <c r="JN106" s="238"/>
      <c r="JO106" s="239"/>
      <c r="JP106" s="168"/>
      <c r="JQ106" s="181"/>
      <c r="JR106" s="238"/>
      <c r="JS106" s="238"/>
      <c r="JT106" s="238"/>
      <c r="JU106" s="239"/>
      <c r="JV106" s="168"/>
      <c r="JW106" s="181"/>
      <c r="JX106" s="238"/>
      <c r="JY106" s="238"/>
      <c r="JZ106" s="238"/>
      <c r="KA106" s="238"/>
      <c r="KB106" s="239"/>
      <c r="KC106" s="168"/>
      <c r="KD106" s="168"/>
      <c r="KE106" s="242"/>
      <c r="KF106" s="224"/>
      <c r="KG106" s="224"/>
      <c r="KH106" s="224"/>
      <c r="KI106" s="243"/>
      <c r="KJ106" s="168"/>
      <c r="KK106" s="181"/>
      <c r="KL106" s="238"/>
      <c r="KM106" s="238"/>
      <c r="KN106" s="238"/>
      <c r="KO106" s="239"/>
      <c r="KP106" s="168"/>
      <c r="KQ106" s="242"/>
      <c r="KR106" s="224"/>
      <c r="KS106" s="224"/>
      <c r="KT106" s="224"/>
      <c r="KU106" s="243"/>
      <c r="KV106" s="168"/>
      <c r="KW106" s="181"/>
      <c r="KX106" s="238"/>
      <c r="KY106" s="238"/>
      <c r="KZ106" s="238"/>
      <c r="LA106" s="239"/>
      <c r="LB106" s="168"/>
      <c r="LC106" s="181"/>
      <c r="LD106" s="238"/>
      <c r="LE106" s="239"/>
      <c r="LF106" s="168"/>
      <c r="LG106" s="168">
        <f>LF106+LB106+KV106+KP106+KJ106</f>
        <v>0</v>
      </c>
    </row>
    <row r="107" spans="2:319" s="91" customFormat="1" ht="15.75" thickBot="1">
      <c r="B107" s="173" t="s">
        <v>96</v>
      </c>
      <c r="C107" s="173">
        <f t="shared" ref="C107:BN107" si="323">C98-C53</f>
        <v>-8142.9820000000009</v>
      </c>
      <c r="D107" s="173">
        <f t="shared" si="323"/>
        <v>-8142.9820000000009</v>
      </c>
      <c r="E107" s="172">
        <f t="shared" si="323"/>
        <v>-1583.5219999999999</v>
      </c>
      <c r="F107" s="179">
        <f t="shared" si="323"/>
        <v>97627.349000000002</v>
      </c>
      <c r="G107" s="179">
        <f t="shared" si="323"/>
        <v>-133919.91299999997</v>
      </c>
      <c r="H107" s="179">
        <f t="shared" si="323"/>
        <v>-17672.519</v>
      </c>
      <c r="I107" s="180">
        <f t="shared" si="323"/>
        <v>33763.808999999994</v>
      </c>
      <c r="J107" s="173">
        <f t="shared" si="323"/>
        <v>-21784.795999999915</v>
      </c>
      <c r="K107" s="172">
        <f t="shared" si="323"/>
        <v>-74067.131999999998</v>
      </c>
      <c r="L107" s="172">
        <f t="shared" si="323"/>
        <v>45514.96100000001</v>
      </c>
      <c r="M107" s="179">
        <f t="shared" si="323"/>
        <v>-14998.966999999999</v>
      </c>
      <c r="N107" s="180">
        <f t="shared" si="323"/>
        <v>-4980.6690000000008</v>
      </c>
      <c r="O107" s="173">
        <f t="shared" si="323"/>
        <v>-48531.806999999972</v>
      </c>
      <c r="P107" s="172">
        <f t="shared" si="323"/>
        <v>-33962.757999999994</v>
      </c>
      <c r="Q107" s="179">
        <f t="shared" si="323"/>
        <v>47380.585999999996</v>
      </c>
      <c r="R107" s="179">
        <f t="shared" si="323"/>
        <v>-74038.545000000013</v>
      </c>
      <c r="S107" s="179">
        <f t="shared" si="323"/>
        <v>-14916.279</v>
      </c>
      <c r="T107" s="180">
        <f t="shared" si="323"/>
        <v>-5899.6620000000003</v>
      </c>
      <c r="U107" s="173">
        <f t="shared" si="323"/>
        <v>-81436.657999999996</v>
      </c>
      <c r="V107" s="172">
        <f t="shared" si="323"/>
        <v>48043.392000000022</v>
      </c>
      <c r="W107" s="179">
        <f t="shared" si="323"/>
        <v>-2285.6969999999997</v>
      </c>
      <c r="X107" s="179">
        <f t="shared" si="323"/>
        <v>13992.509000000005</v>
      </c>
      <c r="Y107" s="179">
        <f t="shared" si="323"/>
        <v>23529.173000000003</v>
      </c>
      <c r="Z107" s="179">
        <f t="shared" si="323"/>
        <v>-204240.90299999999</v>
      </c>
      <c r="AA107" s="199">
        <f t="shared" si="323"/>
        <v>-120961.52599999995</v>
      </c>
      <c r="AB107" s="235">
        <f t="shared" si="323"/>
        <v>-280857.76899999985</v>
      </c>
      <c r="AC107" s="173">
        <f t="shared" si="323"/>
        <v>-10647.233</v>
      </c>
      <c r="AD107" s="241">
        <f t="shared" si="323"/>
        <v>-10155.392</v>
      </c>
      <c r="AE107" s="241">
        <f t="shared" si="323"/>
        <v>-54375.475999999995</v>
      </c>
      <c r="AF107" s="241">
        <f t="shared" si="323"/>
        <v>439570.36600000004</v>
      </c>
      <c r="AG107" s="497">
        <f t="shared" si="323"/>
        <v>-22500.743999999984</v>
      </c>
      <c r="AH107" s="199">
        <f t="shared" si="323"/>
        <v>341891.52100000007</v>
      </c>
      <c r="AI107" s="173">
        <f t="shared" si="323"/>
        <v>183428.23700000005</v>
      </c>
      <c r="AJ107" s="241">
        <f t="shared" si="323"/>
        <v>-277090.81699999998</v>
      </c>
      <c r="AK107" s="241">
        <f t="shared" si="323"/>
        <v>-10749.232</v>
      </c>
      <c r="AL107" s="241">
        <f t="shared" si="323"/>
        <v>-25190.780999999988</v>
      </c>
      <c r="AM107" s="497">
        <f t="shared" si="323"/>
        <v>-195.24199999999999</v>
      </c>
      <c r="AN107" s="199">
        <f t="shared" si="323"/>
        <v>-129797.83499999996</v>
      </c>
      <c r="AO107" s="173">
        <f t="shared" si="323"/>
        <v>-36115.152000000002</v>
      </c>
      <c r="AP107" s="241">
        <f t="shared" si="323"/>
        <v>-22387.363000000005</v>
      </c>
      <c r="AQ107" s="241">
        <f t="shared" si="323"/>
        <v>491.79300000000512</v>
      </c>
      <c r="AR107" s="241">
        <f t="shared" si="323"/>
        <v>35198.788</v>
      </c>
      <c r="AS107" s="497">
        <f t="shared" si="323"/>
        <v>-280086.84999999998</v>
      </c>
      <c r="AT107" s="199">
        <f t="shared" si="323"/>
        <v>-302898.78399999999</v>
      </c>
      <c r="AU107" s="173">
        <f t="shared" si="323"/>
        <v>504913.4449</v>
      </c>
      <c r="AV107" s="241">
        <f t="shared" si="323"/>
        <v>-238.80199999999999</v>
      </c>
      <c r="AW107" s="241">
        <f t="shared" si="323"/>
        <v>-7693.4620000000004</v>
      </c>
      <c r="AX107" s="241">
        <f t="shared" si="323"/>
        <v>-13311.748999999998</v>
      </c>
      <c r="AY107" s="497">
        <f t="shared" si="323"/>
        <v>-32664.485999999997</v>
      </c>
      <c r="AZ107" s="199">
        <f t="shared" si="323"/>
        <v>451004.94589999993</v>
      </c>
      <c r="BA107" s="235">
        <f t="shared" si="323"/>
        <v>360199.84790000017</v>
      </c>
      <c r="BB107" s="173">
        <f t="shared" si="323"/>
        <v>-585449.81599999999</v>
      </c>
      <c r="BC107" s="241">
        <f t="shared" si="323"/>
        <v>-662543.19700000004</v>
      </c>
      <c r="BD107" s="241">
        <f t="shared" si="323"/>
        <v>1210472.9839999999</v>
      </c>
      <c r="BE107" s="241">
        <f t="shared" si="323"/>
        <v>2695.0650000000001</v>
      </c>
      <c r="BF107" s="497">
        <f t="shared" si="323"/>
        <v>-4873.4940000000006</v>
      </c>
      <c r="BG107" s="199">
        <f t="shared" si="323"/>
        <v>-39698.457999999868</v>
      </c>
      <c r="BH107" s="173">
        <f t="shared" si="323"/>
        <v>136306.351</v>
      </c>
      <c r="BI107" s="241">
        <f t="shared" si="323"/>
        <v>-414558.04</v>
      </c>
      <c r="BJ107" s="241">
        <f t="shared" si="323"/>
        <v>25312.233</v>
      </c>
      <c r="BK107" s="241">
        <f t="shared" si="323"/>
        <v>203790.53899999999</v>
      </c>
      <c r="BL107" s="497">
        <f t="shared" si="323"/>
        <v>15698.477000000014</v>
      </c>
      <c r="BM107" s="199">
        <f t="shared" si="323"/>
        <v>-33450.439999999944</v>
      </c>
      <c r="BN107" s="173">
        <f t="shared" si="323"/>
        <v>-60958.794999999984</v>
      </c>
      <c r="BO107" s="241">
        <f t="shared" ref="BO107:EA107" si="324">BO98-BO53</f>
        <v>91194.415999999997</v>
      </c>
      <c r="BP107" s="241">
        <f t="shared" si="324"/>
        <v>-104697.25700000001</v>
      </c>
      <c r="BQ107" s="497">
        <f t="shared" si="324"/>
        <v>-16539.73</v>
      </c>
      <c r="BR107" s="199">
        <f t="shared" si="324"/>
        <v>-91001.36599999998</v>
      </c>
      <c r="BS107" s="173">
        <f t="shared" si="324"/>
        <v>-30554.190000000002</v>
      </c>
      <c r="BT107" s="241">
        <f t="shared" si="324"/>
        <v>34934.542000000001</v>
      </c>
      <c r="BU107" s="241">
        <f t="shared" si="324"/>
        <v>-12430.972000000002</v>
      </c>
      <c r="BV107" s="241">
        <f t="shared" si="324"/>
        <v>9727.6809999999823</v>
      </c>
      <c r="BW107" s="497">
        <f t="shared" si="324"/>
        <v>-13882</v>
      </c>
      <c r="BX107" s="199">
        <f t="shared" si="324"/>
        <v>-12204.938999999955</v>
      </c>
      <c r="BY107" s="173">
        <f>BY98-BY53</f>
        <v>-8241.9869999999992</v>
      </c>
      <c r="BZ107" s="241">
        <f>BZ98-BZ53</f>
        <v>34204.599000000002</v>
      </c>
      <c r="CA107" s="199">
        <f t="shared" si="324"/>
        <v>25962.611999999994</v>
      </c>
      <c r="CB107" s="235">
        <f t="shared" si="324"/>
        <v>-150392.59100000001</v>
      </c>
      <c r="CC107" s="173">
        <f t="shared" si="324"/>
        <v>-71028.274999999994</v>
      </c>
      <c r="CD107" s="241">
        <f t="shared" si="324"/>
        <v>42626.285000000003</v>
      </c>
      <c r="CE107" s="241">
        <f t="shared" si="324"/>
        <v>-157959.55000000002</v>
      </c>
      <c r="CF107" s="199">
        <f t="shared" si="324"/>
        <v>-186361.53999999995</v>
      </c>
      <c r="CG107" s="173">
        <f t="shared" si="324"/>
        <v>27301.591</v>
      </c>
      <c r="CH107" s="241">
        <f t="shared" si="324"/>
        <v>14980.701999999994</v>
      </c>
      <c r="CI107" s="241">
        <f t="shared" si="324"/>
        <v>161700.799</v>
      </c>
      <c r="CJ107" s="497">
        <f t="shared" si="324"/>
        <v>-163051.375</v>
      </c>
      <c r="CK107" s="199">
        <f t="shared" si="324"/>
        <v>40931.717000000004</v>
      </c>
      <c r="CL107" s="173">
        <f t="shared" si="324"/>
        <v>-11905.539999999999</v>
      </c>
      <c r="CM107" s="241">
        <f t="shared" si="324"/>
        <v>-3744.3559999999998</v>
      </c>
      <c r="CN107" s="241">
        <f t="shared" si="324"/>
        <v>-9247.9549999999872</v>
      </c>
      <c r="CO107" s="241">
        <f t="shared" si="324"/>
        <v>-132381.95200000002</v>
      </c>
      <c r="CP107" s="497">
        <f t="shared" si="324"/>
        <v>-9509.4670000000024</v>
      </c>
      <c r="CQ107" s="199">
        <f t="shared" si="324"/>
        <v>-166789.27000000005</v>
      </c>
      <c r="CR107" s="173">
        <f t="shared" si="324"/>
        <v>654.85900000002584</v>
      </c>
      <c r="CS107" s="241">
        <f t="shared" si="324"/>
        <v>-56641.949999999983</v>
      </c>
      <c r="CT107" s="241">
        <f t="shared" si="324"/>
        <v>231744.261</v>
      </c>
      <c r="CU107" s="241">
        <f t="shared" si="324"/>
        <v>-9992.9430000000011</v>
      </c>
      <c r="CV107" s="497">
        <f t="shared" si="324"/>
        <v>-8958.5950000000012</v>
      </c>
      <c r="CW107" s="199">
        <f t="shared" si="324"/>
        <v>156805.63199999987</v>
      </c>
      <c r="CX107" s="173">
        <f t="shared" si="324"/>
        <v>-9024.0640000000003</v>
      </c>
      <c r="CY107" s="241">
        <f t="shared" si="324"/>
        <v>-12006.762000000001</v>
      </c>
      <c r="CZ107" s="241">
        <f t="shared" si="324"/>
        <v>-290.346</v>
      </c>
      <c r="DA107" s="497">
        <f t="shared" si="324"/>
        <v>-67994.823999999993</v>
      </c>
      <c r="DB107" s="199">
        <f t="shared" si="324"/>
        <v>-89315.996000000014</v>
      </c>
      <c r="DC107" s="235">
        <f t="shared" si="324"/>
        <v>-244729.45699999924</v>
      </c>
      <c r="DD107" s="173">
        <f t="shared" si="324"/>
        <v>-130025.22</v>
      </c>
      <c r="DE107" s="241">
        <f t="shared" si="324"/>
        <v>-130735.00099999999</v>
      </c>
      <c r="DF107" s="241">
        <f t="shared" si="324"/>
        <v>319981.33400000003</v>
      </c>
      <c r="DG107" s="241">
        <f t="shared" si="324"/>
        <v>-24011.912000000004</v>
      </c>
      <c r="DH107" s="241">
        <f t="shared" si="324"/>
        <v>-113971.804</v>
      </c>
      <c r="DI107" s="199">
        <f t="shared" si="324"/>
        <v>-78762.602999999886</v>
      </c>
      <c r="DJ107" s="173">
        <f t="shared" si="324"/>
        <v>-138946.43099999998</v>
      </c>
      <c r="DK107" s="241">
        <f t="shared" si="324"/>
        <v>-101550.23499999999</v>
      </c>
      <c r="DL107" s="241">
        <f t="shared" si="324"/>
        <v>-12033.984999999999</v>
      </c>
      <c r="DM107" s="241">
        <f t="shared" si="324"/>
        <v>-81071.421999999991</v>
      </c>
      <c r="DN107" s="497">
        <f t="shared" si="324"/>
        <v>164395.65400000004</v>
      </c>
      <c r="DO107" s="199">
        <f t="shared" si="324"/>
        <v>-169206.41899999982</v>
      </c>
      <c r="DP107" s="173">
        <f t="shared" si="324"/>
        <v>-15096.807000000001</v>
      </c>
      <c r="DQ107" s="241">
        <f t="shared" si="324"/>
        <v>62096.264999999999</v>
      </c>
      <c r="DR107" s="241">
        <f t="shared" si="324"/>
        <v>82792.399000000005</v>
      </c>
      <c r="DS107" s="241">
        <f t="shared" si="324"/>
        <v>-215711.51799999998</v>
      </c>
      <c r="DT107" s="497">
        <f t="shared" si="324"/>
        <v>-2605.5800000000004</v>
      </c>
      <c r="DU107" s="497">
        <f t="shared" si="324"/>
        <v>-88525.241000000038</v>
      </c>
      <c r="DV107" s="173">
        <f t="shared" si="324"/>
        <v>-146231.51</v>
      </c>
      <c r="DW107" s="241">
        <f t="shared" si="324"/>
        <v>-114345.848</v>
      </c>
      <c r="DX107" s="241">
        <f t="shared" si="324"/>
        <v>-4295.0380000000005</v>
      </c>
      <c r="DY107" s="241">
        <f t="shared" si="324"/>
        <v>276528.47200000001</v>
      </c>
      <c r="DZ107" s="497">
        <f t="shared" si="324"/>
        <v>-4.72</v>
      </c>
      <c r="EA107" s="199">
        <f t="shared" si="324"/>
        <v>11651.355999999971</v>
      </c>
      <c r="EB107" s="235">
        <f t="shared" ref="EB107:GP107" si="325">EB98-EB53</f>
        <v>-324842.90699999989</v>
      </c>
      <c r="EC107" s="173">
        <f t="shared" si="325"/>
        <v>-77988.012000000046</v>
      </c>
      <c r="ED107" s="241">
        <f t="shared" si="325"/>
        <v>-99745.054999999964</v>
      </c>
      <c r="EE107" s="241">
        <f t="shared" si="325"/>
        <v>-164920.78099999999</v>
      </c>
      <c r="EF107" s="241">
        <f t="shared" si="325"/>
        <v>-14163.323000000002</v>
      </c>
      <c r="EG107" s="497">
        <f t="shared" si="325"/>
        <v>-5884.924</v>
      </c>
      <c r="EH107" s="199">
        <f t="shared" si="325"/>
        <v>-362702.09499999997</v>
      </c>
      <c r="EI107" s="173">
        <f t="shared" si="325"/>
        <v>-6226.1510000000007</v>
      </c>
      <c r="EJ107" s="241">
        <f t="shared" si="325"/>
        <v>-19686.673999999999</v>
      </c>
      <c r="EK107" s="241">
        <f t="shared" si="325"/>
        <v>96306.383000000002</v>
      </c>
      <c r="EL107" s="241">
        <f t="shared" si="325"/>
        <v>268697.59900000005</v>
      </c>
      <c r="EM107" s="497">
        <f t="shared" si="325"/>
        <v>-105410</v>
      </c>
      <c r="EN107" s="199">
        <f t="shared" si="325"/>
        <v>233681.15700000001</v>
      </c>
      <c r="EO107" s="173">
        <f t="shared" si="325"/>
        <v>-60965.695999999996</v>
      </c>
      <c r="EP107" s="241">
        <f t="shared" si="325"/>
        <v>3597.6080000000002</v>
      </c>
      <c r="EQ107" s="241">
        <f t="shared" si="325"/>
        <v>-7557.4250000000002</v>
      </c>
      <c r="ER107" s="241">
        <f t="shared" si="325"/>
        <v>70000</v>
      </c>
      <c r="ES107" s="497">
        <f t="shared" si="325"/>
        <v>-121175.09499999999</v>
      </c>
      <c r="ET107" s="241">
        <f t="shared" si="325"/>
        <v>-116100.60799999998</v>
      </c>
      <c r="EU107" s="173">
        <f t="shared" si="325"/>
        <v>-52277.122000000003</v>
      </c>
      <c r="EV107" s="241">
        <f t="shared" si="325"/>
        <v>37897.902999999998</v>
      </c>
      <c r="EW107" s="241">
        <f t="shared" si="325"/>
        <v>-115970.9</v>
      </c>
      <c r="EX107" s="241">
        <f t="shared" si="325"/>
        <v>-15574.903699999999</v>
      </c>
      <c r="EY107" s="241">
        <f t="shared" si="325"/>
        <v>37638.040999999997</v>
      </c>
      <c r="EZ107" s="241">
        <f>EZ98-EZ53</f>
        <v>-41172.675000000003</v>
      </c>
      <c r="FA107" s="497">
        <f t="shared" si="325"/>
        <v>-87290.513999999996</v>
      </c>
      <c r="FB107" s="199">
        <f t="shared" si="325"/>
        <v>-236750.17069999996</v>
      </c>
      <c r="FC107" s="235">
        <f t="shared" si="325"/>
        <v>-481871.71669999952</v>
      </c>
      <c r="FD107" s="173">
        <f t="shared" si="325"/>
        <v>48043.074999999997</v>
      </c>
      <c r="FE107" s="241">
        <f t="shared" si="325"/>
        <v>-165988.61299999998</v>
      </c>
      <c r="FF107" s="497">
        <f t="shared" si="325"/>
        <v>-18821.789999999997</v>
      </c>
      <c r="FG107" s="199">
        <f t="shared" si="325"/>
        <v>-136767.32799999992</v>
      </c>
      <c r="FH107" s="173">
        <f t="shared" si="325"/>
        <v>-24351.331000000064</v>
      </c>
      <c r="FI107" s="241">
        <f t="shared" si="325"/>
        <v>-1672.7040000000002</v>
      </c>
      <c r="FJ107" s="241">
        <f t="shared" si="325"/>
        <v>-5472.2860000000001</v>
      </c>
      <c r="FK107" s="241">
        <f t="shared" si="325"/>
        <v>109901.56300000002</v>
      </c>
      <c r="FL107" s="497">
        <f t="shared" si="325"/>
        <v>-53075.282000000007</v>
      </c>
      <c r="FM107" s="199">
        <f t="shared" si="325"/>
        <v>25329.960000000021</v>
      </c>
      <c r="FN107" s="173">
        <f t="shared" si="325"/>
        <v>-22518.853999999999</v>
      </c>
      <c r="FO107" s="241">
        <f t="shared" si="325"/>
        <v>-2792.31</v>
      </c>
      <c r="FP107" s="241">
        <f t="shared" si="325"/>
        <v>-152046.91100000002</v>
      </c>
      <c r="FQ107" s="241">
        <f t="shared" si="325"/>
        <v>-556.83899999999994</v>
      </c>
      <c r="FR107" s="199">
        <f t="shared" si="325"/>
        <v>-177914.91400000002</v>
      </c>
      <c r="FS107" s="173">
        <f t="shared" si="325"/>
        <v>-63924.224000000002</v>
      </c>
      <c r="FT107" s="241">
        <f t="shared" si="325"/>
        <v>-2281.0519999999997</v>
      </c>
      <c r="FU107" s="241">
        <f t="shared" si="325"/>
        <v>-5333.3710000000001</v>
      </c>
      <c r="FV107" s="241">
        <f t="shared" si="325"/>
        <v>208763.91099999999</v>
      </c>
      <c r="FW107" s="497">
        <f t="shared" si="325"/>
        <v>-171066.90499999997</v>
      </c>
      <c r="FX107" s="199">
        <f t="shared" si="325"/>
        <v>-33841.641000000003</v>
      </c>
      <c r="FY107" s="173">
        <f t="shared" ref="FY107:GD107" si="326">FY98-FY53</f>
        <v>-130966.931</v>
      </c>
      <c r="FZ107" s="241">
        <f t="shared" si="326"/>
        <v>-154812.90100000001</v>
      </c>
      <c r="GA107" s="241">
        <f t="shared" si="326"/>
        <v>94938.653000000006</v>
      </c>
      <c r="GB107" s="241">
        <f t="shared" si="326"/>
        <v>-113492.383</v>
      </c>
      <c r="GC107" s="497">
        <f t="shared" si="326"/>
        <v>2078903.469</v>
      </c>
      <c r="GD107" s="199">
        <f t="shared" si="326"/>
        <v>1774569.9070000004</v>
      </c>
      <c r="GE107" s="235">
        <f t="shared" si="325"/>
        <v>1451375.9839999992</v>
      </c>
      <c r="GF107" s="173">
        <f t="shared" si="325"/>
        <v>-92241.205000000002</v>
      </c>
      <c r="GG107" s="241">
        <f t="shared" si="325"/>
        <v>-8408.9269999999979</v>
      </c>
      <c r="GH107" s="241">
        <f t="shared" si="325"/>
        <v>-262179.989</v>
      </c>
      <c r="GI107" s="241">
        <f t="shared" si="325"/>
        <v>-113982.478</v>
      </c>
      <c r="GJ107" s="241">
        <f t="shared" si="325"/>
        <v>23248.191000000003</v>
      </c>
      <c r="GK107" s="199">
        <f t="shared" si="325"/>
        <v>-453564.408</v>
      </c>
      <c r="GL107" s="173">
        <f t="shared" si="325"/>
        <v>-16842.587000000003</v>
      </c>
      <c r="GM107" s="241">
        <f t="shared" si="325"/>
        <v>143833.84099999999</v>
      </c>
      <c r="GN107" s="241">
        <f t="shared" si="325"/>
        <v>-260506.84699999998</v>
      </c>
      <c r="GO107" s="497">
        <f t="shared" si="325"/>
        <v>-266331.86600000004</v>
      </c>
      <c r="GP107" s="199">
        <f t="shared" si="325"/>
        <v>-399847.45899999992</v>
      </c>
      <c r="GQ107" s="173">
        <f t="shared" ref="GQ107:IY107" si="327">GQ98-GQ53</f>
        <v>-77126.453999999983</v>
      </c>
      <c r="GR107" s="241">
        <f t="shared" si="327"/>
        <v>37630.697</v>
      </c>
      <c r="GS107" s="241">
        <f t="shared" si="327"/>
        <v>-2606.09</v>
      </c>
      <c r="GT107" s="241">
        <f t="shared" si="327"/>
        <v>-389367.40800000005</v>
      </c>
      <c r="GU107" s="497">
        <f t="shared" si="327"/>
        <v>249795.16899999997</v>
      </c>
      <c r="GV107" s="199">
        <f t="shared" si="327"/>
        <v>-181674.08600000001</v>
      </c>
      <c r="GW107" s="173">
        <f t="shared" si="327"/>
        <v>-4267.4740000000002</v>
      </c>
      <c r="GX107" s="241">
        <f t="shared" si="327"/>
        <v>-30472.514999999985</v>
      </c>
      <c r="GY107" s="241">
        <f t="shared" si="327"/>
        <v>-27941.073</v>
      </c>
      <c r="GZ107" s="241">
        <f>GZ98-GZ53</f>
        <v>188337.11499999999</v>
      </c>
      <c r="HA107" s="241">
        <f>HA98-HA53</f>
        <v>-62541.144</v>
      </c>
      <c r="HB107" s="497">
        <f t="shared" si="327"/>
        <v>140438.41</v>
      </c>
      <c r="HC107" s="199">
        <f t="shared" si="327"/>
        <v>203553.31900000002</v>
      </c>
      <c r="HD107" s="235">
        <f t="shared" si="327"/>
        <v>-831532.63400000008</v>
      </c>
      <c r="HE107" s="173">
        <f t="shared" si="327"/>
        <v>-953030.68200000003</v>
      </c>
      <c r="HF107" s="241">
        <f t="shared" si="327"/>
        <v>-5159.1900000000005</v>
      </c>
      <c r="HG107" s="241">
        <f t="shared" si="327"/>
        <v>-61813.895000000004</v>
      </c>
      <c r="HH107" s="241">
        <f t="shared" si="327"/>
        <v>-17401.83600000001</v>
      </c>
      <c r="HI107" s="199">
        <f t="shared" si="327"/>
        <v>-1037405.6029999999</v>
      </c>
      <c r="HJ107" s="173">
        <f t="shared" si="327"/>
        <v>27010.361999999997</v>
      </c>
      <c r="HK107" s="241">
        <f t="shared" si="327"/>
        <v>-35730.378999999986</v>
      </c>
      <c r="HL107" s="241">
        <f t="shared" si="327"/>
        <v>-15440.707000000002</v>
      </c>
      <c r="HM107" s="241">
        <f t="shared" si="327"/>
        <v>-95451.088999999993</v>
      </c>
      <c r="HN107" s="497">
        <f t="shared" si="327"/>
        <v>-265055.174</v>
      </c>
      <c r="HO107" s="497">
        <f t="shared" si="327"/>
        <v>-384666.98700000008</v>
      </c>
      <c r="HP107" s="173">
        <f t="shared" si="327"/>
        <v>1761289.318</v>
      </c>
      <c r="HQ107" s="241">
        <f t="shared" si="327"/>
        <v>-82864.879000000015</v>
      </c>
      <c r="HR107" s="241">
        <f t="shared" si="327"/>
        <v>-307291.60400000005</v>
      </c>
      <c r="HS107" s="241">
        <f t="shared" si="327"/>
        <v>-20529.221999999998</v>
      </c>
      <c r="HT107" s="497">
        <f t="shared" si="327"/>
        <v>-4762.6930000000002</v>
      </c>
      <c r="HU107" s="199">
        <f t="shared" si="327"/>
        <v>1345840.92</v>
      </c>
      <c r="HV107" s="173">
        <f t="shared" si="327"/>
        <v>-10075.767000000002</v>
      </c>
      <c r="HW107" s="241">
        <f t="shared" si="327"/>
        <v>170571.70099999991</v>
      </c>
      <c r="HX107" s="241">
        <f t="shared" si="327"/>
        <v>-3199.1339999999996</v>
      </c>
      <c r="HY107" s="199">
        <f t="shared" si="327"/>
        <v>157296.79999999993</v>
      </c>
      <c r="HZ107" s="173">
        <f t="shared" si="327"/>
        <v>143760.34600000002</v>
      </c>
      <c r="IA107" s="241">
        <f t="shared" si="327"/>
        <v>-23183.881000000001</v>
      </c>
      <c r="IB107" s="497">
        <f t="shared" si="327"/>
        <v>-126186.76000000001</v>
      </c>
      <c r="IC107" s="199">
        <f t="shared" si="327"/>
        <v>-5610.2950000000128</v>
      </c>
      <c r="ID107" s="235">
        <f t="shared" si="327"/>
        <v>75454.834999999381</v>
      </c>
      <c r="IE107" s="173">
        <f t="shared" si="327"/>
        <v>-80397.605999999985</v>
      </c>
      <c r="IF107" s="497">
        <f t="shared" si="327"/>
        <v>-18043.386000000002</v>
      </c>
      <c r="IG107" s="199">
        <f t="shared" si="327"/>
        <v>-98440.991999999998</v>
      </c>
      <c r="IH107" s="173">
        <f t="shared" si="327"/>
        <v>-64399.881000000001</v>
      </c>
      <c r="II107" s="241">
        <f t="shared" si="327"/>
        <v>-336018.08399999992</v>
      </c>
      <c r="IJ107" s="241">
        <f t="shared" si="327"/>
        <v>228431.49699999997</v>
      </c>
      <c r="IK107" s="241">
        <f t="shared" si="327"/>
        <v>-39317.663999999997</v>
      </c>
      <c r="IL107" s="497">
        <f t="shared" si="327"/>
        <v>-2546.0250000000001</v>
      </c>
      <c r="IM107" s="199">
        <f t="shared" si="327"/>
        <v>-213850.15699999989</v>
      </c>
      <c r="IN107" s="173">
        <f t="shared" si="327"/>
        <v>192085.41200000001</v>
      </c>
      <c r="IO107" s="241">
        <f t="shared" si="327"/>
        <v>-65404.115999999987</v>
      </c>
      <c r="IP107" s="497">
        <f t="shared" si="327"/>
        <v>-80709.33</v>
      </c>
      <c r="IQ107" s="199">
        <f t="shared" si="327"/>
        <v>45971.966000000015</v>
      </c>
      <c r="IR107" s="173">
        <f t="shared" si="327"/>
        <v>-8168.7970000000059</v>
      </c>
      <c r="IS107" s="241">
        <f t="shared" si="327"/>
        <v>-33834.882999999994</v>
      </c>
      <c r="IT107" s="241">
        <f t="shared" si="327"/>
        <v>36016.120999999999</v>
      </c>
      <c r="IU107" s="241">
        <f t="shared" si="327"/>
        <v>-80876.614000000001</v>
      </c>
      <c r="IV107" s="497">
        <f t="shared" si="327"/>
        <v>-6422.9160000000002</v>
      </c>
      <c r="IW107" s="199">
        <f t="shared" si="327"/>
        <v>-93287.089000000095</v>
      </c>
      <c r="IX107" s="173">
        <f t="shared" si="327"/>
        <v>-9219.7320000000018</v>
      </c>
      <c r="IY107" s="241">
        <f t="shared" si="327"/>
        <v>220534.40410000001</v>
      </c>
      <c r="IZ107" s="241">
        <f t="shared" ref="IZ107:LG107" si="328">IZ98-IZ53</f>
        <v>-329029.245</v>
      </c>
      <c r="JA107" s="241">
        <f t="shared" si="328"/>
        <v>-53283.31</v>
      </c>
      <c r="JB107" s="497">
        <f t="shared" si="328"/>
        <v>-54565.074000000022</v>
      </c>
      <c r="JC107" s="199">
        <f t="shared" si="328"/>
        <v>-225562.95689999999</v>
      </c>
      <c r="JD107" s="235">
        <f t="shared" si="328"/>
        <v>-585169.22889999975</v>
      </c>
      <c r="JE107" s="173">
        <f t="shared" si="328"/>
        <v>-419575.61099999998</v>
      </c>
      <c r="JF107" s="241">
        <f t="shared" si="328"/>
        <v>-22518.635000000002</v>
      </c>
      <c r="JG107" s="241">
        <f t="shared" si="328"/>
        <v>-26858.569000000003</v>
      </c>
      <c r="JH107" s="241">
        <f t="shared" si="328"/>
        <v>-17450.594000000001</v>
      </c>
      <c r="JI107" s="497">
        <f t="shared" si="328"/>
        <v>207211.24400000001</v>
      </c>
      <c r="JJ107" s="199">
        <f t="shared" si="328"/>
        <v>-279192.16499999998</v>
      </c>
      <c r="JK107" s="434">
        <f t="shared" si="328"/>
        <v>0</v>
      </c>
      <c r="JL107" s="435">
        <f t="shared" si="328"/>
        <v>0</v>
      </c>
      <c r="JM107" s="435">
        <f t="shared" si="328"/>
        <v>0</v>
      </c>
      <c r="JN107" s="435">
        <f t="shared" si="328"/>
        <v>0</v>
      </c>
      <c r="JO107" s="436">
        <f t="shared" si="328"/>
        <v>0</v>
      </c>
      <c r="JP107" s="149">
        <f t="shared" si="328"/>
        <v>0</v>
      </c>
      <c r="JQ107" s="434">
        <f t="shared" si="328"/>
        <v>0</v>
      </c>
      <c r="JR107" s="435">
        <f t="shared" si="328"/>
        <v>0</v>
      </c>
      <c r="JS107" s="435">
        <f t="shared" si="328"/>
        <v>0</v>
      </c>
      <c r="JT107" s="435">
        <f t="shared" si="328"/>
        <v>0</v>
      </c>
      <c r="JU107" s="436">
        <f t="shared" si="328"/>
        <v>0</v>
      </c>
      <c r="JV107" s="149">
        <f t="shared" si="328"/>
        <v>0</v>
      </c>
      <c r="JW107" s="434">
        <f t="shared" si="328"/>
        <v>0</v>
      </c>
      <c r="JX107" s="435">
        <f t="shared" si="328"/>
        <v>0</v>
      </c>
      <c r="JY107" s="435">
        <f t="shared" si="328"/>
        <v>0</v>
      </c>
      <c r="JZ107" s="435">
        <f t="shared" si="328"/>
        <v>0</v>
      </c>
      <c r="KA107" s="435"/>
      <c r="KB107" s="436">
        <f t="shared" si="328"/>
        <v>0</v>
      </c>
      <c r="KC107" s="149">
        <f t="shared" si="328"/>
        <v>0</v>
      </c>
      <c r="KD107" s="149">
        <f t="shared" si="328"/>
        <v>-2110343.2050000001</v>
      </c>
      <c r="KE107" s="434">
        <f t="shared" si="328"/>
        <v>0</v>
      </c>
      <c r="KF107" s="435">
        <f t="shared" si="328"/>
        <v>0</v>
      </c>
      <c r="KG107" s="435">
        <f t="shared" si="328"/>
        <v>0</v>
      </c>
      <c r="KH107" s="435">
        <f t="shared" si="328"/>
        <v>0</v>
      </c>
      <c r="KI107" s="436">
        <f t="shared" si="328"/>
        <v>0</v>
      </c>
      <c r="KJ107" s="149">
        <f t="shared" si="328"/>
        <v>0</v>
      </c>
      <c r="KK107" s="434">
        <f t="shared" si="328"/>
        <v>0</v>
      </c>
      <c r="KL107" s="435">
        <f t="shared" si="328"/>
        <v>0</v>
      </c>
      <c r="KM107" s="435">
        <f t="shared" si="328"/>
        <v>0</v>
      </c>
      <c r="KN107" s="435">
        <f t="shared" si="328"/>
        <v>0</v>
      </c>
      <c r="KO107" s="436">
        <f t="shared" si="328"/>
        <v>0</v>
      </c>
      <c r="KP107" s="149">
        <f t="shared" si="328"/>
        <v>0</v>
      </c>
      <c r="KQ107" s="434">
        <f t="shared" si="328"/>
        <v>0</v>
      </c>
      <c r="KR107" s="435">
        <f t="shared" si="328"/>
        <v>0</v>
      </c>
      <c r="KS107" s="435">
        <f t="shared" si="328"/>
        <v>0</v>
      </c>
      <c r="KT107" s="435">
        <f t="shared" si="328"/>
        <v>0</v>
      </c>
      <c r="KU107" s="436">
        <f t="shared" si="328"/>
        <v>0</v>
      </c>
      <c r="KV107" s="149">
        <f t="shared" si="328"/>
        <v>0</v>
      </c>
      <c r="KW107" s="434">
        <f t="shared" si="328"/>
        <v>0</v>
      </c>
      <c r="KX107" s="435">
        <f t="shared" si="328"/>
        <v>0</v>
      </c>
      <c r="KY107" s="435">
        <f t="shared" si="328"/>
        <v>0</v>
      </c>
      <c r="KZ107" s="435">
        <f t="shared" si="328"/>
        <v>0</v>
      </c>
      <c r="LA107" s="436">
        <f t="shared" si="328"/>
        <v>0</v>
      </c>
      <c r="LB107" s="149">
        <f t="shared" si="328"/>
        <v>0</v>
      </c>
      <c r="LC107" s="434">
        <f t="shared" si="328"/>
        <v>0</v>
      </c>
      <c r="LD107" s="435">
        <f t="shared" si="328"/>
        <v>0</v>
      </c>
      <c r="LE107" s="436">
        <f t="shared" si="328"/>
        <v>0</v>
      </c>
      <c r="LF107" s="149">
        <f t="shared" si="328"/>
        <v>0</v>
      </c>
      <c r="LG107" s="149">
        <f t="shared" si="328"/>
        <v>-371401.14</v>
      </c>
    </row>
    <row r="108" spans="2:319" s="91" customFormat="1">
      <c r="B108" s="365" t="s">
        <v>373</v>
      </c>
      <c r="C108" s="174">
        <v>-837460.17</v>
      </c>
      <c r="D108" s="174">
        <v>-837460.17</v>
      </c>
      <c r="J108" s="201"/>
      <c r="O108" s="201"/>
      <c r="U108" s="201"/>
      <c r="AA108" s="201"/>
      <c r="AB108" s="174">
        <v>-837460.17</v>
      </c>
      <c r="AC108" s="207"/>
      <c r="AD108" s="207"/>
      <c r="AE108" s="207"/>
      <c r="AF108" s="207"/>
      <c r="AG108" s="207"/>
      <c r="AH108" s="207"/>
      <c r="AI108" s="207"/>
      <c r="AJ108" s="207"/>
      <c r="AK108" s="207"/>
      <c r="AL108" s="207"/>
      <c r="AM108" s="207"/>
      <c r="AN108" s="207"/>
      <c r="AO108" s="207"/>
      <c r="AP108" s="207"/>
      <c r="AQ108" s="207"/>
      <c r="AR108" s="207"/>
      <c r="AS108" s="207"/>
      <c r="AT108" s="207"/>
      <c r="AU108" s="207"/>
      <c r="AV108" s="207"/>
      <c r="AW108" s="207"/>
      <c r="AX108" s="207"/>
      <c r="AY108" s="207"/>
      <c r="AZ108" s="207"/>
      <c r="BA108" s="201"/>
      <c r="BB108" s="201"/>
      <c r="BC108" s="201"/>
      <c r="BD108" s="201"/>
      <c r="BE108" s="201"/>
      <c r="BF108" s="201"/>
      <c r="BG108" s="201"/>
      <c r="BH108" s="201"/>
      <c r="BI108" s="201"/>
      <c r="BJ108" s="201"/>
      <c r="BK108" s="201"/>
      <c r="BL108" s="201"/>
      <c r="BM108" s="201"/>
      <c r="BN108" s="201"/>
      <c r="BO108" s="201"/>
      <c r="BP108" s="201"/>
      <c r="BQ108" s="201"/>
      <c r="BR108" s="201"/>
      <c r="BS108" s="201"/>
      <c r="BT108" s="201"/>
      <c r="BU108" s="201"/>
      <c r="BV108" s="201"/>
      <c r="BW108" s="201"/>
      <c r="BX108" s="201"/>
      <c r="BY108" s="201"/>
      <c r="BZ108" s="201"/>
      <c r="CA108" s="201"/>
      <c r="CB108" s="201"/>
      <c r="CC108" s="201"/>
      <c r="CD108" s="201"/>
      <c r="CE108" s="201"/>
      <c r="CF108" s="201"/>
      <c r="CG108" s="201"/>
      <c r="CH108" s="201"/>
      <c r="CI108" s="201"/>
      <c r="CJ108" s="201"/>
      <c r="CK108" s="201"/>
      <c r="CL108" s="201"/>
      <c r="CM108" s="201"/>
      <c r="CN108" s="201"/>
      <c r="CO108" s="201"/>
      <c r="CP108" s="201"/>
      <c r="CQ108" s="201"/>
      <c r="CR108" s="201"/>
      <c r="CS108" s="201"/>
      <c r="CT108" s="201"/>
      <c r="CU108" s="201"/>
      <c r="CV108" s="201"/>
      <c r="CW108" s="201"/>
      <c r="CX108" s="201"/>
      <c r="CY108" s="201"/>
      <c r="CZ108" s="201"/>
      <c r="DA108" s="201"/>
      <c r="DB108" s="201"/>
      <c r="DC108" s="201"/>
      <c r="DD108" s="201"/>
      <c r="DE108" s="201"/>
      <c r="DF108" s="201"/>
      <c r="DG108" s="201"/>
      <c r="DH108" s="201"/>
      <c r="DI108" s="201"/>
      <c r="DJ108" s="201"/>
      <c r="DK108" s="201"/>
      <c r="DL108" s="201"/>
      <c r="DM108" s="201"/>
      <c r="DN108" s="201"/>
      <c r="DO108" s="201"/>
      <c r="DP108" s="201"/>
      <c r="DQ108" s="201"/>
      <c r="DR108" s="201"/>
      <c r="DS108" s="201"/>
      <c r="DT108" s="201"/>
      <c r="DU108" s="201"/>
      <c r="DV108" s="201"/>
      <c r="DW108" s="201"/>
      <c r="DX108" s="201"/>
      <c r="DY108" s="201"/>
      <c r="DZ108" s="201"/>
      <c r="EA108" s="201"/>
      <c r="EB108" s="201"/>
      <c r="EC108" s="201"/>
      <c r="ED108" s="201"/>
      <c r="EE108" s="201"/>
      <c r="EF108" s="201"/>
      <c r="EG108" s="201"/>
      <c r="EH108" s="201"/>
      <c r="EI108" s="201"/>
      <c r="EJ108" s="201"/>
      <c r="EK108" s="201"/>
      <c r="EL108" s="201"/>
      <c r="EM108" s="201"/>
      <c r="EN108" s="201"/>
      <c r="EO108" s="201"/>
      <c r="EP108" s="201"/>
      <c r="EQ108" s="201"/>
      <c r="ER108" s="201"/>
      <c r="ES108" s="201"/>
      <c r="ET108" s="201"/>
      <c r="EU108" s="201"/>
      <c r="EV108" s="201"/>
      <c r="EW108" s="201"/>
      <c r="EX108" s="201"/>
      <c r="EY108" s="201"/>
      <c r="EZ108" s="201"/>
      <c r="FA108" s="201"/>
      <c r="FB108" s="201"/>
      <c r="FC108" s="201"/>
      <c r="FD108" s="201"/>
      <c r="FE108" s="201"/>
      <c r="FF108" s="201"/>
      <c r="FG108" s="201"/>
      <c r="FH108" s="201"/>
      <c r="FI108" s="201"/>
      <c r="FJ108" s="201"/>
      <c r="FK108" s="201"/>
      <c r="FL108" s="201"/>
      <c r="FM108" s="201"/>
      <c r="FN108" s="201"/>
      <c r="FO108" s="201"/>
      <c r="FP108" s="201"/>
      <c r="FQ108" s="201"/>
      <c r="FR108" s="201"/>
      <c r="FS108" s="201"/>
      <c r="FT108" s="201"/>
      <c r="FU108" s="201"/>
      <c r="FV108" s="201"/>
      <c r="FW108" s="201"/>
      <c r="FX108" s="201"/>
      <c r="FY108" s="201"/>
      <c r="FZ108" s="201"/>
      <c r="GA108" s="201"/>
      <c r="GB108" s="201"/>
      <c r="GC108" s="201"/>
      <c r="GD108" s="201"/>
      <c r="GE108" s="201"/>
      <c r="GF108" s="201"/>
      <c r="GG108" s="201"/>
      <c r="GH108" s="201"/>
      <c r="GI108" s="201"/>
      <c r="GJ108" s="201"/>
      <c r="GK108" s="201"/>
      <c r="GL108" s="201"/>
      <c r="GM108" s="201"/>
      <c r="GN108" s="201"/>
      <c r="GO108" s="201"/>
      <c r="GP108" s="201"/>
      <c r="GQ108" s="201"/>
      <c r="GR108" s="201"/>
      <c r="GS108" s="201"/>
      <c r="GT108" s="201"/>
      <c r="GU108" s="201"/>
      <c r="GV108" s="201"/>
      <c r="GW108" s="201"/>
      <c r="GX108" s="201"/>
      <c r="GY108" s="201"/>
      <c r="GZ108" s="201"/>
      <c r="HA108" s="201"/>
      <c r="HB108" s="201"/>
      <c r="HC108" s="201"/>
      <c r="HD108" s="201"/>
      <c r="HE108" s="201"/>
      <c r="HF108" s="201"/>
      <c r="HG108" s="201"/>
      <c r="HH108" s="201"/>
      <c r="HI108" s="201"/>
      <c r="HJ108" s="201"/>
      <c r="HK108" s="201"/>
      <c r="HL108" s="201"/>
      <c r="HM108" s="201"/>
      <c r="HN108" s="201"/>
      <c r="HO108" s="201"/>
      <c r="HP108" s="201"/>
      <c r="HQ108" s="201"/>
      <c r="HR108" s="201"/>
      <c r="HS108" s="201"/>
      <c r="HT108" s="201"/>
      <c r="HU108" s="201"/>
      <c r="HV108" s="201"/>
      <c r="HW108" s="201"/>
      <c r="HX108" s="201"/>
      <c r="HY108" s="201"/>
      <c r="HZ108" s="201"/>
      <c r="IA108" s="201"/>
      <c r="IB108" s="201"/>
      <c r="IC108" s="201"/>
      <c r="ID108" s="201"/>
      <c r="IE108" s="201"/>
      <c r="IF108" s="201"/>
      <c r="IG108" s="201"/>
      <c r="IH108" s="201"/>
      <c r="II108" s="201"/>
      <c r="IJ108" s="201"/>
      <c r="IK108" s="201"/>
      <c r="IL108" s="201"/>
      <c r="IM108" s="201"/>
      <c r="IN108" s="201"/>
      <c r="IO108" s="201"/>
      <c r="IP108" s="201"/>
      <c r="IQ108" s="201"/>
      <c r="IR108" s="201"/>
      <c r="IS108" s="201"/>
      <c r="IT108" s="201"/>
      <c r="IU108" s="201"/>
      <c r="IV108" s="201"/>
      <c r="IW108" s="201"/>
      <c r="IX108" s="201"/>
      <c r="IY108" s="201"/>
      <c r="IZ108" s="201"/>
      <c r="JA108" s="201"/>
      <c r="JB108" s="201"/>
      <c r="JC108" s="201"/>
      <c r="JD108" s="201"/>
      <c r="JE108" s="201"/>
      <c r="JF108" s="201"/>
      <c r="JG108" s="201"/>
      <c r="JH108" s="201"/>
      <c r="JI108" s="201"/>
      <c r="JJ108" s="201"/>
      <c r="JK108" s="201"/>
      <c r="JL108" s="201"/>
      <c r="JM108" s="201"/>
      <c r="JN108" s="201"/>
      <c r="JO108" s="201"/>
      <c r="JP108" s="201"/>
      <c r="JQ108" s="201"/>
      <c r="JR108" s="201"/>
      <c r="JS108" s="201"/>
      <c r="JT108" s="201"/>
      <c r="JU108" s="201"/>
      <c r="JV108" s="201"/>
      <c r="JW108" s="201"/>
      <c r="JX108" s="201"/>
      <c r="JY108" s="201"/>
      <c r="JZ108" s="201"/>
      <c r="KA108" s="201"/>
      <c r="KB108" s="201"/>
      <c r="KC108" s="201"/>
      <c r="KD108" s="201"/>
      <c r="KE108" s="201"/>
      <c r="KF108" s="201"/>
      <c r="KG108" s="201"/>
      <c r="KH108" s="201"/>
      <c r="KI108" s="201"/>
      <c r="KJ108" s="201"/>
      <c r="KK108" s="201"/>
      <c r="KL108" s="201"/>
      <c r="KM108" s="201"/>
      <c r="KN108" s="201"/>
      <c r="KO108" s="201"/>
      <c r="KP108" s="201"/>
      <c r="KQ108" s="201"/>
      <c r="KR108" s="201"/>
      <c r="KS108" s="201"/>
      <c r="KT108" s="201"/>
      <c r="KU108" s="201"/>
      <c r="KV108" s="201"/>
      <c r="KW108" s="201"/>
      <c r="KX108" s="201"/>
      <c r="KY108" s="201"/>
      <c r="KZ108" s="201"/>
      <c r="LA108" s="201"/>
      <c r="LB108" s="201"/>
      <c r="LC108" s="201"/>
      <c r="LD108" s="201"/>
      <c r="LE108" s="201"/>
      <c r="LF108" s="201"/>
      <c r="LG108" s="201"/>
    </row>
    <row r="109" spans="2:319" s="91" customFormat="1">
      <c r="B109" s="366" t="s">
        <v>168</v>
      </c>
      <c r="C109" s="175">
        <f>C108+C107</f>
        <v>-845603.152</v>
      </c>
      <c r="D109" s="442">
        <f>+C108+D107</f>
        <v>-845603.152</v>
      </c>
      <c r="E109" s="175">
        <f>D109+E107</f>
        <v>-847186.674</v>
      </c>
      <c r="F109" s="175">
        <f>E109+F107</f>
        <v>-749559.32499999995</v>
      </c>
      <c r="G109" s="175">
        <f>F109+G107</f>
        <v>-883479.2379999999</v>
      </c>
      <c r="H109" s="175">
        <f>G109+H107</f>
        <v>-901151.75699999987</v>
      </c>
      <c r="I109" s="175">
        <f>H109+I107</f>
        <v>-867387.94799999986</v>
      </c>
      <c r="J109" s="175">
        <f>D109+J107</f>
        <v>-867387.94799999986</v>
      </c>
      <c r="K109" s="175">
        <f>J109+K107</f>
        <v>-941455.07999999984</v>
      </c>
      <c r="L109" s="175">
        <f>K109+L107</f>
        <v>-895940.11899999983</v>
      </c>
      <c r="M109" s="175">
        <f>L109+M107</f>
        <v>-910939.08599999978</v>
      </c>
      <c r="N109" s="175">
        <f>M109+N107</f>
        <v>-915919.75499999977</v>
      </c>
      <c r="O109" s="175">
        <f>+J109+O107</f>
        <v>-915919.75499999989</v>
      </c>
      <c r="P109" s="175">
        <f>O109+P107</f>
        <v>-949882.51299999992</v>
      </c>
      <c r="Q109" s="175">
        <f>P109+Q107</f>
        <v>-902501.92699999991</v>
      </c>
      <c r="R109" s="175">
        <f>Q109+R107</f>
        <v>-976540.47199999995</v>
      </c>
      <c r="S109" s="175">
        <f>R109+S107</f>
        <v>-991456.75099999993</v>
      </c>
      <c r="T109" s="175">
        <f>S109+T107</f>
        <v>-997356.41299999994</v>
      </c>
      <c r="U109" s="175">
        <f>+O109+U107</f>
        <v>-997356.41299999994</v>
      </c>
      <c r="V109" s="175">
        <f>U109+V107</f>
        <v>-949313.02099999995</v>
      </c>
      <c r="W109" s="175">
        <f>V109+W107</f>
        <v>-951598.71799999999</v>
      </c>
      <c r="X109" s="175">
        <f>W109+X107</f>
        <v>-937606.20900000003</v>
      </c>
      <c r="Y109" s="175">
        <f>X109+Y107</f>
        <v>-914077.03600000008</v>
      </c>
      <c r="Z109" s="175">
        <f>Y109+Z107</f>
        <v>-1118317.939</v>
      </c>
      <c r="AA109" s="175">
        <f>+U109+AA107</f>
        <v>-1118317.9389999998</v>
      </c>
      <c r="AB109" s="175">
        <f>+C108+AB107</f>
        <v>-1118317.9389999998</v>
      </c>
      <c r="AC109" s="175">
        <f>AB109+AC107</f>
        <v>-1128965.1719999998</v>
      </c>
      <c r="AD109" s="175">
        <f>AC109+AD107</f>
        <v>-1139120.5639999998</v>
      </c>
      <c r="AE109" s="175">
        <f>AD109+AE107</f>
        <v>-1193496.0399999998</v>
      </c>
      <c r="AF109" s="175">
        <f>AE109+AF107</f>
        <v>-753925.67399999977</v>
      </c>
      <c r="AG109" s="175">
        <f>AF109+AG107</f>
        <v>-776426.41799999971</v>
      </c>
      <c r="AH109" s="175">
        <f>AB109+AH107</f>
        <v>-776426.41799999971</v>
      </c>
      <c r="AI109" s="175">
        <f>AH109+AI107</f>
        <v>-592998.18099999963</v>
      </c>
      <c r="AJ109" s="175">
        <f>AI109+AJ107</f>
        <v>-870088.99799999967</v>
      </c>
      <c r="AK109" s="175">
        <f>AJ109+AK107</f>
        <v>-880838.22999999963</v>
      </c>
      <c r="AL109" s="175">
        <f>AK109+AL107</f>
        <v>-906029.01099999959</v>
      </c>
      <c r="AM109" s="175">
        <f>AL109+AM107</f>
        <v>-906224.25299999956</v>
      </c>
      <c r="AN109" s="175">
        <f>AH109+AN107</f>
        <v>-906224.25299999968</v>
      </c>
      <c r="AO109" s="175">
        <f>AN109+AO107</f>
        <v>-942339.40499999968</v>
      </c>
      <c r="AP109" s="175">
        <f>AO109+AP107</f>
        <v>-964726.76799999969</v>
      </c>
      <c r="AQ109" s="175">
        <f>AP109+AQ107</f>
        <v>-964234.97499999963</v>
      </c>
      <c r="AR109" s="175">
        <f>AQ109+AR107</f>
        <v>-929036.18699999969</v>
      </c>
      <c r="AS109" s="175">
        <f>AR109+AS107</f>
        <v>-1209123.0369999995</v>
      </c>
      <c r="AT109" s="175">
        <f>AN109+AT107</f>
        <v>-1209123.0369999995</v>
      </c>
      <c r="AU109" s="175">
        <f>AT109+AU107</f>
        <v>-704209.59209999954</v>
      </c>
      <c r="AV109" s="175">
        <f>AU109+AV107</f>
        <v>-704448.39409999957</v>
      </c>
      <c r="AW109" s="175">
        <f>AV109+AW107</f>
        <v>-712141.85609999963</v>
      </c>
      <c r="AX109" s="175">
        <f>AW109+AX107</f>
        <v>-725453.60509999958</v>
      </c>
      <c r="AY109" s="175">
        <f>AX109+AY107</f>
        <v>-758118.09109999961</v>
      </c>
      <c r="AZ109" s="175">
        <f>AT109+AZ107</f>
        <v>-758118.09109999961</v>
      </c>
      <c r="BA109" s="175">
        <f>AB109+BA107</f>
        <v>-758118.09109999961</v>
      </c>
      <c r="BB109" s="175">
        <f>BA109+BB107</f>
        <v>-1343567.9070999995</v>
      </c>
      <c r="BC109" s="175">
        <f>BB109+BC107</f>
        <v>-2006111.1040999996</v>
      </c>
      <c r="BD109" s="175">
        <f>BC109+BD107</f>
        <v>-795638.12009999971</v>
      </c>
      <c r="BE109" s="175">
        <f>BD109+BE107</f>
        <v>-792943.05509999976</v>
      </c>
      <c r="BF109" s="175">
        <f>BE109+BF107</f>
        <v>-797816.54909999971</v>
      </c>
      <c r="BG109" s="175">
        <f>BA109+BG107</f>
        <v>-797816.54909999948</v>
      </c>
      <c r="BH109" s="175">
        <f>BG109+BH107</f>
        <v>-661510.19809999946</v>
      </c>
      <c r="BI109" s="175">
        <f>BH109+BI107</f>
        <v>-1076068.2380999995</v>
      </c>
      <c r="BJ109" s="175">
        <f>BI109+BJ107</f>
        <v>-1050756.0050999995</v>
      </c>
      <c r="BK109" s="175">
        <f>BJ109+BK107</f>
        <v>-846965.4660999995</v>
      </c>
      <c r="BL109" s="175">
        <f>BK109+BL107</f>
        <v>-831266.98909999942</v>
      </c>
      <c r="BM109" s="175">
        <f>BG109+BM107</f>
        <v>-831266.98909999942</v>
      </c>
      <c r="BN109" s="175">
        <f>BM109+BN107</f>
        <v>-892225.78409999935</v>
      </c>
      <c r="BO109" s="175">
        <f>BN109+BO107</f>
        <v>-801031.36809999938</v>
      </c>
      <c r="BP109" s="175">
        <f>BO109+BP107</f>
        <v>-905728.62509999936</v>
      </c>
      <c r="BQ109" s="175">
        <f>BP109+BQ107</f>
        <v>-922268.35509999935</v>
      </c>
      <c r="BR109" s="175">
        <f>BM109+BR107</f>
        <v>-922268.35509999935</v>
      </c>
      <c r="BS109" s="175">
        <f>BR109+BS107</f>
        <v>-952822.54509999929</v>
      </c>
      <c r="BT109" s="175">
        <f>BS109+BT107</f>
        <v>-917888.00309999927</v>
      </c>
      <c r="BU109" s="175">
        <f>BT109+BU107</f>
        <v>-930318.97509999922</v>
      </c>
      <c r="BV109" s="175">
        <f>BU109+BV107</f>
        <v>-920591.29409999924</v>
      </c>
      <c r="BW109" s="175">
        <f>BV109+BW107</f>
        <v>-934473.29409999924</v>
      </c>
      <c r="BX109" s="175">
        <f>BR109+BX107</f>
        <v>-934473.29409999936</v>
      </c>
      <c r="BY109" s="175">
        <f>BX109+BY107</f>
        <v>-942715.28109999932</v>
      </c>
      <c r="BZ109" s="175">
        <f>BY109+BZ107</f>
        <v>-908510.68209999928</v>
      </c>
      <c r="CA109" s="175">
        <f>BX109+CA107</f>
        <v>-908510.68209999939</v>
      </c>
      <c r="CB109" s="175">
        <f>BA109+CB107</f>
        <v>-908510.68209999963</v>
      </c>
      <c r="CC109" s="175">
        <f>CB109+CC107</f>
        <v>-979538.95709999965</v>
      </c>
      <c r="CD109" s="175">
        <f>CC109+CD107</f>
        <v>-936912.67209999962</v>
      </c>
      <c r="CE109" s="175">
        <f>CD109+CE107</f>
        <v>-1094872.2220999997</v>
      </c>
      <c r="CF109" s="175">
        <f>CB109+CF107</f>
        <v>-1094872.2220999997</v>
      </c>
      <c r="CG109" s="175">
        <f>CF109+CG107</f>
        <v>-1067570.6310999996</v>
      </c>
      <c r="CH109" s="175">
        <f>CG109+CH107</f>
        <v>-1052589.9290999996</v>
      </c>
      <c r="CI109" s="175">
        <f>CH109+CI107</f>
        <v>-890889.1300999996</v>
      </c>
      <c r="CJ109" s="175">
        <f>CI109+CJ107</f>
        <v>-1053940.5050999997</v>
      </c>
      <c r="CK109" s="175">
        <f>CF109+CK107</f>
        <v>-1053940.5050999997</v>
      </c>
      <c r="CL109" s="175">
        <f>+CK109+CL107</f>
        <v>-1065846.0450999998</v>
      </c>
      <c r="CM109" s="175">
        <f>+CL109+CM107</f>
        <v>-1069590.4010999997</v>
      </c>
      <c r="CN109" s="175">
        <f>+CM109+CN107</f>
        <v>-1078838.3560999997</v>
      </c>
      <c r="CO109" s="175">
        <f>+CN109+CO107</f>
        <v>-1211220.3080999998</v>
      </c>
      <c r="CP109" s="175">
        <f>+CO109+CP107</f>
        <v>-1220729.7750999997</v>
      </c>
      <c r="CQ109" s="175">
        <f>CK109+CQ107</f>
        <v>-1220729.7750999997</v>
      </c>
      <c r="CR109" s="175">
        <f>CQ109+CR107</f>
        <v>-1220074.9160999998</v>
      </c>
      <c r="CS109" s="175">
        <f>CR109+CS107</f>
        <v>-1276716.8660999998</v>
      </c>
      <c r="CT109" s="175">
        <f>CS109+CT107</f>
        <v>-1044972.6050999998</v>
      </c>
      <c r="CU109" s="175">
        <f>CT109+CU107</f>
        <v>-1054965.5480999998</v>
      </c>
      <c r="CV109" s="175">
        <f>CU109+CV107</f>
        <v>-1063924.1430999998</v>
      </c>
      <c r="CW109" s="175">
        <f>CQ109+CW107</f>
        <v>-1063924.1431</v>
      </c>
      <c r="CX109" s="175">
        <f>CW109+CX107</f>
        <v>-1072948.2071</v>
      </c>
      <c r="CY109" s="175">
        <f>CX109+CY107</f>
        <v>-1084954.9691000001</v>
      </c>
      <c r="CZ109" s="175">
        <f>CY109+CZ107</f>
        <v>-1085245.3151</v>
      </c>
      <c r="DA109" s="175">
        <f>CZ109+DA107</f>
        <v>-1153240.1391</v>
      </c>
      <c r="DB109" s="175">
        <f>CW109+DB107</f>
        <v>-1153240.1391</v>
      </c>
      <c r="DC109" s="175">
        <f>CB109+DC107</f>
        <v>-1153240.1390999989</v>
      </c>
      <c r="DD109" s="175">
        <f>DC109+DD107</f>
        <v>-1283265.3590999988</v>
      </c>
      <c r="DE109" s="175">
        <f>DD109+DE107</f>
        <v>-1414000.3600999988</v>
      </c>
      <c r="DF109" s="175">
        <f>DE109+DF107</f>
        <v>-1094019.0260999987</v>
      </c>
      <c r="DG109" s="175">
        <f>DF109+DG107</f>
        <v>-1118030.9380999987</v>
      </c>
      <c r="DH109" s="175">
        <f>DG109+DH107</f>
        <v>-1232002.7420999988</v>
      </c>
      <c r="DI109" s="175">
        <f>DC109+DI107</f>
        <v>-1232002.7420999988</v>
      </c>
      <c r="DJ109" s="175">
        <f>DI109+DJ107</f>
        <v>-1370949.1730999989</v>
      </c>
      <c r="DK109" s="175">
        <f>DJ109+DK107</f>
        <v>-1472499.4080999987</v>
      </c>
      <c r="DL109" s="175">
        <f>DK109+DL107</f>
        <v>-1484533.3930999988</v>
      </c>
      <c r="DM109" s="175">
        <f>DL109+DM107</f>
        <v>-1565604.8150999988</v>
      </c>
      <c r="DN109" s="175">
        <f>DM109+DN107</f>
        <v>-1401209.1610999987</v>
      </c>
      <c r="DO109" s="175">
        <f>DI109+DO107</f>
        <v>-1401209.1610999985</v>
      </c>
      <c r="DP109" s="175">
        <f>DO109+DP107</f>
        <v>-1416305.9680999985</v>
      </c>
      <c r="DQ109" s="175">
        <f>DP109+DQ107</f>
        <v>-1354209.7030999986</v>
      </c>
      <c r="DR109" s="175">
        <f>DQ109+DR107</f>
        <v>-1271417.3040999987</v>
      </c>
      <c r="DS109" s="175">
        <f>DR109+DS107</f>
        <v>-1487128.8220999986</v>
      </c>
      <c r="DT109" s="175">
        <f>DS109+DT107</f>
        <v>-1489734.4020999987</v>
      </c>
      <c r="DU109" s="175">
        <f>DO109+DU107</f>
        <v>-1489734.4020999987</v>
      </c>
      <c r="DV109" s="175">
        <f>DU109+DV107</f>
        <v>-1635965.9120999987</v>
      </c>
      <c r="DW109" s="175">
        <f>DV109+DW107</f>
        <v>-1750311.7600999987</v>
      </c>
      <c r="DX109" s="175">
        <f>DW109+DX107</f>
        <v>-1754606.7980999986</v>
      </c>
      <c r="DY109" s="175">
        <f>DX109+DY107</f>
        <v>-1478078.3260999986</v>
      </c>
      <c r="DZ109" s="175">
        <f>DY109+DZ107</f>
        <v>-1478083.0460999985</v>
      </c>
      <c r="EA109" s="175">
        <f>DU109+EA107</f>
        <v>-1478083.0460999988</v>
      </c>
      <c r="EB109" s="175">
        <f>+DC109+EB107</f>
        <v>-1478083.0460999988</v>
      </c>
      <c r="EC109" s="175">
        <f>EB109+EC107</f>
        <v>-1556071.0580999989</v>
      </c>
      <c r="ED109" s="175">
        <f>EC109+ED107</f>
        <v>-1655816.1130999988</v>
      </c>
      <c r="EE109" s="175">
        <f>ED109+EE107</f>
        <v>-1820736.8940999988</v>
      </c>
      <c r="EF109" s="175">
        <f>EE109+EF107</f>
        <v>-1834900.2170999988</v>
      </c>
      <c r="EG109" s="175">
        <f>EF109+EG107</f>
        <v>-1840785.141099999</v>
      </c>
      <c r="EH109" s="175">
        <f>EB109+EH107</f>
        <v>-1840785.1410999987</v>
      </c>
      <c r="EI109" s="175">
        <f>EH109+EI107</f>
        <v>-1847011.2920999988</v>
      </c>
      <c r="EJ109" s="175">
        <f>EI109+EJ107</f>
        <v>-1866697.9660999989</v>
      </c>
      <c r="EK109" s="175">
        <f>EJ109+EK107</f>
        <v>-1770391.583099999</v>
      </c>
      <c r="EL109" s="175">
        <f>EK109+EL107</f>
        <v>-1501693.9840999991</v>
      </c>
      <c r="EM109" s="175">
        <f>EL109+EM107</f>
        <v>-1607103.9840999991</v>
      </c>
      <c r="EN109" s="175">
        <f>EH109+EN107</f>
        <v>-1607103.9840999986</v>
      </c>
      <c r="EO109" s="175">
        <f>EN109+EO107</f>
        <v>-1668069.6800999986</v>
      </c>
      <c r="EP109" s="175">
        <f>EO109+EP107</f>
        <v>-1664472.0720999986</v>
      </c>
      <c r="EQ109" s="175">
        <f>EP109+EQ107</f>
        <v>-1672029.4970999986</v>
      </c>
      <c r="ER109" s="175">
        <f>EQ109+ER107</f>
        <v>-1602029.4970999986</v>
      </c>
      <c r="ES109" s="175">
        <f>ER109+ES107</f>
        <v>-1723204.5920999986</v>
      </c>
      <c r="ET109" s="175">
        <f>EN109+ET107</f>
        <v>-1723204.5920999986</v>
      </c>
      <c r="EU109" s="175">
        <f t="shared" ref="EU109:FA109" si="329">ET109+EU107</f>
        <v>-1775481.7140999986</v>
      </c>
      <c r="EV109" s="175">
        <f t="shared" si="329"/>
        <v>-1737583.8110999987</v>
      </c>
      <c r="EW109" s="175">
        <f t="shared" si="329"/>
        <v>-1853554.7110999986</v>
      </c>
      <c r="EX109" s="175">
        <f t="shared" si="329"/>
        <v>-1869129.6147999985</v>
      </c>
      <c r="EY109" s="175">
        <f t="shared" si="329"/>
        <v>-1831491.5737999985</v>
      </c>
      <c r="EZ109" s="175">
        <f t="shared" si="329"/>
        <v>-1872664.2487999985</v>
      </c>
      <c r="FA109" s="175">
        <f t="shared" si="329"/>
        <v>-1959954.7627999985</v>
      </c>
      <c r="FB109" s="175">
        <f>ET109+FB107</f>
        <v>-1959954.7627999985</v>
      </c>
      <c r="FC109" s="175">
        <f>EB109+FC107</f>
        <v>-1959954.7627999983</v>
      </c>
      <c r="FD109" s="175">
        <f>FC109+FD107</f>
        <v>-1911911.6877999983</v>
      </c>
      <c r="FE109" s="175">
        <f>FD109+FE107</f>
        <v>-2077900.3007999982</v>
      </c>
      <c r="FF109" s="175">
        <f>FE109+FF107</f>
        <v>-2096722.0907999983</v>
      </c>
      <c r="FG109" s="175">
        <f>FC109+FG107</f>
        <v>-2096722.0907999983</v>
      </c>
      <c r="FH109" s="175">
        <f>FG109+FH107</f>
        <v>-2121073.4217999983</v>
      </c>
      <c r="FI109" s="175">
        <f>FH109+FI107</f>
        <v>-2122746.1257999982</v>
      </c>
      <c r="FJ109" s="175">
        <f>FI109+FJ107</f>
        <v>-2128218.411799998</v>
      </c>
      <c r="FK109" s="175">
        <f>FJ109+FK107</f>
        <v>-2018316.8487999979</v>
      </c>
      <c r="FL109" s="175">
        <f>FK109+FL107</f>
        <v>-2071392.1307999981</v>
      </c>
      <c r="FM109" s="175">
        <f>FG109+FM107</f>
        <v>-2071392.1307999983</v>
      </c>
      <c r="FN109" s="175">
        <f>FM109+FN107</f>
        <v>-2093910.9847999983</v>
      </c>
      <c r="FO109" s="175">
        <f>FN109+FO107</f>
        <v>-2096703.2947999984</v>
      </c>
      <c r="FP109" s="175">
        <f>FO109+FP107</f>
        <v>-2248750.2057999982</v>
      </c>
      <c r="FQ109" s="175">
        <f>FP109+FQ107</f>
        <v>-2249307.0447999984</v>
      </c>
      <c r="FR109" s="175">
        <f>FM109+FR107</f>
        <v>-2249307.0447999984</v>
      </c>
      <c r="FS109" s="175">
        <f>FR109+FS107</f>
        <v>-2313231.2687999983</v>
      </c>
      <c r="FT109" s="175">
        <f>FS109+FT107</f>
        <v>-2315512.3207999985</v>
      </c>
      <c r="FU109" s="175">
        <f>FT109+FU107</f>
        <v>-2320845.6917999983</v>
      </c>
      <c r="FV109" s="175">
        <f>FU109+FV107</f>
        <v>-2112081.7807999984</v>
      </c>
      <c r="FW109" s="175">
        <f>FV109+FW107</f>
        <v>-2283148.6857999982</v>
      </c>
      <c r="FX109" s="175">
        <f>FR109+FX107</f>
        <v>-2283148.6857999982</v>
      </c>
      <c r="FY109" s="175">
        <f>FX109+FY107</f>
        <v>-2414115.6167999981</v>
      </c>
      <c r="FZ109" s="175">
        <f>FY109+FZ107</f>
        <v>-2568928.5177999982</v>
      </c>
      <c r="GA109" s="175">
        <f>FZ109+GA107</f>
        <v>-2473989.8647999982</v>
      </c>
      <c r="GB109" s="175">
        <f>GA109+GB107</f>
        <v>-2587482.2477999981</v>
      </c>
      <c r="GC109" s="175">
        <f>GB109+GC107</f>
        <v>-508578.77879999811</v>
      </c>
      <c r="GD109" s="175">
        <f>FX109+GD107</f>
        <v>-508578.77879999788</v>
      </c>
      <c r="GE109" s="175">
        <f>FC109+GE107</f>
        <v>-508578.77879999904</v>
      </c>
      <c r="GF109" s="175">
        <f>GE109+GF107</f>
        <v>-600819.983799999</v>
      </c>
      <c r="GG109" s="175">
        <f>GF109+GG107</f>
        <v>-609228.91079999902</v>
      </c>
      <c r="GH109" s="175">
        <f>GG109+GH107</f>
        <v>-871408.89979999908</v>
      </c>
      <c r="GI109" s="175">
        <f>GH109+GI107</f>
        <v>-985391.37779999909</v>
      </c>
      <c r="GJ109" s="175">
        <f>GI109+GJ107</f>
        <v>-962143.18679999909</v>
      </c>
      <c r="GK109" s="175">
        <f>GE109+GK107</f>
        <v>-962143.18679999909</v>
      </c>
      <c r="GL109" s="175">
        <f>GK109+GL107</f>
        <v>-978985.77379999915</v>
      </c>
      <c r="GM109" s="175">
        <f>GL109+GM107</f>
        <v>-835151.93279999914</v>
      </c>
      <c r="GN109" s="175">
        <f>GM109+GN107</f>
        <v>-1095658.7797999992</v>
      </c>
      <c r="GO109" s="175">
        <f>GN109+GO107</f>
        <v>-1361990.6457999991</v>
      </c>
      <c r="GP109" s="175">
        <f>GK109+GP107</f>
        <v>-1361990.6457999991</v>
      </c>
      <c r="GQ109" s="175">
        <f>GP109+GQ107</f>
        <v>-1439117.099799999</v>
      </c>
      <c r="GR109" s="175">
        <f>GQ109+GR107</f>
        <v>-1401486.4027999991</v>
      </c>
      <c r="GS109" s="175">
        <f>GR109+GS107</f>
        <v>-1404092.4927999992</v>
      </c>
      <c r="GT109" s="175">
        <f>GS109+GT107</f>
        <v>-1793459.9007999992</v>
      </c>
      <c r="GU109" s="175">
        <f>GT109+GU107</f>
        <v>-1543664.7317999993</v>
      </c>
      <c r="GV109" s="175">
        <f>GP109+GV107</f>
        <v>-1543664.7317999993</v>
      </c>
      <c r="GW109" s="175">
        <f t="shared" ref="GW109:HB109" si="330">GV109+GW107</f>
        <v>-1547932.2057999992</v>
      </c>
      <c r="GX109" s="175">
        <f t="shared" si="330"/>
        <v>-1578404.7207999991</v>
      </c>
      <c r="GY109" s="175">
        <f t="shared" si="330"/>
        <v>-1606345.7937999992</v>
      </c>
      <c r="GZ109" s="175">
        <f t="shared" si="330"/>
        <v>-1418008.6787999992</v>
      </c>
      <c r="HA109" s="175">
        <f t="shared" si="330"/>
        <v>-1480549.8227999993</v>
      </c>
      <c r="HB109" s="175">
        <f t="shared" si="330"/>
        <v>-1340111.4127999994</v>
      </c>
      <c r="HC109" s="175">
        <f>GV109+HC107</f>
        <v>-1340111.4127999991</v>
      </c>
      <c r="HD109" s="175">
        <f>GE109+HD107</f>
        <v>-1340111.4127999991</v>
      </c>
      <c r="HE109" s="175">
        <f>HD109+HE107</f>
        <v>-2293142.0947999991</v>
      </c>
      <c r="HF109" s="175">
        <f>HE109+HF107</f>
        <v>-2298301.2847999991</v>
      </c>
      <c r="HG109" s="175">
        <f>HF109+HG107</f>
        <v>-2360115.1797999991</v>
      </c>
      <c r="HH109" s="175">
        <f>HG109+HH107</f>
        <v>-2377517.0157999992</v>
      </c>
      <c r="HI109" s="175">
        <f>HD109+HI107</f>
        <v>-2377517.0157999992</v>
      </c>
      <c r="HJ109" s="175">
        <f>HI109+HJ107</f>
        <v>-2350506.653799999</v>
      </c>
      <c r="HK109" s="175">
        <f>HJ109+HK107</f>
        <v>-2386237.0327999992</v>
      </c>
      <c r="HL109" s="175">
        <f>HK109+HL107</f>
        <v>-2401677.7397999992</v>
      </c>
      <c r="HM109" s="175">
        <f>HL109+HM107</f>
        <v>-2497128.8287999993</v>
      </c>
      <c r="HN109" s="175">
        <f>HM109+HN107</f>
        <v>-2762184.0027999994</v>
      </c>
      <c r="HO109" s="175">
        <f>HI109+HO107</f>
        <v>-2762184.0027999994</v>
      </c>
      <c r="HP109" s="175">
        <f>HO109+HP107</f>
        <v>-1000894.6847999995</v>
      </c>
      <c r="HQ109" s="175">
        <f>HP109+HQ107</f>
        <v>-1083759.5637999994</v>
      </c>
      <c r="HR109" s="175">
        <f>HQ109+HR107</f>
        <v>-1391051.1677999995</v>
      </c>
      <c r="HS109" s="175">
        <f>HR109+HS107</f>
        <v>-1411580.3897999995</v>
      </c>
      <c r="HT109" s="175">
        <f>HS109+HT107</f>
        <v>-1416343.0827999995</v>
      </c>
      <c r="HU109" s="175">
        <f>HO109+HU107</f>
        <v>-1416343.0827999995</v>
      </c>
      <c r="HV109" s="175">
        <f>HU109+HV107</f>
        <v>-1426418.8497999995</v>
      </c>
      <c r="HW109" s="175">
        <f>HV109+HW107</f>
        <v>-1255847.1487999996</v>
      </c>
      <c r="HX109" s="175">
        <f>HW109+HX107</f>
        <v>-1259046.2827999997</v>
      </c>
      <c r="HY109" s="175">
        <f>HU109+HY107</f>
        <v>-1259046.2827999997</v>
      </c>
      <c r="HZ109" s="175">
        <f>HY109+HZ107</f>
        <v>-1115285.9367999998</v>
      </c>
      <c r="IA109" s="175">
        <f>HZ109+IA107</f>
        <v>-1138469.8177999998</v>
      </c>
      <c r="IB109" s="175">
        <f>IA109+IB107</f>
        <v>-1264656.5777999999</v>
      </c>
      <c r="IC109" s="175">
        <f>HY109+IC107</f>
        <v>-1264656.5777999996</v>
      </c>
      <c r="ID109" s="175">
        <f>HD109+ID107</f>
        <v>-1264656.5777999996</v>
      </c>
      <c r="IE109" s="175">
        <f>ID109+IE107</f>
        <v>-1345054.1837999995</v>
      </c>
      <c r="IF109" s="175">
        <f>IE109+IF107</f>
        <v>-1363097.5697999995</v>
      </c>
      <c r="IG109" s="175">
        <f>ID109+IG107</f>
        <v>-1363097.5697999997</v>
      </c>
      <c r="IH109" s="175">
        <f>IG109+IH107</f>
        <v>-1427497.4507999998</v>
      </c>
      <c r="II109" s="175">
        <f>IH109+II107</f>
        <v>-1763515.5347999996</v>
      </c>
      <c r="IJ109" s="175">
        <f>II109+IJ107</f>
        <v>-1535084.0377999996</v>
      </c>
      <c r="IK109" s="175">
        <f>IJ109+IK107</f>
        <v>-1574401.7017999997</v>
      </c>
      <c r="IL109" s="175">
        <f>IK109+IL107</f>
        <v>-1576947.7267999996</v>
      </c>
      <c r="IM109" s="175">
        <f>IG109+IM107</f>
        <v>-1576947.7267999996</v>
      </c>
      <c r="IN109" s="175">
        <f>IM109+IN107</f>
        <v>-1384862.3147999996</v>
      </c>
      <c r="IO109" s="175">
        <f>IN109+IO107</f>
        <v>-1450266.4307999995</v>
      </c>
      <c r="IP109" s="175">
        <f>IO109+IP107</f>
        <v>-1530975.7607999996</v>
      </c>
      <c r="IQ109" s="175">
        <f>IM109+IQ107</f>
        <v>-1530975.7607999996</v>
      </c>
      <c r="IR109" s="175">
        <f>IQ109+IR107</f>
        <v>-1539144.5577999996</v>
      </c>
      <c r="IS109" s="175">
        <f>IR109+IS107</f>
        <v>-1572979.4407999995</v>
      </c>
      <c r="IT109" s="175">
        <f>IS109+IT107</f>
        <v>-1536963.3197999995</v>
      </c>
      <c r="IU109" s="175">
        <f>IT109+IU107</f>
        <v>-1617839.9337999995</v>
      </c>
      <c r="IV109" s="175">
        <f>IU109+IV107</f>
        <v>-1624262.8497999995</v>
      </c>
      <c r="IW109" s="175">
        <f>IQ109+IW107</f>
        <v>-1624262.8497999997</v>
      </c>
      <c r="IX109" s="175">
        <f>IW109+IX107</f>
        <v>-1633482.5817999998</v>
      </c>
      <c r="IY109" s="175">
        <f>IX109+IY107</f>
        <v>-1412948.1776999999</v>
      </c>
      <c r="IZ109" s="175">
        <f>IY109+IZ107</f>
        <v>-1741977.4227</v>
      </c>
      <c r="JA109" s="175">
        <f>IZ109+JA107</f>
        <v>-1795260.7327000001</v>
      </c>
      <c r="JB109" s="175">
        <f>JA109+JB107</f>
        <v>-1849825.8067000001</v>
      </c>
      <c r="JC109" s="175">
        <f>IW109+JC107</f>
        <v>-1849825.8066999996</v>
      </c>
      <c r="JD109" s="175">
        <f>ID109+JD107</f>
        <v>-1849825.8066999994</v>
      </c>
      <c r="JE109" s="175">
        <f>JD109+JE107</f>
        <v>-2269401.4176999992</v>
      </c>
      <c r="JF109" s="175">
        <f t="shared" ref="JF109:LE109" si="331">JE109+JF107</f>
        <v>-2291920.052699999</v>
      </c>
      <c r="JG109" s="175">
        <f t="shared" si="331"/>
        <v>-2318778.6216999991</v>
      </c>
      <c r="JH109" s="175">
        <f t="shared" si="331"/>
        <v>-2336229.2156999991</v>
      </c>
      <c r="JI109" s="175">
        <f t="shared" si="331"/>
        <v>-2129017.9716999992</v>
      </c>
      <c r="JJ109" s="175">
        <f>JD109+JJ107</f>
        <v>-2129017.9716999992</v>
      </c>
      <c r="JK109" s="175">
        <f t="shared" si="331"/>
        <v>-2129017.9716999992</v>
      </c>
      <c r="JL109" s="175">
        <f t="shared" si="331"/>
        <v>-2129017.9716999992</v>
      </c>
      <c r="JM109" s="175">
        <f t="shared" si="331"/>
        <v>-2129017.9716999992</v>
      </c>
      <c r="JN109" s="175">
        <f t="shared" si="331"/>
        <v>-2129017.9716999992</v>
      </c>
      <c r="JO109" s="175">
        <f t="shared" si="331"/>
        <v>-2129017.9716999992</v>
      </c>
      <c r="JP109" s="175">
        <f>JJ109+JP107</f>
        <v>-2129017.9716999992</v>
      </c>
      <c r="JQ109" s="175">
        <f t="shared" si="331"/>
        <v>-2129017.9716999992</v>
      </c>
      <c r="JR109" s="175">
        <f t="shared" si="331"/>
        <v>-2129017.9716999992</v>
      </c>
      <c r="JS109" s="175">
        <f t="shared" si="331"/>
        <v>-2129017.9716999992</v>
      </c>
      <c r="JT109" s="175">
        <f t="shared" si="331"/>
        <v>-2129017.9716999992</v>
      </c>
      <c r="JU109" s="175">
        <f t="shared" si="331"/>
        <v>-2129017.9716999992</v>
      </c>
      <c r="JV109" s="175">
        <f>JP109+JV107</f>
        <v>-2129017.9716999992</v>
      </c>
      <c r="JW109" s="175">
        <f t="shared" si="331"/>
        <v>-2129017.9716999992</v>
      </c>
      <c r="JX109" s="175">
        <f t="shared" si="331"/>
        <v>-2129017.9716999992</v>
      </c>
      <c r="JY109" s="175">
        <f t="shared" si="331"/>
        <v>-2129017.9716999992</v>
      </c>
      <c r="JZ109" s="175">
        <f t="shared" si="331"/>
        <v>-2129017.9716999992</v>
      </c>
      <c r="KA109" s="175"/>
      <c r="KB109" s="175">
        <f>JZ109+KB107</f>
        <v>-2129017.9716999992</v>
      </c>
      <c r="KC109" s="175">
        <f>JV109+KC107</f>
        <v>-2129017.9716999992</v>
      </c>
      <c r="KD109" s="175">
        <f>JD109+KD107</f>
        <v>-3960169.0116999997</v>
      </c>
      <c r="KE109" s="175">
        <f t="shared" si="331"/>
        <v>-3960169.0116999997</v>
      </c>
      <c r="KF109" s="175">
        <f t="shared" si="331"/>
        <v>-3960169.0116999997</v>
      </c>
      <c r="KG109" s="175">
        <f t="shared" si="331"/>
        <v>-3960169.0116999997</v>
      </c>
      <c r="KH109" s="175">
        <f t="shared" si="331"/>
        <v>-3960169.0116999997</v>
      </c>
      <c r="KI109" s="175">
        <f t="shared" si="331"/>
        <v>-3960169.0116999997</v>
      </c>
      <c r="KJ109" s="175">
        <f>KD109+KJ107</f>
        <v>-3960169.0116999997</v>
      </c>
      <c r="KK109" s="175">
        <f t="shared" si="331"/>
        <v>-3960169.0116999997</v>
      </c>
      <c r="KL109" s="175">
        <f t="shared" si="331"/>
        <v>-3960169.0116999997</v>
      </c>
      <c r="KM109" s="175">
        <f t="shared" si="331"/>
        <v>-3960169.0116999997</v>
      </c>
      <c r="KN109" s="175">
        <f t="shared" si="331"/>
        <v>-3960169.0116999997</v>
      </c>
      <c r="KO109" s="175">
        <f t="shared" si="331"/>
        <v>-3960169.0116999997</v>
      </c>
      <c r="KP109" s="175">
        <f>KJ109+KP107</f>
        <v>-3960169.0116999997</v>
      </c>
      <c r="KQ109" s="175">
        <f t="shared" si="331"/>
        <v>-3960169.0116999997</v>
      </c>
      <c r="KR109" s="175">
        <f t="shared" si="331"/>
        <v>-3960169.0116999997</v>
      </c>
      <c r="KS109" s="175">
        <f t="shared" si="331"/>
        <v>-3960169.0116999997</v>
      </c>
      <c r="KT109" s="175">
        <f t="shared" si="331"/>
        <v>-3960169.0116999997</v>
      </c>
      <c r="KU109" s="175">
        <f t="shared" si="331"/>
        <v>-3960169.0116999997</v>
      </c>
      <c r="KV109" s="175">
        <f>KP109+KV107</f>
        <v>-3960169.0116999997</v>
      </c>
      <c r="KW109" s="175">
        <f t="shared" si="331"/>
        <v>-3960169.0116999997</v>
      </c>
      <c r="KX109" s="175">
        <f t="shared" si="331"/>
        <v>-3960169.0116999997</v>
      </c>
      <c r="KY109" s="175">
        <f t="shared" si="331"/>
        <v>-3960169.0116999997</v>
      </c>
      <c r="KZ109" s="175">
        <f t="shared" si="331"/>
        <v>-3960169.0116999997</v>
      </c>
      <c r="LA109" s="175">
        <f t="shared" si="331"/>
        <v>-3960169.0116999997</v>
      </c>
      <c r="LB109" s="175">
        <f>KV109+LB107</f>
        <v>-3960169.0116999997</v>
      </c>
      <c r="LC109" s="175">
        <f t="shared" si="331"/>
        <v>-3960169.0116999997</v>
      </c>
      <c r="LD109" s="175">
        <f t="shared" si="331"/>
        <v>-3960169.0116999997</v>
      </c>
      <c r="LE109" s="175">
        <f t="shared" si="331"/>
        <v>-3960169.0116999997</v>
      </c>
      <c r="LF109" s="175">
        <f>LB109+LF107</f>
        <v>-3960169.0116999997</v>
      </c>
      <c r="LG109" s="175">
        <f>KD109+LG107</f>
        <v>-4331570.1516999993</v>
      </c>
    </row>
    <row r="110" spans="2:319" s="91" customFormat="1" ht="15.75" thickBot="1">
      <c r="D110" s="201"/>
      <c r="J110" s="201"/>
      <c r="O110" s="201"/>
      <c r="U110" s="201"/>
      <c r="AA110" s="201"/>
      <c r="BA110" s="201"/>
      <c r="BB110" s="201"/>
      <c r="BC110" s="201"/>
      <c r="BD110" s="201"/>
      <c r="BE110" s="201"/>
      <c r="BF110" s="201"/>
      <c r="BG110" s="201"/>
      <c r="BH110" s="201"/>
      <c r="BI110" s="201"/>
      <c r="BJ110" s="201"/>
      <c r="BK110" s="201"/>
      <c r="BL110" s="201"/>
      <c r="BM110" s="201"/>
      <c r="BN110" s="201"/>
      <c r="BO110" s="201"/>
      <c r="BP110" s="201"/>
      <c r="BQ110" s="201"/>
      <c r="BR110" s="201"/>
      <c r="BS110" s="201"/>
      <c r="BT110" s="201"/>
      <c r="BU110" s="201"/>
      <c r="BV110" s="201"/>
      <c r="BW110" s="201"/>
      <c r="BX110" s="201"/>
      <c r="BY110" s="201"/>
      <c r="BZ110" s="201"/>
      <c r="CA110" s="201"/>
      <c r="CB110" s="201"/>
      <c r="CC110" s="201"/>
      <c r="CD110" s="201"/>
      <c r="CE110" s="201"/>
      <c r="CF110" s="201"/>
      <c r="CG110" s="201"/>
      <c r="CH110" s="201"/>
      <c r="CI110" s="201"/>
      <c r="CJ110" s="201"/>
      <c r="CK110" s="201"/>
      <c r="CL110" s="201"/>
      <c r="CM110" s="201"/>
      <c r="CN110" s="201"/>
      <c r="CO110" s="201"/>
      <c r="CP110" s="201"/>
      <c r="CQ110" s="201"/>
      <c r="CR110" s="201"/>
      <c r="CS110" s="201"/>
      <c r="CT110" s="201"/>
      <c r="CU110" s="201"/>
      <c r="CV110" s="201"/>
      <c r="CW110" s="201"/>
      <c r="CX110" s="201"/>
      <c r="CY110" s="201"/>
      <c r="CZ110" s="201"/>
      <c r="DA110" s="201"/>
      <c r="DB110" s="201"/>
      <c r="DC110" s="201"/>
      <c r="DD110" s="201"/>
      <c r="DE110" s="201"/>
      <c r="DF110" s="201"/>
      <c r="DG110" s="201"/>
      <c r="DH110" s="201"/>
      <c r="DI110" s="201"/>
      <c r="DJ110" s="201"/>
      <c r="DK110" s="201"/>
      <c r="DL110" s="201"/>
      <c r="DM110" s="201"/>
      <c r="DN110" s="201"/>
      <c r="DO110" s="201"/>
      <c r="DP110" s="201"/>
      <c r="DQ110" s="201"/>
      <c r="DR110" s="201"/>
      <c r="DS110" s="201"/>
      <c r="DT110" s="201"/>
      <c r="DU110" s="201"/>
      <c r="DV110" s="201"/>
      <c r="DW110" s="201"/>
      <c r="DX110" s="201"/>
      <c r="DY110" s="201"/>
      <c r="DZ110" s="201"/>
      <c r="EA110" s="201"/>
      <c r="EB110" s="201"/>
      <c r="EC110" s="201"/>
      <c r="ED110" s="201"/>
      <c r="EE110" s="201"/>
      <c r="EF110" s="201"/>
      <c r="EG110" s="201"/>
      <c r="EH110" s="201"/>
      <c r="EI110" s="201"/>
      <c r="EJ110" s="201"/>
      <c r="EK110" s="201"/>
      <c r="EL110" s="201"/>
      <c r="EM110" s="201"/>
      <c r="EN110" s="201"/>
      <c r="EO110" s="201"/>
      <c r="EP110" s="201"/>
      <c r="EQ110" s="201"/>
      <c r="ER110" s="201"/>
      <c r="ES110" s="201"/>
      <c r="ET110" s="201"/>
      <c r="EU110" s="201"/>
      <c r="EV110" s="201"/>
      <c r="EW110" s="201"/>
      <c r="EX110" s="201"/>
      <c r="EY110" s="201"/>
      <c r="EZ110" s="201"/>
      <c r="FA110" s="201"/>
      <c r="FB110" s="201"/>
      <c r="FC110" s="201"/>
      <c r="FD110" s="201"/>
      <c r="FE110" s="201"/>
      <c r="FF110" s="201"/>
      <c r="FG110" s="201"/>
      <c r="FH110" s="201"/>
      <c r="FI110" s="201"/>
      <c r="FJ110" s="201"/>
      <c r="FK110" s="201"/>
      <c r="FL110" s="201"/>
      <c r="FM110" s="201"/>
      <c r="FN110" s="201"/>
      <c r="FO110" s="201"/>
      <c r="FP110" s="201"/>
      <c r="FQ110" s="201"/>
      <c r="FR110" s="201"/>
      <c r="FS110" s="201"/>
      <c r="FT110" s="201"/>
      <c r="FU110" s="201"/>
      <c r="FV110" s="201"/>
      <c r="FW110" s="201"/>
      <c r="FX110" s="201"/>
      <c r="FY110" s="201"/>
      <c r="FZ110" s="201"/>
      <c r="GA110" s="201"/>
      <c r="GB110" s="201"/>
      <c r="GC110" s="201"/>
      <c r="GD110" s="201"/>
      <c r="GE110" s="201"/>
      <c r="GF110" s="201"/>
      <c r="GG110" s="201"/>
      <c r="GH110" s="201"/>
      <c r="GI110" s="201"/>
      <c r="GJ110" s="201"/>
      <c r="GK110" s="201"/>
      <c r="GL110" s="201"/>
      <c r="GM110" s="201"/>
      <c r="GN110" s="201"/>
      <c r="GO110" s="201"/>
      <c r="GP110" s="201"/>
      <c r="GQ110" s="201"/>
      <c r="GR110" s="201"/>
      <c r="GS110" s="201"/>
      <c r="GT110" s="201"/>
      <c r="GU110" s="201"/>
      <c r="GV110" s="201"/>
      <c r="GW110" s="201"/>
      <c r="GX110" s="201"/>
      <c r="GY110" s="201"/>
      <c r="GZ110" s="201"/>
      <c r="HA110" s="201"/>
      <c r="HB110" s="201"/>
      <c r="HC110" s="201"/>
      <c r="HD110" s="201"/>
      <c r="HE110" s="201"/>
      <c r="HF110" s="201"/>
      <c r="HG110" s="201"/>
      <c r="HH110" s="201"/>
      <c r="HI110" s="201"/>
      <c r="HJ110" s="201"/>
      <c r="HK110" s="201"/>
      <c r="HL110" s="201"/>
      <c r="HM110" s="201"/>
      <c r="HN110" s="201"/>
      <c r="HO110" s="201"/>
      <c r="HP110" s="201"/>
      <c r="HQ110" s="201"/>
      <c r="HR110" s="201"/>
      <c r="HS110" s="201"/>
      <c r="HT110" s="201"/>
      <c r="HU110" s="201"/>
      <c r="HV110" s="201"/>
      <c r="HW110" s="201"/>
      <c r="HX110" s="201"/>
      <c r="HY110" s="201"/>
      <c r="HZ110" s="201"/>
      <c r="IA110" s="201"/>
      <c r="IB110" s="201"/>
      <c r="IC110" s="201"/>
      <c r="ID110" s="201"/>
      <c r="IE110" s="201"/>
      <c r="IF110" s="201"/>
      <c r="IG110" s="201"/>
      <c r="IH110" s="201"/>
      <c r="II110" s="201"/>
      <c r="IJ110" s="201"/>
      <c r="IK110" s="201"/>
      <c r="IL110" s="201"/>
      <c r="IM110" s="201"/>
      <c r="IN110" s="201"/>
      <c r="IO110" s="201"/>
      <c r="IP110" s="201"/>
      <c r="IQ110" s="201"/>
      <c r="IR110" s="201"/>
      <c r="IS110" s="201"/>
      <c r="IT110" s="201"/>
      <c r="IU110" s="201"/>
      <c r="IV110" s="201"/>
      <c r="IW110" s="201"/>
      <c r="IX110" s="201"/>
      <c r="IY110" s="201"/>
      <c r="IZ110" s="201"/>
      <c r="JA110" s="201"/>
      <c r="JB110" s="201"/>
      <c r="JC110" s="201"/>
      <c r="JD110" s="201"/>
      <c r="JE110" s="201"/>
      <c r="JF110" s="201"/>
      <c r="JG110" s="201"/>
      <c r="JH110" s="201"/>
      <c r="JI110" s="201"/>
      <c r="JJ110" s="201"/>
      <c r="JK110" s="201"/>
      <c r="JL110" s="201"/>
      <c r="JM110" s="201"/>
      <c r="JN110" s="201"/>
      <c r="JO110" s="201"/>
      <c r="JP110" s="201"/>
      <c r="JQ110" s="201"/>
      <c r="JR110" s="201"/>
      <c r="JS110" s="201"/>
      <c r="JT110" s="201"/>
      <c r="JU110" s="201"/>
      <c r="JV110" s="201"/>
      <c r="JW110" s="201"/>
      <c r="JX110" s="201"/>
      <c r="JY110" s="201"/>
      <c r="JZ110" s="201"/>
      <c r="KA110" s="201"/>
      <c r="KB110" s="201"/>
      <c r="KC110" s="201"/>
      <c r="KD110" s="201"/>
      <c r="KE110" s="201"/>
      <c r="KF110" s="201"/>
      <c r="KG110" s="201"/>
      <c r="KH110" s="201"/>
      <c r="KI110" s="201"/>
      <c r="KJ110" s="201"/>
      <c r="KK110" s="201"/>
      <c r="KL110" s="201"/>
      <c r="KM110" s="201"/>
      <c r="KN110" s="201"/>
      <c r="KO110" s="201"/>
      <c r="KP110" s="201"/>
      <c r="KQ110" s="201"/>
      <c r="KR110" s="201"/>
      <c r="KS110" s="201"/>
      <c r="KT110" s="201"/>
      <c r="KU110" s="201"/>
      <c r="KV110" s="201"/>
      <c r="KW110" s="201"/>
      <c r="KX110" s="201"/>
      <c r="KY110" s="201"/>
      <c r="KZ110" s="201"/>
      <c r="LA110" s="201"/>
      <c r="LB110" s="201"/>
      <c r="LC110" s="201"/>
      <c r="LD110" s="201"/>
      <c r="LE110" s="201"/>
      <c r="LF110" s="201"/>
      <c r="LG110" s="201"/>
    </row>
    <row r="111" spans="2:319" s="91" customFormat="1" ht="16.5" thickBot="1">
      <c r="B111" s="971" t="s">
        <v>174</v>
      </c>
      <c r="C111" s="972"/>
      <c r="D111" s="972"/>
      <c r="E111" s="972"/>
      <c r="F111" s="972"/>
      <c r="G111" s="972"/>
      <c r="H111" s="972"/>
      <c r="I111" s="972"/>
      <c r="J111" s="972"/>
      <c r="K111" s="972"/>
      <c r="L111" s="972"/>
      <c r="M111" s="972"/>
      <c r="N111" s="972"/>
      <c r="O111" s="972"/>
      <c r="P111" s="972"/>
      <c r="Q111" s="972"/>
      <c r="R111" s="972"/>
      <c r="S111" s="972"/>
      <c r="T111" s="972"/>
      <c r="U111" s="972"/>
      <c r="V111" s="972"/>
      <c r="W111" s="972"/>
      <c r="X111" s="972"/>
      <c r="Y111" s="972"/>
      <c r="Z111" s="972"/>
      <c r="AA111" s="972"/>
      <c r="AB111" s="972"/>
      <c r="AC111" s="972"/>
      <c r="AD111" s="972"/>
      <c r="AE111" s="972"/>
      <c r="AF111" s="972"/>
      <c r="AG111" s="972"/>
      <c r="AH111" s="972"/>
      <c r="AI111" s="972"/>
      <c r="AJ111" s="972"/>
      <c r="AK111" s="972"/>
      <c r="AL111" s="972"/>
      <c r="AM111" s="972"/>
      <c r="AN111" s="972"/>
      <c r="AO111" s="972"/>
      <c r="AP111" s="972"/>
      <c r="AQ111" s="972"/>
      <c r="AR111" s="972"/>
      <c r="AS111" s="972"/>
      <c r="AT111" s="972"/>
      <c r="AU111" s="972"/>
      <c r="AV111" s="972"/>
      <c r="AW111" s="972"/>
      <c r="AX111" s="972"/>
      <c r="AY111" s="972"/>
      <c r="AZ111" s="972"/>
      <c r="BA111" s="972"/>
      <c r="BB111" s="972"/>
      <c r="BC111" s="972"/>
      <c r="BD111" s="972"/>
      <c r="BE111" s="972"/>
      <c r="BF111" s="972"/>
      <c r="BG111" s="972"/>
      <c r="BH111" s="972"/>
      <c r="BI111" s="972"/>
      <c r="BJ111" s="972"/>
      <c r="BK111" s="972"/>
      <c r="BL111" s="972"/>
      <c r="BM111" s="972"/>
      <c r="BN111" s="972"/>
      <c r="BO111" s="972"/>
      <c r="BP111" s="972"/>
      <c r="BQ111" s="972"/>
      <c r="BR111" s="972"/>
      <c r="BS111" s="972"/>
      <c r="BT111" s="972"/>
      <c r="BU111" s="972"/>
      <c r="BV111" s="972"/>
      <c r="BW111" s="972"/>
      <c r="BX111" s="972"/>
      <c r="BY111" s="972"/>
      <c r="BZ111" s="972"/>
      <c r="CA111" s="972"/>
      <c r="CB111" s="972"/>
      <c r="CC111" s="972"/>
      <c r="CD111" s="972"/>
      <c r="CE111" s="972"/>
      <c r="CF111" s="972"/>
      <c r="CG111" s="972"/>
      <c r="CH111" s="972"/>
      <c r="CI111" s="972"/>
      <c r="CJ111" s="972"/>
      <c r="CK111" s="972"/>
      <c r="CL111" s="972"/>
      <c r="CM111" s="972"/>
      <c r="CN111" s="972"/>
      <c r="CO111" s="972"/>
      <c r="CP111" s="972"/>
      <c r="CQ111" s="972"/>
      <c r="CR111" s="972"/>
      <c r="CS111" s="972"/>
      <c r="CT111" s="972"/>
      <c r="CU111" s="972"/>
      <c r="CV111" s="972"/>
      <c r="CW111" s="972"/>
      <c r="CX111" s="972"/>
      <c r="CY111" s="972"/>
      <c r="CZ111" s="972"/>
      <c r="DA111" s="972"/>
      <c r="DB111" s="972"/>
      <c r="DC111" s="972"/>
      <c r="DD111" s="972"/>
      <c r="DE111" s="972"/>
      <c r="DF111" s="972"/>
      <c r="DG111" s="972"/>
      <c r="DH111" s="972"/>
      <c r="DI111" s="972"/>
      <c r="DJ111" s="972"/>
      <c r="DK111" s="972"/>
      <c r="DL111" s="972"/>
      <c r="DM111" s="972"/>
      <c r="DN111" s="972"/>
      <c r="DO111" s="972"/>
      <c r="DP111" s="972"/>
      <c r="DQ111" s="972"/>
      <c r="DR111" s="972"/>
      <c r="DS111" s="972"/>
      <c r="DT111" s="972"/>
      <c r="DU111" s="972"/>
      <c r="DV111" s="972"/>
      <c r="DW111" s="972"/>
      <c r="DX111" s="972"/>
      <c r="DY111" s="972"/>
      <c r="DZ111" s="972"/>
      <c r="EA111" s="972"/>
      <c r="EB111" s="972"/>
      <c r="EC111" s="972"/>
      <c r="ED111" s="972"/>
      <c r="EE111" s="972"/>
      <c r="EF111" s="972"/>
      <c r="EG111" s="972"/>
      <c r="EH111" s="972"/>
      <c r="EI111" s="972"/>
      <c r="EJ111" s="972"/>
      <c r="EK111" s="972"/>
      <c r="EL111" s="972"/>
      <c r="EM111" s="972"/>
      <c r="EN111" s="972"/>
      <c r="EO111" s="972"/>
      <c r="EP111" s="972"/>
      <c r="EQ111" s="972"/>
      <c r="ER111" s="972"/>
      <c r="ES111" s="972"/>
      <c r="ET111" s="972"/>
      <c r="EU111" s="972"/>
      <c r="EV111" s="972"/>
      <c r="EW111" s="972"/>
      <c r="EX111" s="972"/>
      <c r="EY111" s="972"/>
      <c r="EZ111" s="972"/>
      <c r="FA111" s="972"/>
      <c r="FB111" s="972"/>
      <c r="FC111" s="972"/>
      <c r="FD111" s="972"/>
      <c r="FE111" s="972"/>
      <c r="FF111" s="972"/>
      <c r="FG111" s="972"/>
      <c r="FH111" s="972"/>
      <c r="FI111" s="972"/>
      <c r="FJ111" s="972"/>
      <c r="FK111" s="972"/>
      <c r="FL111" s="972"/>
      <c r="FM111" s="972"/>
      <c r="FN111" s="972"/>
      <c r="FO111" s="972"/>
      <c r="FP111" s="972"/>
      <c r="FQ111" s="972"/>
      <c r="FR111" s="972"/>
      <c r="FS111" s="972"/>
      <c r="FT111" s="972"/>
      <c r="FU111" s="972"/>
      <c r="FV111" s="972"/>
      <c r="FW111" s="972"/>
      <c r="FX111" s="972"/>
      <c r="FY111" s="972"/>
      <c r="FZ111" s="972"/>
      <c r="GA111" s="972"/>
      <c r="GB111" s="972"/>
      <c r="GC111" s="972"/>
      <c r="GD111" s="972"/>
      <c r="GE111" s="972"/>
      <c r="GF111" s="972"/>
      <c r="GG111" s="972"/>
      <c r="GH111" s="972"/>
      <c r="GI111" s="972"/>
      <c r="GJ111" s="972"/>
      <c r="GK111" s="972"/>
      <c r="GL111" s="972"/>
      <c r="GM111" s="972"/>
      <c r="GN111" s="972"/>
      <c r="GO111" s="972"/>
      <c r="GP111" s="972"/>
      <c r="GQ111" s="972"/>
      <c r="GR111" s="972"/>
      <c r="GS111" s="972"/>
      <c r="GT111" s="972"/>
      <c r="GU111" s="972"/>
      <c r="GV111" s="972"/>
      <c r="GW111" s="972"/>
      <c r="GX111" s="972"/>
      <c r="GY111" s="972"/>
      <c r="GZ111" s="972"/>
      <c r="HA111" s="972"/>
      <c r="HB111" s="972"/>
      <c r="HC111" s="972"/>
      <c r="HD111" s="972"/>
      <c r="HE111" s="972"/>
      <c r="HF111" s="972"/>
      <c r="HG111" s="972"/>
      <c r="HH111" s="972"/>
      <c r="HI111" s="972"/>
      <c r="HJ111" s="972"/>
      <c r="HK111" s="972"/>
      <c r="HL111" s="972"/>
      <c r="HM111" s="972"/>
      <c r="HN111" s="972"/>
      <c r="HO111" s="972"/>
      <c r="HP111" s="972"/>
      <c r="HQ111" s="972"/>
      <c r="HR111" s="972"/>
      <c r="HS111" s="972"/>
      <c r="HT111" s="972"/>
      <c r="HU111" s="972"/>
      <c r="HV111" s="972"/>
      <c r="HW111" s="972"/>
      <c r="HX111" s="972"/>
      <c r="HY111" s="972"/>
      <c r="HZ111" s="972"/>
      <c r="IA111" s="972"/>
      <c r="IB111" s="972"/>
      <c r="IC111" s="972"/>
      <c r="ID111" s="972"/>
      <c r="IE111" s="972"/>
      <c r="IF111" s="972"/>
      <c r="IG111" s="972"/>
      <c r="IH111" s="972"/>
      <c r="II111" s="972"/>
      <c r="IJ111" s="972"/>
      <c r="IK111" s="972"/>
      <c r="IL111" s="972"/>
      <c r="IM111" s="972"/>
      <c r="IN111" s="972"/>
      <c r="IO111" s="972"/>
      <c r="IP111" s="972"/>
      <c r="IQ111" s="972"/>
      <c r="IR111" s="972"/>
      <c r="IS111" s="972"/>
      <c r="IT111" s="972"/>
      <c r="IU111" s="972"/>
      <c r="IV111" s="972"/>
      <c r="IW111" s="972"/>
      <c r="IX111" s="972"/>
      <c r="IY111" s="972"/>
      <c r="IZ111" s="972"/>
      <c r="JA111" s="972"/>
      <c r="JB111" s="972"/>
      <c r="JC111" s="972"/>
      <c r="JD111" s="972"/>
      <c r="JE111" s="972"/>
      <c r="JF111" s="972"/>
      <c r="JG111" s="972"/>
      <c r="JH111" s="972"/>
      <c r="JI111" s="972"/>
      <c r="JJ111" s="972"/>
      <c r="JK111" s="972"/>
      <c r="JL111" s="972"/>
      <c r="JM111" s="972"/>
      <c r="JN111" s="972"/>
      <c r="JO111" s="972"/>
      <c r="JP111" s="972"/>
      <c r="JQ111" s="972"/>
      <c r="JR111" s="972"/>
      <c r="JS111" s="972"/>
      <c r="JT111" s="972"/>
      <c r="JU111" s="972"/>
      <c r="JV111" s="972"/>
      <c r="JW111" s="972"/>
      <c r="JX111" s="972"/>
      <c r="JY111" s="972"/>
      <c r="JZ111" s="972"/>
      <c r="KA111" s="972"/>
      <c r="KB111" s="972"/>
      <c r="KC111" s="972"/>
      <c r="KD111" s="972"/>
      <c r="KE111" s="972"/>
      <c r="KF111" s="972"/>
      <c r="KG111" s="972"/>
      <c r="KH111" s="972"/>
      <c r="KI111" s="972"/>
      <c r="KJ111" s="972"/>
      <c r="KK111" s="972"/>
      <c r="KL111" s="972"/>
      <c r="KM111" s="972"/>
      <c r="KN111" s="972"/>
      <c r="KO111" s="972"/>
      <c r="KP111" s="972"/>
      <c r="KQ111" s="972"/>
      <c r="KR111" s="972"/>
      <c r="KS111" s="972"/>
      <c r="KT111" s="972"/>
      <c r="KU111" s="972"/>
      <c r="KV111" s="972"/>
      <c r="KW111" s="972"/>
      <c r="KX111" s="972"/>
      <c r="KY111" s="972"/>
      <c r="KZ111" s="972"/>
      <c r="LA111" s="972"/>
      <c r="LB111" s="972"/>
      <c r="LC111" s="972"/>
      <c r="LD111" s="972"/>
      <c r="LE111" s="972"/>
      <c r="LF111" s="972"/>
      <c r="LG111" s="973"/>
    </row>
    <row r="112" spans="2:319" s="91" customFormat="1">
      <c r="B112" s="171" t="s">
        <v>77</v>
      </c>
      <c r="C112" s="171">
        <f>SUM(C113:C116)</f>
        <v>0</v>
      </c>
      <c r="D112" s="171">
        <f t="shared" ref="D112:AA112" si="332">SUM(D113:D116)</f>
        <v>0</v>
      </c>
      <c r="E112" s="171">
        <f t="shared" si="332"/>
        <v>0</v>
      </c>
      <c r="F112" s="171">
        <f t="shared" si="332"/>
        <v>0</v>
      </c>
      <c r="G112" s="171">
        <f t="shared" si="332"/>
        <v>0</v>
      </c>
      <c r="H112" s="171">
        <f t="shared" si="332"/>
        <v>0</v>
      </c>
      <c r="I112" s="171">
        <f t="shared" si="332"/>
        <v>8572.5</v>
      </c>
      <c r="J112" s="171">
        <f t="shared" si="332"/>
        <v>8572.5</v>
      </c>
      <c r="K112" s="171">
        <f t="shared" si="332"/>
        <v>0</v>
      </c>
      <c r="L112" s="171"/>
      <c r="M112" s="171">
        <f t="shared" si="332"/>
        <v>5.43</v>
      </c>
      <c r="N112" s="171">
        <f t="shared" si="332"/>
        <v>13000</v>
      </c>
      <c r="O112" s="171">
        <f t="shared" si="332"/>
        <v>13005.43</v>
      </c>
      <c r="P112" s="171">
        <f t="shared" si="332"/>
        <v>0</v>
      </c>
      <c r="Q112" s="171">
        <f t="shared" si="332"/>
        <v>0</v>
      </c>
      <c r="R112" s="171">
        <f t="shared" si="332"/>
        <v>0</v>
      </c>
      <c r="S112" s="171">
        <f t="shared" si="332"/>
        <v>0</v>
      </c>
      <c r="T112" s="171">
        <f t="shared" si="332"/>
        <v>0</v>
      </c>
      <c r="U112" s="171">
        <f t="shared" si="332"/>
        <v>0</v>
      </c>
      <c r="V112" s="171">
        <f t="shared" si="332"/>
        <v>140000</v>
      </c>
      <c r="W112" s="171">
        <f t="shared" si="332"/>
        <v>0</v>
      </c>
      <c r="X112" s="171">
        <f t="shared" si="332"/>
        <v>1965.4</v>
      </c>
      <c r="Y112" s="171">
        <f t="shared" si="332"/>
        <v>0</v>
      </c>
      <c r="Z112" s="171">
        <f t="shared" si="332"/>
        <v>66756.960000000006</v>
      </c>
      <c r="AA112" s="171">
        <f t="shared" si="332"/>
        <v>208722.36</v>
      </c>
      <c r="AB112" s="233">
        <f t="shared" ref="AB112:AM112" si="333">SUM(AB113:AB116)</f>
        <v>230300.28999999998</v>
      </c>
      <c r="AC112" s="171">
        <f t="shared" si="333"/>
        <v>0</v>
      </c>
      <c r="AD112" s="240">
        <f t="shared" si="333"/>
        <v>519258.96</v>
      </c>
      <c r="AE112" s="240">
        <f t="shared" si="333"/>
        <v>0</v>
      </c>
      <c r="AF112" s="240">
        <f t="shared" si="333"/>
        <v>4476</v>
      </c>
      <c r="AG112" s="498">
        <f t="shared" si="333"/>
        <v>0</v>
      </c>
      <c r="AH112" s="197">
        <f t="shared" si="333"/>
        <v>523734.96</v>
      </c>
      <c r="AI112" s="171">
        <f t="shared" si="333"/>
        <v>0</v>
      </c>
      <c r="AJ112" s="240">
        <f t="shared" si="333"/>
        <v>13</v>
      </c>
      <c r="AK112" s="240">
        <f t="shared" si="333"/>
        <v>0</v>
      </c>
      <c r="AL112" s="240">
        <f t="shared" si="333"/>
        <v>0</v>
      </c>
      <c r="AM112" s="498">
        <f t="shared" si="333"/>
        <v>0</v>
      </c>
      <c r="AN112" s="197">
        <f t="shared" ref="AN112:AZ112" si="334">SUM(AN113:AN116)</f>
        <v>13</v>
      </c>
      <c r="AO112" s="171">
        <f t="shared" si="334"/>
        <v>0</v>
      </c>
      <c r="AP112" s="240">
        <f t="shared" si="334"/>
        <v>0</v>
      </c>
      <c r="AQ112" s="240">
        <f t="shared" si="334"/>
        <v>25</v>
      </c>
      <c r="AR112" s="240">
        <f t="shared" si="334"/>
        <v>0</v>
      </c>
      <c r="AS112" s="498">
        <f t="shared" si="334"/>
        <v>12</v>
      </c>
      <c r="AT112" s="197">
        <f t="shared" si="334"/>
        <v>37</v>
      </c>
      <c r="AU112" s="171">
        <f t="shared" si="334"/>
        <v>150025</v>
      </c>
      <c r="AV112" s="240">
        <f t="shared" si="334"/>
        <v>0</v>
      </c>
      <c r="AW112" s="240">
        <f t="shared" si="334"/>
        <v>12</v>
      </c>
      <c r="AX112" s="240">
        <f t="shared" si="334"/>
        <v>7175.49</v>
      </c>
      <c r="AY112" s="498">
        <f t="shared" si="334"/>
        <v>12</v>
      </c>
      <c r="AZ112" s="197">
        <f t="shared" si="334"/>
        <v>157224.49</v>
      </c>
      <c r="BA112" s="233">
        <f t="shared" ref="BA112:CA112" si="335">SUM(BA113:BA117)</f>
        <v>681009.45</v>
      </c>
      <c r="BB112" s="171">
        <f t="shared" si="335"/>
        <v>0</v>
      </c>
      <c r="BC112" s="240">
        <f t="shared" si="335"/>
        <v>0</v>
      </c>
      <c r="BD112" s="240">
        <f t="shared" si="335"/>
        <v>100012</v>
      </c>
      <c r="BE112" s="240">
        <f t="shared" si="335"/>
        <v>0</v>
      </c>
      <c r="BF112" s="498">
        <f t="shared" si="335"/>
        <v>13</v>
      </c>
      <c r="BG112" s="197">
        <f t="shared" si="335"/>
        <v>100025</v>
      </c>
      <c r="BH112" s="171">
        <f t="shared" si="335"/>
        <v>0</v>
      </c>
      <c r="BI112" s="240">
        <f t="shared" si="335"/>
        <v>0</v>
      </c>
      <c r="BJ112" s="240">
        <f t="shared" si="335"/>
        <v>121864.31</v>
      </c>
      <c r="BK112" s="240">
        <f t="shared" si="335"/>
        <v>300000</v>
      </c>
      <c r="BL112" s="498">
        <f t="shared" si="335"/>
        <v>0</v>
      </c>
      <c r="BM112" s="197">
        <f t="shared" si="335"/>
        <v>421864.31</v>
      </c>
      <c r="BN112" s="171">
        <f t="shared" si="335"/>
        <v>0</v>
      </c>
      <c r="BO112" s="240">
        <f t="shared" si="335"/>
        <v>89623.9</v>
      </c>
      <c r="BP112" s="240">
        <f t="shared" si="335"/>
        <v>0</v>
      </c>
      <c r="BQ112" s="498">
        <f t="shared" si="335"/>
        <v>0</v>
      </c>
      <c r="BR112" s="197">
        <f t="shared" si="335"/>
        <v>89623.9</v>
      </c>
      <c r="BS112" s="171">
        <f t="shared" si="335"/>
        <v>0</v>
      </c>
      <c r="BT112" s="240">
        <f t="shared" si="335"/>
        <v>0</v>
      </c>
      <c r="BU112" s="240">
        <f t="shared" si="335"/>
        <v>0</v>
      </c>
      <c r="BV112" s="240">
        <f t="shared" si="335"/>
        <v>0</v>
      </c>
      <c r="BW112" s="498">
        <f t="shared" si="335"/>
        <v>0</v>
      </c>
      <c r="BX112" s="197">
        <f t="shared" si="335"/>
        <v>0</v>
      </c>
      <c r="BY112" s="171">
        <f>SUM(BY113:BY117)</f>
        <v>0</v>
      </c>
      <c r="BZ112" s="240">
        <f>SUM(BZ113:BZ117)</f>
        <v>0</v>
      </c>
      <c r="CA112" s="197">
        <f t="shared" si="335"/>
        <v>0</v>
      </c>
      <c r="CB112" s="233">
        <f t="shared" ref="CB112:LG112" si="336">SUM(CB113:CB117)</f>
        <v>611513.21</v>
      </c>
      <c r="CC112" s="171">
        <f t="shared" si="336"/>
        <v>0</v>
      </c>
      <c r="CD112" s="240">
        <f t="shared" si="336"/>
        <v>5.68</v>
      </c>
      <c r="CE112" s="240">
        <f t="shared" si="336"/>
        <v>26</v>
      </c>
      <c r="CF112" s="197">
        <f t="shared" si="336"/>
        <v>31.68</v>
      </c>
      <c r="CG112" s="171">
        <f t="shared" si="336"/>
        <v>0</v>
      </c>
      <c r="CH112" s="240">
        <f t="shared" si="336"/>
        <v>0</v>
      </c>
      <c r="CI112" s="240">
        <f t="shared" si="336"/>
        <v>80000</v>
      </c>
      <c r="CJ112" s="498">
        <f t="shared" si="336"/>
        <v>0</v>
      </c>
      <c r="CK112" s="197">
        <f t="shared" si="336"/>
        <v>80000</v>
      </c>
      <c r="CL112" s="171">
        <f t="shared" si="336"/>
        <v>0</v>
      </c>
      <c r="CM112" s="240">
        <f t="shared" si="336"/>
        <v>0</v>
      </c>
      <c r="CN112" s="240">
        <f t="shared" si="336"/>
        <v>26</v>
      </c>
      <c r="CO112" s="240">
        <f t="shared" si="336"/>
        <v>0</v>
      </c>
      <c r="CP112" s="498">
        <f t="shared" si="336"/>
        <v>0</v>
      </c>
      <c r="CQ112" s="197">
        <f t="shared" si="336"/>
        <v>26</v>
      </c>
      <c r="CR112" s="171">
        <f t="shared" si="336"/>
        <v>23257.32</v>
      </c>
      <c r="CS112" s="240">
        <f t="shared" si="336"/>
        <v>0</v>
      </c>
      <c r="CT112" s="240">
        <f t="shared" si="336"/>
        <v>0</v>
      </c>
      <c r="CU112" s="240">
        <f t="shared" si="336"/>
        <v>0</v>
      </c>
      <c r="CV112" s="498">
        <f>SUM(CV113:CV117)</f>
        <v>0</v>
      </c>
      <c r="CW112" s="197">
        <f t="shared" si="336"/>
        <v>23257.32</v>
      </c>
      <c r="CX112" s="171">
        <f t="shared" si="336"/>
        <v>0</v>
      </c>
      <c r="CY112" s="240"/>
      <c r="CZ112" s="240">
        <f t="shared" si="336"/>
        <v>0</v>
      </c>
      <c r="DA112" s="498">
        <f t="shared" si="336"/>
        <v>0</v>
      </c>
      <c r="DB112" s="197">
        <f t="shared" si="336"/>
        <v>0</v>
      </c>
      <c r="DC112" s="233">
        <f t="shared" si="336"/>
        <v>103315</v>
      </c>
      <c r="DD112" s="171">
        <f t="shared" si="336"/>
        <v>0</v>
      </c>
      <c r="DE112" s="240">
        <f t="shared" si="336"/>
        <v>0</v>
      </c>
      <c r="DF112" s="240">
        <f t="shared" si="336"/>
        <v>13</v>
      </c>
      <c r="DG112" s="240">
        <f t="shared" si="336"/>
        <v>0</v>
      </c>
      <c r="DH112" s="240">
        <f t="shared" si="336"/>
        <v>0</v>
      </c>
      <c r="DI112" s="197">
        <f t="shared" si="336"/>
        <v>13</v>
      </c>
      <c r="DJ112" s="171">
        <f t="shared" si="336"/>
        <v>0</v>
      </c>
      <c r="DK112" s="240">
        <f t="shared" si="336"/>
        <v>0</v>
      </c>
      <c r="DL112" s="240">
        <f t="shared" si="336"/>
        <v>0</v>
      </c>
      <c r="DM112" s="240">
        <f t="shared" si="336"/>
        <v>0</v>
      </c>
      <c r="DN112" s="498">
        <f t="shared" si="336"/>
        <v>0</v>
      </c>
      <c r="DO112" s="197">
        <f t="shared" si="336"/>
        <v>0</v>
      </c>
      <c r="DP112" s="171">
        <f t="shared" si="336"/>
        <v>0</v>
      </c>
      <c r="DQ112" s="240">
        <f t="shared" si="336"/>
        <v>0</v>
      </c>
      <c r="DR112" s="240">
        <f t="shared" si="336"/>
        <v>0</v>
      </c>
      <c r="DS112" s="240">
        <f t="shared" si="336"/>
        <v>0</v>
      </c>
      <c r="DT112" s="498">
        <f t="shared" si="336"/>
        <v>13</v>
      </c>
      <c r="DU112" s="197">
        <f t="shared" si="336"/>
        <v>13</v>
      </c>
      <c r="DV112" s="171">
        <f t="shared" si="336"/>
        <v>0</v>
      </c>
      <c r="DW112" s="240">
        <f t="shared" si="336"/>
        <v>0</v>
      </c>
      <c r="DX112" s="240">
        <f t="shared" si="336"/>
        <v>118879.47</v>
      </c>
      <c r="DY112" s="240">
        <f t="shared" si="336"/>
        <v>0</v>
      </c>
      <c r="DZ112" s="498">
        <f t="shared" si="336"/>
        <v>0</v>
      </c>
      <c r="EA112" s="197">
        <f t="shared" si="336"/>
        <v>118879.47</v>
      </c>
      <c r="EB112" s="233">
        <f t="shared" si="336"/>
        <v>118905.47</v>
      </c>
      <c r="EC112" s="171">
        <f t="shared" si="336"/>
        <v>0</v>
      </c>
      <c r="ED112" s="240">
        <f t="shared" si="336"/>
        <v>82984.639999999999</v>
      </c>
      <c r="EE112" s="240">
        <f t="shared" si="336"/>
        <v>0</v>
      </c>
      <c r="EF112" s="240">
        <f t="shared" si="336"/>
        <v>0</v>
      </c>
      <c r="EG112" s="498">
        <f t="shared" si="336"/>
        <v>12</v>
      </c>
      <c r="EH112" s="197">
        <f t="shared" si="336"/>
        <v>82996.639999999999</v>
      </c>
      <c r="EI112" s="171">
        <f t="shared" si="336"/>
        <v>132572.87</v>
      </c>
      <c r="EJ112" s="240">
        <f t="shared" si="336"/>
        <v>0</v>
      </c>
      <c r="EK112" s="240">
        <f t="shared" si="336"/>
        <v>0</v>
      </c>
      <c r="EL112" s="240">
        <f t="shared" si="336"/>
        <v>0</v>
      </c>
      <c r="EM112" s="498">
        <f t="shared" si="336"/>
        <v>0</v>
      </c>
      <c r="EN112" s="197">
        <f t="shared" si="336"/>
        <v>132572.87</v>
      </c>
      <c r="EO112" s="171">
        <f t="shared" si="336"/>
        <v>0</v>
      </c>
      <c r="EP112" s="240">
        <f t="shared" si="336"/>
        <v>0</v>
      </c>
      <c r="EQ112" s="240">
        <f t="shared" si="336"/>
        <v>0</v>
      </c>
      <c r="ER112" s="240">
        <f t="shared" si="336"/>
        <v>0</v>
      </c>
      <c r="ES112" s="498">
        <f t="shared" si="336"/>
        <v>0</v>
      </c>
      <c r="ET112" s="197">
        <f t="shared" si="336"/>
        <v>0</v>
      </c>
      <c r="EU112" s="171">
        <f t="shared" si="336"/>
        <v>0</v>
      </c>
      <c r="EV112" s="240">
        <f t="shared" si="336"/>
        <v>0</v>
      </c>
      <c r="EW112" s="240">
        <f t="shared" si="336"/>
        <v>0</v>
      </c>
      <c r="EX112" s="240">
        <f t="shared" si="336"/>
        <v>0</v>
      </c>
      <c r="EY112" s="240">
        <f t="shared" si="336"/>
        <v>0</v>
      </c>
      <c r="EZ112" s="240">
        <f>SUM(EZ113:EZ117)</f>
        <v>0</v>
      </c>
      <c r="FA112" s="498">
        <f t="shared" si="336"/>
        <v>0</v>
      </c>
      <c r="FB112" s="197">
        <f t="shared" si="336"/>
        <v>0</v>
      </c>
      <c r="FC112" s="233">
        <f t="shared" si="336"/>
        <v>215569.51</v>
      </c>
      <c r="FD112" s="171">
        <f t="shared" si="336"/>
        <v>0</v>
      </c>
      <c r="FE112" s="240">
        <f t="shared" si="336"/>
        <v>0</v>
      </c>
      <c r="FF112" s="498">
        <f t="shared" si="336"/>
        <v>5.57</v>
      </c>
      <c r="FG112" s="197">
        <f t="shared" si="336"/>
        <v>5.57</v>
      </c>
      <c r="FH112" s="171">
        <f t="shared" si="336"/>
        <v>0</v>
      </c>
      <c r="FI112" s="240">
        <f t="shared" si="336"/>
        <v>0</v>
      </c>
      <c r="FJ112" s="240">
        <f t="shared" si="336"/>
        <v>0</v>
      </c>
      <c r="FK112" s="240">
        <f t="shared" si="336"/>
        <v>0</v>
      </c>
      <c r="FL112" s="498">
        <f t="shared" si="336"/>
        <v>0</v>
      </c>
      <c r="FM112" s="197">
        <f t="shared" si="336"/>
        <v>0</v>
      </c>
      <c r="FN112" s="171">
        <f t="shared" si="336"/>
        <v>0</v>
      </c>
      <c r="FO112" s="240">
        <f t="shared" si="336"/>
        <v>0</v>
      </c>
      <c r="FP112" s="240">
        <f t="shared" si="336"/>
        <v>0</v>
      </c>
      <c r="FQ112" s="240">
        <f t="shared" si="336"/>
        <v>5479.77</v>
      </c>
      <c r="FR112" s="197">
        <f t="shared" si="336"/>
        <v>5479.77</v>
      </c>
      <c r="FS112" s="171">
        <f t="shared" si="336"/>
        <v>0</v>
      </c>
      <c r="FT112" s="240">
        <f t="shared" si="336"/>
        <v>0</v>
      </c>
      <c r="FU112" s="240">
        <f t="shared" si="336"/>
        <v>0</v>
      </c>
      <c r="FV112" s="240">
        <f t="shared" si="336"/>
        <v>10</v>
      </c>
      <c r="FW112" s="498">
        <f t="shared" si="336"/>
        <v>0</v>
      </c>
      <c r="FX112" s="197">
        <f t="shared" si="336"/>
        <v>10</v>
      </c>
      <c r="FY112" s="171">
        <f t="shared" ref="FY112:GD112" si="337">SUM(FY113:FY117)</f>
        <v>0</v>
      </c>
      <c r="FZ112" s="240">
        <f t="shared" si="337"/>
        <v>28004.959999999999</v>
      </c>
      <c r="GA112" s="240">
        <f t="shared" si="337"/>
        <v>20</v>
      </c>
      <c r="GB112" s="240">
        <f t="shared" si="337"/>
        <v>17840.5</v>
      </c>
      <c r="GC112" s="498">
        <f t="shared" si="337"/>
        <v>0</v>
      </c>
      <c r="GD112" s="197">
        <f t="shared" si="337"/>
        <v>45865.46</v>
      </c>
      <c r="GE112" s="233">
        <f t="shared" si="336"/>
        <v>51360.799999999996</v>
      </c>
      <c r="GF112" s="171">
        <f t="shared" si="336"/>
        <v>0</v>
      </c>
      <c r="GG112" s="240">
        <f t="shared" si="336"/>
        <v>0</v>
      </c>
      <c r="GH112" s="240">
        <f t="shared" si="336"/>
        <v>0</v>
      </c>
      <c r="GI112" s="240">
        <f t="shared" si="336"/>
        <v>0</v>
      </c>
      <c r="GJ112" s="240">
        <f t="shared" si="336"/>
        <v>0</v>
      </c>
      <c r="GK112" s="197">
        <f t="shared" si="336"/>
        <v>0</v>
      </c>
      <c r="GL112" s="171">
        <f t="shared" si="336"/>
        <v>0</v>
      </c>
      <c r="GM112" s="240">
        <f t="shared" si="336"/>
        <v>0</v>
      </c>
      <c r="GN112" s="240">
        <f t="shared" si="336"/>
        <v>0</v>
      </c>
      <c r="GO112" s="498">
        <f t="shared" si="336"/>
        <v>0</v>
      </c>
      <c r="GP112" s="197">
        <f t="shared" si="336"/>
        <v>0</v>
      </c>
      <c r="GQ112" s="171">
        <f t="shared" si="336"/>
        <v>0</v>
      </c>
      <c r="GR112" s="240">
        <f t="shared" si="336"/>
        <v>0</v>
      </c>
      <c r="GS112" s="240">
        <f t="shared" si="336"/>
        <v>0</v>
      </c>
      <c r="GT112" s="240">
        <f t="shared" si="336"/>
        <v>0</v>
      </c>
      <c r="GU112" s="498">
        <f t="shared" si="336"/>
        <v>0</v>
      </c>
      <c r="GV112" s="197">
        <f t="shared" si="336"/>
        <v>0</v>
      </c>
      <c r="GW112" s="171">
        <f t="shared" si="336"/>
        <v>51448.586000000003</v>
      </c>
      <c r="GX112" s="240">
        <f t="shared" si="336"/>
        <v>0</v>
      </c>
      <c r="GY112" s="240">
        <f t="shared" si="336"/>
        <v>0</v>
      </c>
      <c r="GZ112" s="240">
        <f t="shared" si="336"/>
        <v>174228.07</v>
      </c>
      <c r="HA112" s="240">
        <f t="shared" si="336"/>
        <v>0</v>
      </c>
      <c r="HB112" s="498">
        <f t="shared" si="336"/>
        <v>77802.719999999987</v>
      </c>
      <c r="HC112" s="197">
        <f t="shared" si="336"/>
        <v>303479.37599999999</v>
      </c>
      <c r="HD112" s="233">
        <f t="shared" si="336"/>
        <v>303479.37599999999</v>
      </c>
      <c r="HE112" s="171">
        <f t="shared" si="336"/>
        <v>0</v>
      </c>
      <c r="HF112" s="240">
        <f t="shared" si="336"/>
        <v>0</v>
      </c>
      <c r="HG112" s="240">
        <f t="shared" si="336"/>
        <v>0</v>
      </c>
      <c r="HH112" s="240">
        <f t="shared" si="336"/>
        <v>0</v>
      </c>
      <c r="HI112" s="197">
        <f t="shared" si="336"/>
        <v>0</v>
      </c>
      <c r="HJ112" s="171">
        <f t="shared" si="336"/>
        <v>34874.959999999999</v>
      </c>
      <c r="HK112" s="240">
        <f t="shared" si="336"/>
        <v>0</v>
      </c>
      <c r="HL112" s="240">
        <f t="shared" si="336"/>
        <v>0</v>
      </c>
      <c r="HM112" s="240">
        <f t="shared" si="336"/>
        <v>-11785.930320271968</v>
      </c>
      <c r="HN112" s="498">
        <f t="shared" si="336"/>
        <v>0</v>
      </c>
      <c r="HO112" s="197">
        <f t="shared" si="336"/>
        <v>23089.029679728032</v>
      </c>
      <c r="HP112" s="171">
        <f t="shared" si="336"/>
        <v>0</v>
      </c>
      <c r="HQ112" s="240">
        <f t="shared" si="336"/>
        <v>0</v>
      </c>
      <c r="HR112" s="240">
        <f t="shared" si="336"/>
        <v>0</v>
      </c>
      <c r="HS112" s="240">
        <f t="shared" si="336"/>
        <v>0</v>
      </c>
      <c r="HT112" s="498">
        <f t="shared" si="336"/>
        <v>0</v>
      </c>
      <c r="HU112" s="197">
        <f t="shared" si="336"/>
        <v>0</v>
      </c>
      <c r="HV112" s="171">
        <f t="shared" si="336"/>
        <v>0</v>
      </c>
      <c r="HW112" s="240">
        <f t="shared" si="336"/>
        <v>0</v>
      </c>
      <c r="HX112" s="240">
        <f t="shared" si="336"/>
        <v>0</v>
      </c>
      <c r="HY112" s="197">
        <f t="shared" si="336"/>
        <v>0</v>
      </c>
      <c r="HZ112" s="171">
        <f t="shared" si="336"/>
        <v>0</v>
      </c>
      <c r="IA112" s="240">
        <f>SUM(IA113:IA117)</f>
        <v>0</v>
      </c>
      <c r="IB112" s="498">
        <f>SUM(IB113:IB117)</f>
        <v>24</v>
      </c>
      <c r="IC112" s="197">
        <f t="shared" si="336"/>
        <v>24</v>
      </c>
      <c r="ID112" s="233">
        <f t="shared" si="336"/>
        <v>23113.029679728032</v>
      </c>
      <c r="IE112" s="171">
        <f t="shared" si="336"/>
        <v>111155.07999999999</v>
      </c>
      <c r="IF112" s="498">
        <f t="shared" si="336"/>
        <v>5.47</v>
      </c>
      <c r="IG112" s="197">
        <f t="shared" si="336"/>
        <v>111160.54999999999</v>
      </c>
      <c r="IH112" s="171">
        <f t="shared" si="336"/>
        <v>0</v>
      </c>
      <c r="II112" s="240">
        <f t="shared" si="336"/>
        <v>0</v>
      </c>
      <c r="IJ112" s="240">
        <f t="shared" si="336"/>
        <v>150025</v>
      </c>
      <c r="IK112" s="240">
        <f t="shared" si="336"/>
        <v>0</v>
      </c>
      <c r="IL112" s="498">
        <f t="shared" si="336"/>
        <v>0</v>
      </c>
      <c r="IM112" s="197">
        <f t="shared" si="336"/>
        <v>150025</v>
      </c>
      <c r="IN112" s="171">
        <f t="shared" si="336"/>
        <v>0</v>
      </c>
      <c r="IO112" s="240">
        <f t="shared" si="336"/>
        <v>0</v>
      </c>
      <c r="IP112" s="498">
        <f t="shared" si="336"/>
        <v>0</v>
      </c>
      <c r="IQ112" s="197">
        <f t="shared" si="336"/>
        <v>0</v>
      </c>
      <c r="IR112" s="171">
        <f t="shared" si="336"/>
        <v>114621.10999999999</v>
      </c>
      <c r="IS112" s="240">
        <f t="shared" si="336"/>
        <v>0</v>
      </c>
      <c r="IT112" s="240">
        <f t="shared" si="336"/>
        <v>0</v>
      </c>
      <c r="IU112" s="240">
        <f t="shared" si="336"/>
        <v>0</v>
      </c>
      <c r="IV112" s="498">
        <f t="shared" si="336"/>
        <v>0</v>
      </c>
      <c r="IW112" s="197">
        <f t="shared" si="336"/>
        <v>114621.10999999999</v>
      </c>
      <c r="IX112" s="171">
        <f t="shared" si="336"/>
        <v>0</v>
      </c>
      <c r="IY112" s="240">
        <f t="shared" si="336"/>
        <v>8036</v>
      </c>
      <c r="IZ112" s="240">
        <f t="shared" si="336"/>
        <v>0</v>
      </c>
      <c r="JA112" s="240">
        <f t="shared" si="336"/>
        <v>145011</v>
      </c>
      <c r="JB112" s="498">
        <f t="shared" si="336"/>
        <v>0</v>
      </c>
      <c r="JC112" s="197">
        <f t="shared" si="336"/>
        <v>153047</v>
      </c>
      <c r="JD112" s="233">
        <f t="shared" si="336"/>
        <v>528853.65999999992</v>
      </c>
      <c r="JE112" s="171">
        <f t="shared" si="336"/>
        <v>0</v>
      </c>
      <c r="JF112" s="240">
        <f t="shared" si="336"/>
        <v>0</v>
      </c>
      <c r="JG112" s="240">
        <f t="shared" si="336"/>
        <v>100011</v>
      </c>
      <c r="JH112" s="240">
        <f t="shared" si="336"/>
        <v>0</v>
      </c>
      <c r="JI112" s="498">
        <f t="shared" si="336"/>
        <v>0</v>
      </c>
      <c r="JJ112" s="197">
        <f t="shared" si="336"/>
        <v>100011</v>
      </c>
      <c r="JK112" s="428">
        <f t="shared" si="336"/>
        <v>0</v>
      </c>
      <c r="JL112" s="429">
        <f t="shared" si="336"/>
        <v>0</v>
      </c>
      <c r="JM112" s="429">
        <f t="shared" si="336"/>
        <v>0</v>
      </c>
      <c r="JN112" s="429">
        <f t="shared" si="336"/>
        <v>0</v>
      </c>
      <c r="JO112" s="430">
        <f t="shared" si="336"/>
        <v>0</v>
      </c>
      <c r="JP112" s="147">
        <f t="shared" si="336"/>
        <v>0</v>
      </c>
      <c r="JQ112" s="428">
        <f t="shared" si="336"/>
        <v>0</v>
      </c>
      <c r="JR112" s="429">
        <f t="shared" si="336"/>
        <v>0</v>
      </c>
      <c r="JS112" s="429">
        <f t="shared" si="336"/>
        <v>0</v>
      </c>
      <c r="JT112" s="429">
        <f t="shared" si="336"/>
        <v>0</v>
      </c>
      <c r="JU112" s="430">
        <f t="shared" si="336"/>
        <v>0</v>
      </c>
      <c r="JV112" s="147">
        <f t="shared" si="336"/>
        <v>0</v>
      </c>
      <c r="JW112" s="428">
        <f t="shared" si="336"/>
        <v>0</v>
      </c>
      <c r="JX112" s="429">
        <f t="shared" si="336"/>
        <v>0</v>
      </c>
      <c r="JY112" s="429">
        <f t="shared" si="336"/>
        <v>0</v>
      </c>
      <c r="JZ112" s="429">
        <f t="shared" si="336"/>
        <v>0</v>
      </c>
      <c r="KA112" s="429"/>
      <c r="KB112" s="430">
        <f t="shared" si="336"/>
        <v>0</v>
      </c>
      <c r="KC112" s="147">
        <f t="shared" si="336"/>
        <v>0</v>
      </c>
      <c r="KD112" s="147" t="e">
        <f t="shared" si="336"/>
        <v>#REF!</v>
      </c>
      <c r="KE112" s="428">
        <f t="shared" si="336"/>
        <v>0</v>
      </c>
      <c r="KF112" s="429">
        <f t="shared" si="336"/>
        <v>0</v>
      </c>
      <c r="KG112" s="429">
        <f t="shared" si="336"/>
        <v>0</v>
      </c>
      <c r="KH112" s="429">
        <f t="shared" si="336"/>
        <v>0</v>
      </c>
      <c r="KI112" s="430">
        <f t="shared" si="336"/>
        <v>0</v>
      </c>
      <c r="KJ112" s="147">
        <f t="shared" si="336"/>
        <v>0</v>
      </c>
      <c r="KK112" s="428">
        <f t="shared" si="336"/>
        <v>0</v>
      </c>
      <c r="KL112" s="429">
        <f t="shared" si="336"/>
        <v>0</v>
      </c>
      <c r="KM112" s="429">
        <f t="shared" si="336"/>
        <v>0</v>
      </c>
      <c r="KN112" s="429">
        <f t="shared" si="336"/>
        <v>0</v>
      </c>
      <c r="KO112" s="430">
        <f t="shared" si="336"/>
        <v>0</v>
      </c>
      <c r="KP112" s="147">
        <f t="shared" si="336"/>
        <v>0</v>
      </c>
      <c r="KQ112" s="428">
        <f t="shared" si="336"/>
        <v>0</v>
      </c>
      <c r="KR112" s="429">
        <f t="shared" si="336"/>
        <v>0</v>
      </c>
      <c r="KS112" s="429">
        <f t="shared" si="336"/>
        <v>0</v>
      </c>
      <c r="KT112" s="429">
        <f t="shared" si="336"/>
        <v>0</v>
      </c>
      <c r="KU112" s="430">
        <f t="shared" si="336"/>
        <v>0</v>
      </c>
      <c r="KV112" s="147">
        <f t="shared" si="336"/>
        <v>0</v>
      </c>
      <c r="KW112" s="428">
        <f t="shared" si="336"/>
        <v>0</v>
      </c>
      <c r="KX112" s="429">
        <f t="shared" si="336"/>
        <v>0</v>
      </c>
      <c r="KY112" s="429">
        <f t="shared" si="336"/>
        <v>0</v>
      </c>
      <c r="KZ112" s="429">
        <f t="shared" si="336"/>
        <v>0</v>
      </c>
      <c r="LA112" s="430">
        <f t="shared" si="336"/>
        <v>0</v>
      </c>
      <c r="LB112" s="147">
        <f t="shared" si="336"/>
        <v>0</v>
      </c>
      <c r="LC112" s="428">
        <f t="shared" si="336"/>
        <v>0</v>
      </c>
      <c r="LD112" s="429">
        <f t="shared" si="336"/>
        <v>0</v>
      </c>
      <c r="LE112" s="430">
        <f t="shared" si="336"/>
        <v>0</v>
      </c>
      <c r="LF112" s="147">
        <f t="shared" si="336"/>
        <v>0</v>
      </c>
      <c r="LG112" s="147">
        <f t="shared" si="336"/>
        <v>61403.508771929803</v>
      </c>
    </row>
    <row r="113" spans="2:321" s="206" customFormat="1">
      <c r="B113" s="203" t="s">
        <v>98</v>
      </c>
      <c r="C113" s="203"/>
      <c r="D113" s="202">
        <f>SUM(C113:C113)</f>
        <v>0</v>
      </c>
      <c r="E113" s="203"/>
      <c r="F113" s="205"/>
      <c r="G113" s="205"/>
      <c r="H113" s="205"/>
      <c r="I113" s="204">
        <v>8572.5</v>
      </c>
      <c r="J113" s="202">
        <f>SUM(E113:I113)</f>
        <v>8572.5</v>
      </c>
      <c r="K113" s="203"/>
      <c r="L113" s="205"/>
      <c r="M113" s="205"/>
      <c r="N113" s="204"/>
      <c r="O113" s="202">
        <f>SUM(K113:N113)</f>
        <v>0</v>
      </c>
      <c r="P113" s="203"/>
      <c r="Q113" s="205"/>
      <c r="R113" s="205"/>
      <c r="S113" s="205"/>
      <c r="T113" s="204"/>
      <c r="U113" s="202">
        <f>SUM(P113:T113)</f>
        <v>0</v>
      </c>
      <c r="V113" s="203"/>
      <c r="W113" s="205"/>
      <c r="X113" s="205"/>
      <c r="Y113" s="205"/>
      <c r="Z113" s="204">
        <f>48800.55+17956.41</f>
        <v>66756.960000000006</v>
      </c>
      <c r="AA113" s="202">
        <f>SUM(V113:Z113)</f>
        <v>66756.960000000006</v>
      </c>
      <c r="AB113" s="208">
        <f>AA113+U113+O113+J113+D113</f>
        <v>75329.460000000006</v>
      </c>
      <c r="AC113" s="203"/>
      <c r="AD113" s="205">
        <f>7766.04+11296.63+5514.94+5057+6411.23+13269.24+19466.81+13382.85+11276.81+16372.6+9444.81</f>
        <v>119258.96</v>
      </c>
      <c r="AE113" s="205"/>
      <c r="AF113" s="205">
        <v>4464</v>
      </c>
      <c r="AG113" s="204"/>
      <c r="AH113" s="208">
        <f>SUM(AC113:AG113)</f>
        <v>123722.96</v>
      </c>
      <c r="AI113" s="203"/>
      <c r="AJ113" s="205"/>
      <c r="AK113" s="205"/>
      <c r="AL113" s="205"/>
      <c r="AM113" s="204"/>
      <c r="AN113" s="208">
        <f>SUM(AI113:AM113)</f>
        <v>0</v>
      </c>
      <c r="AO113" s="203"/>
      <c r="AP113" s="205"/>
      <c r="AQ113" s="205"/>
      <c r="AR113" s="205"/>
      <c r="AS113" s="204"/>
      <c r="AT113" s="208">
        <f>SUM(AO113:AS113)</f>
        <v>0</v>
      </c>
      <c r="AU113" s="203"/>
      <c r="AV113" s="205"/>
      <c r="AW113" s="205"/>
      <c r="AX113" s="205">
        <v>7175.49</v>
      </c>
      <c r="AY113" s="204"/>
      <c r="AZ113" s="208">
        <f>SUM(AU113:AY113)</f>
        <v>7175.49</v>
      </c>
      <c r="BA113" s="208">
        <f>AZ113+AT113+AN113+AH113</f>
        <v>130898.45000000001</v>
      </c>
      <c r="BB113" s="203"/>
      <c r="BC113" s="205"/>
      <c r="BD113" s="205"/>
      <c r="BE113" s="205"/>
      <c r="BF113" s="204"/>
      <c r="BG113" s="208">
        <f>SUM(BB113:BF113)</f>
        <v>0</v>
      </c>
      <c r="BH113" s="203"/>
      <c r="BI113" s="205"/>
      <c r="BJ113" s="205">
        <f>49869.6+11644.33+11376.9+48973.48</f>
        <v>121864.31</v>
      </c>
      <c r="BK113" s="205"/>
      <c r="BL113" s="204"/>
      <c r="BM113" s="208">
        <f>SUM(BH113:BL113)</f>
        <v>121864.31</v>
      </c>
      <c r="BN113" s="203"/>
      <c r="BO113" s="205"/>
      <c r="BP113" s="205"/>
      <c r="BQ113" s="204"/>
      <c r="BR113" s="208">
        <f>SUM(BN113:BQ113)</f>
        <v>0</v>
      </c>
      <c r="BS113" s="203"/>
      <c r="BT113" s="205"/>
      <c r="BU113" s="205"/>
      <c r="BV113" s="205"/>
      <c r="BW113" s="204"/>
      <c r="BX113" s="208">
        <f>SUM(BS113:BW113)</f>
        <v>0</v>
      </c>
      <c r="BY113" s="203"/>
      <c r="BZ113" s="205"/>
      <c r="CA113" s="208">
        <v>0</v>
      </c>
      <c r="CB113" s="208">
        <f>CA113+BX113+BR113+BM113+BG113</f>
        <v>121864.31</v>
      </c>
      <c r="CC113" s="203"/>
      <c r="CD113" s="205"/>
      <c r="CE113" s="205"/>
      <c r="CF113" s="208">
        <f>SUM(CC113:CE113)</f>
        <v>0</v>
      </c>
      <c r="CG113" s="203"/>
      <c r="CH113" s="205"/>
      <c r="CI113" s="205"/>
      <c r="CJ113" s="204"/>
      <c r="CK113" s="208">
        <f>SUM(CG113:CJ113)</f>
        <v>0</v>
      </c>
      <c r="CL113" s="203"/>
      <c r="CM113" s="205"/>
      <c r="CN113" s="205"/>
      <c r="CO113" s="205"/>
      <c r="CP113" s="204"/>
      <c r="CQ113" s="208">
        <f>SUM(CL113:CP113)</f>
        <v>0</v>
      </c>
      <c r="CR113" s="203">
        <f>9705.05+13552.27</f>
        <v>23257.32</v>
      </c>
      <c r="CS113" s="224"/>
      <c r="CT113" s="205"/>
      <c r="CU113" s="205"/>
      <c r="CV113" s="204"/>
      <c r="CW113" s="208">
        <f>SUM(CR113:CV113)</f>
        <v>23257.32</v>
      </c>
      <c r="CX113" s="202"/>
      <c r="CY113" s="244"/>
      <c r="CZ113" s="244"/>
      <c r="DA113" s="245"/>
      <c r="DB113" s="208">
        <f>SUM(CX113:DA113)</f>
        <v>0</v>
      </c>
      <c r="DC113" s="208">
        <f>DB113+CW113+CQ113+CK113+CF113</f>
        <v>23257.32</v>
      </c>
      <c r="DD113" s="203"/>
      <c r="DE113" s="205"/>
      <c r="DF113" s="205"/>
      <c r="DG113" s="205"/>
      <c r="DH113" s="205"/>
      <c r="DI113" s="208">
        <f>SUM(DD113:DH113)</f>
        <v>0</v>
      </c>
      <c r="DJ113" s="203"/>
      <c r="DK113" s="205"/>
      <c r="DL113" s="205"/>
      <c r="DM113" s="205"/>
      <c r="DN113" s="204"/>
      <c r="DO113" s="208">
        <f>SUM(DJ113:DN113)</f>
        <v>0</v>
      </c>
      <c r="DP113" s="203"/>
      <c r="DQ113" s="205"/>
      <c r="DR113" s="205"/>
      <c r="DS113" s="205"/>
      <c r="DT113" s="204"/>
      <c r="DU113" s="208">
        <f>SUM(DP113:DT113)</f>
        <v>0</v>
      </c>
      <c r="DV113" s="203"/>
      <c r="DW113" s="205"/>
      <c r="DX113" s="205">
        <f>10970.66+3946.02+12604.16+12166.91+9981.17+9796.26+11307.34+13687.61+18503.39+4687.65+11228.3</f>
        <v>118879.47</v>
      </c>
      <c r="DY113" s="205"/>
      <c r="DZ113" s="204"/>
      <c r="EA113" s="208">
        <f>SUM(DV113:DZ113)</f>
        <v>118879.47</v>
      </c>
      <c r="EB113" s="208">
        <f>EA113+DU113+DO113+DI113</f>
        <v>118879.47</v>
      </c>
      <c r="EC113" s="203"/>
      <c r="ED113" s="205">
        <f>11760.27+10814.12+16045.68+14710.78+13462.34+13858.45</f>
        <v>80651.64</v>
      </c>
      <c r="EE113" s="205"/>
      <c r="EF113" s="205"/>
      <c r="EG113" s="204"/>
      <c r="EH113" s="208">
        <f>SUM(EC113:EG113)</f>
        <v>80651.64</v>
      </c>
      <c r="EI113" s="203">
        <f>5075+16750.77+3692.7+15096.21+10810.53+9257+13553.5+11876.33+19507.99+3785.57+23167.27</f>
        <v>132572.87</v>
      </c>
      <c r="EJ113" s="205"/>
      <c r="EK113" s="205"/>
      <c r="EL113" s="205"/>
      <c r="EM113" s="204"/>
      <c r="EN113" s="208">
        <f>SUM(EI113:EM113)</f>
        <v>132572.87</v>
      </c>
      <c r="EO113" s="202"/>
      <c r="EP113" s="244"/>
      <c r="EQ113" s="244"/>
      <c r="ER113" s="244"/>
      <c r="ES113" s="245"/>
      <c r="ET113" s="208">
        <f>SUM(EO113:ES113)</f>
        <v>0</v>
      </c>
      <c r="EU113" s="203"/>
      <c r="EV113" s="205"/>
      <c r="EW113" s="205"/>
      <c r="EX113" s="205"/>
      <c r="EY113" s="205"/>
      <c r="EZ113" s="205"/>
      <c r="FA113" s="204"/>
      <c r="FB113" s="208">
        <f>SUM(EU113:FA113)</f>
        <v>0</v>
      </c>
      <c r="FC113" s="208">
        <f>FB113+ET113+EN113+EH113</f>
        <v>213224.51</v>
      </c>
      <c r="FD113" s="203"/>
      <c r="FE113" s="205"/>
      <c r="FF113" s="204"/>
      <c r="FG113" s="208">
        <f>SUM(FD113:FF113)</f>
        <v>0</v>
      </c>
      <c r="FH113" s="203"/>
      <c r="FI113" s="205"/>
      <c r="FJ113" s="205"/>
      <c r="FK113" s="205"/>
      <c r="FL113" s="204"/>
      <c r="FM113" s="208">
        <f>SUM(FH113:FL113)</f>
        <v>0</v>
      </c>
      <c r="FN113" s="203"/>
      <c r="FO113" s="205"/>
      <c r="FP113" s="205"/>
      <c r="FQ113" s="205"/>
      <c r="FR113" s="208">
        <f>SUM(FN113:FQ113)</f>
        <v>0</v>
      </c>
      <c r="FS113" s="203"/>
      <c r="FT113" s="205"/>
      <c r="FU113" s="205"/>
      <c r="FV113" s="205"/>
      <c r="FW113" s="204"/>
      <c r="FX113" s="208">
        <f>SUM(FS113:FW113)</f>
        <v>0</v>
      </c>
      <c r="FY113" s="203"/>
      <c r="FZ113" s="205">
        <f>14760.3+13244.66</f>
        <v>28004.959999999999</v>
      </c>
      <c r="GA113" s="205"/>
      <c r="GB113" s="205">
        <v>17840.5</v>
      </c>
      <c r="GC113" s="204"/>
      <c r="GD113" s="208">
        <f>SUM(FY113:GC113)</f>
        <v>45845.46</v>
      </c>
      <c r="GE113" s="208">
        <f>FG113+FM113+FR113+FX113+GD113</f>
        <v>45845.46</v>
      </c>
      <c r="GF113" s="203"/>
      <c r="GG113" s="205"/>
      <c r="GH113" s="205"/>
      <c r="GI113" s="205"/>
      <c r="GJ113" s="205"/>
      <c r="GK113" s="208">
        <f>SUM(GF113:GJ113)</f>
        <v>0</v>
      </c>
      <c r="GL113" s="203"/>
      <c r="GM113" s="205"/>
      <c r="GN113" s="205"/>
      <c r="GO113" s="204"/>
      <c r="GP113" s="208">
        <f>SUM(GL113:GO113)</f>
        <v>0</v>
      </c>
      <c r="GQ113" s="203"/>
      <c r="GR113" s="205"/>
      <c r="GS113" s="205"/>
      <c r="GT113" s="205"/>
      <c r="GU113" s="204"/>
      <c r="GV113" s="208">
        <f>SUM(GQ113:GU113)</f>
        <v>0</v>
      </c>
      <c r="GW113" s="203">
        <v>51448.586000000003</v>
      </c>
      <c r="GX113" s="205"/>
      <c r="GY113" s="205"/>
      <c r="GZ113" s="205">
        <f>5660.78+3205.22+31845.62+7022.05+26494.4</f>
        <v>74228.070000000007</v>
      </c>
      <c r="HA113" s="205"/>
      <c r="HB113" s="204">
        <f>15967.48+10044.13+10730.97+10337.83+17035.34+156.7+12116.26+1414.01</f>
        <v>77802.719999999987</v>
      </c>
      <c r="HC113" s="208">
        <f>SUM(GW113:HB113)</f>
        <v>203479.37599999999</v>
      </c>
      <c r="HD113" s="208">
        <f>GK113+GP113+GV113+HC113</f>
        <v>203479.37599999999</v>
      </c>
      <c r="HE113" s="203"/>
      <c r="HF113" s="205"/>
      <c r="HG113" s="205"/>
      <c r="HH113" s="205"/>
      <c r="HI113" s="208">
        <f>SUM(HE113:HH113)</f>
        <v>0</v>
      </c>
      <c r="HJ113" s="203"/>
      <c r="HK113" s="205"/>
      <c r="HL113" s="205"/>
      <c r="HM113" s="205">
        <v>18605.96</v>
      </c>
      <c r="HN113" s="204"/>
      <c r="HO113" s="208">
        <f>SUM(HJ113:HN113)</f>
        <v>18605.96</v>
      </c>
      <c r="HP113" s="203"/>
      <c r="HQ113" s="205"/>
      <c r="HR113" s="205"/>
      <c r="HS113" s="205"/>
      <c r="HT113" s="204"/>
      <c r="HU113" s="208">
        <f>SUM(HP113:HT113)</f>
        <v>0</v>
      </c>
      <c r="HV113" s="202"/>
      <c r="HW113" s="244"/>
      <c r="HX113" s="244"/>
      <c r="HY113" s="208">
        <f>SUM(HV113:HX113)</f>
        <v>0</v>
      </c>
      <c r="HZ113" s="203"/>
      <c r="IA113" s="205"/>
      <c r="IB113" s="204"/>
      <c r="IC113" s="208">
        <f t="shared" ref="IC113:IC115" si="338">SUM(HZ113:IB113)</f>
        <v>0</v>
      </c>
      <c r="ID113" s="208">
        <f>HI113+HO113+HU113+HY113+IC113</f>
        <v>18605.96</v>
      </c>
      <c r="IE113" s="203">
        <f>49684.45+34185.64+13682.31+13602.68</f>
        <v>111155.07999999999</v>
      </c>
      <c r="IF113" s="204"/>
      <c r="IG113" s="208">
        <f>SUM(IE113:IF113)</f>
        <v>111155.07999999999</v>
      </c>
      <c r="IH113" s="203"/>
      <c r="II113" s="205"/>
      <c r="IJ113" s="205"/>
      <c r="IK113" s="205"/>
      <c r="IL113" s="204"/>
      <c r="IM113" s="208">
        <f>SUM(IH113:IL113)</f>
        <v>0</v>
      </c>
      <c r="IN113" s="203"/>
      <c r="IO113" s="205"/>
      <c r="IP113" s="204"/>
      <c r="IQ113" s="208">
        <f>SUM(IN113:IP113)</f>
        <v>0</v>
      </c>
      <c r="IR113" s="203">
        <f>8956.81+9647.98+17119.38+11546.69+19553.34+13071.78+10847.16+9348.04+14529.93</f>
        <v>114621.10999999999</v>
      </c>
      <c r="IS113" s="205"/>
      <c r="IT113" s="205"/>
      <c r="IU113" s="205"/>
      <c r="IV113" s="204"/>
      <c r="IW113" s="208">
        <f>SUM(IR113:IV113)</f>
        <v>114621.10999999999</v>
      </c>
      <c r="IX113" s="203"/>
      <c r="IY113" s="205"/>
      <c r="IZ113" s="205"/>
      <c r="JA113" s="205"/>
      <c r="JB113" s="204"/>
      <c r="JC113" s="208">
        <f>SUM(IX113:JB113)</f>
        <v>0</v>
      </c>
      <c r="JD113" s="208">
        <f>JC113+IW113+IQ113+IM113+IG113</f>
        <v>225776.18999999997</v>
      </c>
      <c r="JE113" s="203"/>
      <c r="JF113" s="205"/>
      <c r="JG113" s="205"/>
      <c r="JH113" s="205"/>
      <c r="JI113" s="204"/>
      <c r="JJ113" s="208">
        <f>SUM(JE113:JI113)</f>
        <v>0</v>
      </c>
      <c r="JK113" s="203"/>
      <c r="JL113" s="205"/>
      <c r="JM113" s="205"/>
      <c r="JN113" s="205"/>
      <c r="JO113" s="204"/>
      <c r="JP113" s="208">
        <f>SUM(JK113:JO113)</f>
        <v>0</v>
      </c>
      <c r="JQ113" s="203"/>
      <c r="JR113" s="205"/>
      <c r="JS113" s="205"/>
      <c r="JT113" s="205"/>
      <c r="JU113" s="204"/>
      <c r="JV113" s="208">
        <f>SUM(JQ113:JU113)</f>
        <v>0</v>
      </c>
      <c r="JW113" s="203"/>
      <c r="JX113" s="205"/>
      <c r="JY113" s="205"/>
      <c r="JZ113" s="205"/>
      <c r="KA113" s="205"/>
      <c r="KB113" s="204"/>
      <c r="KC113" s="208">
        <f>SUM(JW113:KB113)</f>
        <v>0</v>
      </c>
      <c r="KD113" s="208" t="e">
        <f>Etranger!#REF!+Etranger!#REF!+Etranger!#REF!+Etranger!D26+Etranger!D28+Etranger!D27</f>
        <v>#REF!</v>
      </c>
      <c r="KE113" s="203"/>
      <c r="KF113" s="205"/>
      <c r="KG113" s="205"/>
      <c r="KH113" s="205"/>
      <c r="KI113" s="204"/>
      <c r="KJ113" s="208">
        <f>SUM(KE113:KI113)</f>
        <v>0</v>
      </c>
      <c r="KK113" s="203"/>
      <c r="KL113" s="205"/>
      <c r="KM113" s="205"/>
      <c r="KN113" s="205"/>
      <c r="KO113" s="204"/>
      <c r="KP113" s="208">
        <f>SUM(KK113:KO113)</f>
        <v>0</v>
      </c>
      <c r="KQ113" s="202"/>
      <c r="KR113" s="244"/>
      <c r="KS113" s="244"/>
      <c r="KT113" s="244"/>
      <c r="KU113" s="245"/>
      <c r="KV113" s="208">
        <f>SUM(KQ113:KU113)</f>
        <v>0</v>
      </c>
      <c r="KW113" s="202"/>
      <c r="KX113" s="244"/>
      <c r="KY113" s="244"/>
      <c r="KZ113" s="244"/>
      <c r="LA113" s="245"/>
      <c r="LB113" s="208">
        <f>SUM(KW113:LA113)</f>
        <v>0</v>
      </c>
      <c r="LC113" s="202"/>
      <c r="LD113" s="244"/>
      <c r="LE113" s="245"/>
      <c r="LF113" s="208">
        <f>SUM(LC113:LE113)</f>
        <v>0</v>
      </c>
      <c r="LG113" s="208">
        <f>LF113+LB113+KV113+KP113+KJ113</f>
        <v>0</v>
      </c>
    </row>
    <row r="114" spans="2:321" s="91" customFormat="1">
      <c r="B114" s="167" t="s">
        <v>78</v>
      </c>
      <c r="C114" s="167"/>
      <c r="D114" s="202">
        <f>SUM(C114:C114)</f>
        <v>0</v>
      </c>
      <c r="E114" s="167"/>
      <c r="F114" s="177"/>
      <c r="G114" s="177"/>
      <c r="H114" s="177"/>
      <c r="I114" s="178"/>
      <c r="J114" s="202">
        <f>SUM(E114:I114)</f>
        <v>0</v>
      </c>
      <c r="K114" s="167"/>
      <c r="L114" s="177"/>
      <c r="M114" s="177"/>
      <c r="N114" s="178">
        <v>13000</v>
      </c>
      <c r="O114" s="202">
        <f>SUM(K114:N114)</f>
        <v>13000</v>
      </c>
      <c r="P114" s="167"/>
      <c r="Q114" s="177"/>
      <c r="R114" s="177"/>
      <c r="S114" s="177"/>
      <c r="T114" s="178"/>
      <c r="U114" s="202">
        <f>SUM(P114:T114)</f>
        <v>0</v>
      </c>
      <c r="V114" s="167"/>
      <c r="W114" s="177"/>
      <c r="X114" s="177">
        <v>1965.4</v>
      </c>
      <c r="Y114" s="177"/>
      <c r="Z114" s="178"/>
      <c r="AA114" s="202">
        <f>SUM(V114:Z114)</f>
        <v>1965.4</v>
      </c>
      <c r="AB114" s="208">
        <f>AA114+U114+O114+J114+D114</f>
        <v>14965.4</v>
      </c>
      <c r="AC114" s="203"/>
      <c r="AD114" s="205"/>
      <c r="AE114" s="205"/>
      <c r="AF114" s="205"/>
      <c r="AG114" s="204"/>
      <c r="AH114" s="208">
        <f>SUM(AC114:AG114)</f>
        <v>0</v>
      </c>
      <c r="AI114" s="203"/>
      <c r="AJ114" s="205"/>
      <c r="AK114" s="205"/>
      <c r="AL114" s="205"/>
      <c r="AM114" s="204"/>
      <c r="AN114" s="208">
        <f>SUM(AI114:AM114)</f>
        <v>0</v>
      </c>
      <c r="AO114" s="203"/>
      <c r="AP114" s="205"/>
      <c r="AQ114" s="205"/>
      <c r="AR114" s="205"/>
      <c r="AS114" s="204"/>
      <c r="AT114" s="208">
        <f>SUM(AO114:AS114)</f>
        <v>0</v>
      </c>
      <c r="AU114" s="203"/>
      <c r="AV114" s="205"/>
      <c r="AW114" s="205"/>
      <c r="AX114" s="205"/>
      <c r="AY114" s="204"/>
      <c r="AZ114" s="208">
        <f>SUM(AU114:AY114)</f>
        <v>0</v>
      </c>
      <c r="BA114" s="208">
        <f>AZ114+AT114+AN114+AH114</f>
        <v>0</v>
      </c>
      <c r="BB114" s="203"/>
      <c r="BC114" s="205"/>
      <c r="BD114" s="205"/>
      <c r="BE114" s="205"/>
      <c r="BF114" s="204"/>
      <c r="BG114" s="208">
        <f>SUM(BB114:BF114)</f>
        <v>0</v>
      </c>
      <c r="BH114" s="203"/>
      <c r="BI114" s="205"/>
      <c r="BJ114" s="205"/>
      <c r="BK114" s="205"/>
      <c r="BL114" s="204"/>
      <c r="BM114" s="208">
        <f>SUM(BH114:BL114)</f>
        <v>0</v>
      </c>
      <c r="BN114" s="203"/>
      <c r="BO114" s="205">
        <v>89623.9</v>
      </c>
      <c r="BP114" s="205"/>
      <c r="BQ114" s="204"/>
      <c r="BR114" s="208">
        <f>SUM(BN114:BQ114)</f>
        <v>89623.9</v>
      </c>
      <c r="BS114" s="203"/>
      <c r="BT114" s="205"/>
      <c r="BU114" s="205"/>
      <c r="BV114" s="205"/>
      <c r="BW114" s="204"/>
      <c r="BX114" s="208">
        <f>SUM(BS114:BW114)</f>
        <v>0</v>
      </c>
      <c r="BY114" s="203"/>
      <c r="BZ114" s="205"/>
      <c r="CA114" s="208">
        <f>SUM(BY114:BZ114)</f>
        <v>0</v>
      </c>
      <c r="CB114" s="208">
        <f>CA114+BX114+BR114+BM114+BG114</f>
        <v>89623.9</v>
      </c>
      <c r="CC114" s="203"/>
      <c r="CD114" s="205"/>
      <c r="CE114" s="205"/>
      <c r="CF114" s="208">
        <f>SUM(CC114:CE114)</f>
        <v>0</v>
      </c>
      <c r="CG114" s="203"/>
      <c r="CH114" s="205"/>
      <c r="CI114" s="205"/>
      <c r="CJ114" s="204"/>
      <c r="CK114" s="208">
        <f>SUM(CG114:CJ114)</f>
        <v>0</v>
      </c>
      <c r="CL114" s="203"/>
      <c r="CM114" s="205"/>
      <c r="CN114" s="205"/>
      <c r="CO114" s="205"/>
      <c r="CP114" s="204"/>
      <c r="CQ114" s="208">
        <f>SUM(CL114:CP114)</f>
        <v>0</v>
      </c>
      <c r="CR114" s="203"/>
      <c r="CS114" s="205"/>
      <c r="CT114" s="205"/>
      <c r="CU114" s="205"/>
      <c r="CV114" s="204"/>
      <c r="CW114" s="208">
        <f>SUM(CR114:CV114)</f>
        <v>0</v>
      </c>
      <c r="CX114" s="202"/>
      <c r="CY114" s="244"/>
      <c r="CZ114" s="244"/>
      <c r="DA114" s="245"/>
      <c r="DB114" s="208">
        <f>SUM(CX114:DA114)</f>
        <v>0</v>
      </c>
      <c r="DC114" s="208">
        <f>DB114+CW114+CQ114+CK114+CF114</f>
        <v>0</v>
      </c>
      <c r="DD114" s="203"/>
      <c r="DE114" s="205"/>
      <c r="DF114" s="205"/>
      <c r="DG114" s="205"/>
      <c r="DH114" s="205"/>
      <c r="DI114" s="208">
        <f>SUM(DD114:DH114)</f>
        <v>0</v>
      </c>
      <c r="DJ114" s="203"/>
      <c r="DK114" s="205"/>
      <c r="DL114" s="205"/>
      <c r="DM114" s="205"/>
      <c r="DN114" s="204"/>
      <c r="DO114" s="208">
        <f>SUM(DJ114:DN114)</f>
        <v>0</v>
      </c>
      <c r="DP114" s="203"/>
      <c r="DQ114" s="205"/>
      <c r="DR114" s="205"/>
      <c r="DS114" s="205"/>
      <c r="DT114" s="204"/>
      <c r="DU114" s="208">
        <f>SUM(DP114:DT114)</f>
        <v>0</v>
      </c>
      <c r="DV114" s="203"/>
      <c r="DW114" s="205"/>
      <c r="DX114" s="205"/>
      <c r="DY114" s="205"/>
      <c r="DZ114" s="204"/>
      <c r="EA114" s="208">
        <f>SUM(DV114:DZ114)</f>
        <v>0</v>
      </c>
      <c r="EB114" s="208">
        <f>EA114+DU114+DO114+DI114</f>
        <v>0</v>
      </c>
      <c r="EC114" s="203"/>
      <c r="ED114" s="205">
        <v>2333</v>
      </c>
      <c r="EE114" s="205"/>
      <c r="EF114" s="205"/>
      <c r="EG114" s="204"/>
      <c r="EH114" s="208">
        <f>SUM(EC114:EG114)</f>
        <v>2333</v>
      </c>
      <c r="EI114" s="203"/>
      <c r="EJ114" s="205"/>
      <c r="EK114" s="205"/>
      <c r="EL114" s="205"/>
      <c r="EM114" s="204"/>
      <c r="EN114" s="208">
        <f>SUM(EI114:EM114)</f>
        <v>0</v>
      </c>
      <c r="EO114" s="202"/>
      <c r="EP114" s="244"/>
      <c r="EQ114" s="244"/>
      <c r="ER114" s="244"/>
      <c r="ES114" s="245"/>
      <c r="ET114" s="208">
        <f>SUM(EO114:ES114)</f>
        <v>0</v>
      </c>
      <c r="EU114" s="203"/>
      <c r="EV114" s="205"/>
      <c r="EW114" s="205"/>
      <c r="EX114" s="205"/>
      <c r="EY114" s="205"/>
      <c r="EZ114" s="205"/>
      <c r="FA114" s="204"/>
      <c r="FB114" s="208">
        <f>SUM(EU114:FA114)</f>
        <v>0</v>
      </c>
      <c r="FC114" s="208">
        <f>FB114+ET114+EN114+EH114</f>
        <v>2333</v>
      </c>
      <c r="FD114" s="203"/>
      <c r="FE114" s="205"/>
      <c r="FF114" s="204"/>
      <c r="FG114" s="208">
        <f>SUM(FD114:FF114)</f>
        <v>0</v>
      </c>
      <c r="FH114" s="203"/>
      <c r="FI114" s="205"/>
      <c r="FJ114" s="205"/>
      <c r="FK114" s="205"/>
      <c r="FL114" s="204"/>
      <c r="FM114" s="208">
        <f>SUM(FH114:FL114)</f>
        <v>0</v>
      </c>
      <c r="FN114" s="203"/>
      <c r="FO114" s="205"/>
      <c r="FP114" s="205"/>
      <c r="FQ114" s="205">
        <v>5479.77</v>
      </c>
      <c r="FR114" s="208">
        <f>SUM(FN114:FQ114)</f>
        <v>5479.77</v>
      </c>
      <c r="FS114" s="203"/>
      <c r="FT114" s="205"/>
      <c r="FU114" s="205"/>
      <c r="FV114" s="205"/>
      <c r="FW114" s="204"/>
      <c r="FX114" s="208">
        <f>SUM(FS114:FW114)</f>
        <v>0</v>
      </c>
      <c r="FY114" s="203"/>
      <c r="FZ114" s="205"/>
      <c r="GA114" s="205"/>
      <c r="GB114" s="205"/>
      <c r="GC114" s="204"/>
      <c r="GD114" s="208">
        <f>SUM(FY114:GC114)</f>
        <v>0</v>
      </c>
      <c r="GE114" s="208">
        <f>FG114+FM114+FR114+FX114+GD114</f>
        <v>5479.77</v>
      </c>
      <c r="GF114" s="203"/>
      <c r="GG114" s="205"/>
      <c r="GH114" s="205"/>
      <c r="GI114" s="205"/>
      <c r="GJ114" s="205"/>
      <c r="GK114" s="208">
        <f>SUM(GF114:GJ114)</f>
        <v>0</v>
      </c>
      <c r="GL114" s="203"/>
      <c r="GM114" s="205"/>
      <c r="GN114" s="205"/>
      <c r="GO114" s="204"/>
      <c r="GP114" s="208">
        <f>SUM(GL114:GO114)</f>
        <v>0</v>
      </c>
      <c r="GQ114" s="203"/>
      <c r="GR114" s="205"/>
      <c r="GS114" s="205"/>
      <c r="GT114" s="205"/>
      <c r="GU114" s="204"/>
      <c r="GV114" s="208">
        <f>SUM(GQ114:GU114)</f>
        <v>0</v>
      </c>
      <c r="GW114" s="203"/>
      <c r="GX114" s="205"/>
      <c r="GY114" s="205"/>
      <c r="GZ114" s="205"/>
      <c r="HA114" s="205"/>
      <c r="HB114" s="204"/>
      <c r="HC114" s="208">
        <f>SUM(GW114:HB114)</f>
        <v>0</v>
      </c>
      <c r="HD114" s="208">
        <f>GK114+GP114+GV114+HC114</f>
        <v>0</v>
      </c>
      <c r="HE114" s="203"/>
      <c r="HF114" s="205"/>
      <c r="HG114" s="205"/>
      <c r="HH114" s="205"/>
      <c r="HI114" s="208">
        <f>SUM(HE114:HH114)</f>
        <v>0</v>
      </c>
      <c r="HJ114" s="203"/>
      <c r="HK114" s="205"/>
      <c r="HL114" s="205"/>
      <c r="HM114" s="205"/>
      <c r="HN114" s="204"/>
      <c r="HO114" s="208">
        <f>SUM(HJ114:HN114)</f>
        <v>0</v>
      </c>
      <c r="HP114" s="203"/>
      <c r="HQ114" s="205"/>
      <c r="HR114" s="205"/>
      <c r="HS114" s="205"/>
      <c r="HT114" s="204"/>
      <c r="HU114" s="208">
        <f>SUM(HP114:HT114)</f>
        <v>0</v>
      </c>
      <c r="HV114" s="202"/>
      <c r="HW114" s="244"/>
      <c r="HX114" s="244"/>
      <c r="HY114" s="208">
        <f>SUM(HV114:HX114)</f>
        <v>0</v>
      </c>
      <c r="HZ114" s="203"/>
      <c r="IA114" s="205"/>
      <c r="IB114" s="204"/>
      <c r="IC114" s="208">
        <f t="shared" si="338"/>
        <v>0</v>
      </c>
      <c r="ID114" s="208">
        <f>HI114+HO114+HU114+HY114+IC114</f>
        <v>0</v>
      </c>
      <c r="IE114" s="203"/>
      <c r="IF114" s="204"/>
      <c r="IG114" s="208">
        <f>SUM(IE114:IF114)</f>
        <v>0</v>
      </c>
      <c r="IH114" s="203"/>
      <c r="II114" s="205"/>
      <c r="IJ114" s="205"/>
      <c r="IK114" s="205"/>
      <c r="IL114" s="204"/>
      <c r="IM114" s="208">
        <f>SUM(IH114:IL114)</f>
        <v>0</v>
      </c>
      <c r="IN114" s="203"/>
      <c r="IO114" s="205"/>
      <c r="IP114" s="204"/>
      <c r="IQ114" s="208">
        <f>SUM(IN114:IP114)</f>
        <v>0</v>
      </c>
      <c r="IR114" s="203"/>
      <c r="IS114" s="205"/>
      <c r="IT114" s="205"/>
      <c r="IU114" s="205"/>
      <c r="IV114" s="204"/>
      <c r="IW114" s="208">
        <f>SUM(IR114:IV114)</f>
        <v>0</v>
      </c>
      <c r="IX114" s="203"/>
      <c r="IY114" s="205">
        <v>8025</v>
      </c>
      <c r="IZ114" s="205"/>
      <c r="JA114" s="205"/>
      <c r="JB114" s="204"/>
      <c r="JC114" s="208">
        <f>SUM(IX114:JB114)</f>
        <v>8025</v>
      </c>
      <c r="JD114" s="208">
        <f t="shared" ref="JD114:JD116" si="339">JC114+IW114+IQ114+IM114+IG114</f>
        <v>8025</v>
      </c>
      <c r="JE114" s="203"/>
      <c r="JF114" s="205"/>
      <c r="JG114" s="205"/>
      <c r="JH114" s="205"/>
      <c r="JI114" s="204"/>
      <c r="JJ114" s="208">
        <f>SUM(JE114:JI114)</f>
        <v>0</v>
      </c>
      <c r="JK114" s="203"/>
      <c r="JL114" s="205"/>
      <c r="JM114" s="205"/>
      <c r="JN114" s="205"/>
      <c r="JO114" s="204"/>
      <c r="JP114" s="208">
        <f>SUM(JK114:JO114)</f>
        <v>0</v>
      </c>
      <c r="JQ114" s="203"/>
      <c r="JR114" s="205"/>
      <c r="JS114" s="205"/>
      <c r="JT114" s="205"/>
      <c r="JU114" s="204"/>
      <c r="JV114" s="208">
        <f>SUM(JQ114:JU114)</f>
        <v>0</v>
      </c>
      <c r="JW114" s="203"/>
      <c r="JX114" s="205"/>
      <c r="JY114" s="205"/>
      <c r="JZ114" s="205"/>
      <c r="KA114" s="205"/>
      <c r="KB114" s="204"/>
      <c r="KC114" s="208">
        <f>SUM(JW114:KB114)</f>
        <v>0</v>
      </c>
      <c r="KD114" s="208">
        <v>310488</v>
      </c>
      <c r="KE114" s="203"/>
      <c r="KF114" s="205"/>
      <c r="KG114" s="205"/>
      <c r="KH114" s="205"/>
      <c r="KI114" s="204"/>
      <c r="KJ114" s="208">
        <f>SUM(KE114:KI114)</f>
        <v>0</v>
      </c>
      <c r="KK114" s="203"/>
      <c r="KL114" s="205"/>
      <c r="KM114" s="205"/>
      <c r="KN114" s="205"/>
      <c r="KO114" s="204"/>
      <c r="KP114" s="208">
        <f>SUM(KK114:KO114)</f>
        <v>0</v>
      </c>
      <c r="KQ114" s="202"/>
      <c r="KR114" s="244"/>
      <c r="KS114" s="244"/>
      <c r="KT114" s="244"/>
      <c r="KU114" s="245"/>
      <c r="KV114" s="208">
        <f>SUM(KQ114:KU114)</f>
        <v>0</v>
      </c>
      <c r="KW114" s="202"/>
      <c r="KX114" s="244"/>
      <c r="KY114" s="244"/>
      <c r="KZ114" s="244"/>
      <c r="LA114" s="245"/>
      <c r="LB114" s="208">
        <f>SUM(KW114:LA114)</f>
        <v>0</v>
      </c>
      <c r="LC114" s="202"/>
      <c r="LD114" s="244"/>
      <c r="LE114" s="245"/>
      <c r="LF114" s="208">
        <f>SUM(LC114:LE114)</f>
        <v>0</v>
      </c>
      <c r="LG114" s="208">
        <v>300000</v>
      </c>
    </row>
    <row r="115" spans="2:321" s="91" customFormat="1">
      <c r="B115" s="167" t="s">
        <v>175</v>
      </c>
      <c r="C115" s="167"/>
      <c r="D115" s="202">
        <f>SUM(C115:C115)</f>
        <v>0</v>
      </c>
      <c r="E115" s="167"/>
      <c r="F115" s="177"/>
      <c r="G115" s="177"/>
      <c r="H115" s="177"/>
      <c r="I115" s="178"/>
      <c r="J115" s="202">
        <f>SUM(E115:I115)</f>
        <v>0</v>
      </c>
      <c r="K115" s="167"/>
      <c r="L115" s="177"/>
      <c r="M115" s="177"/>
      <c r="N115" s="178"/>
      <c r="O115" s="202">
        <f>SUM(K115:N115)</f>
        <v>0</v>
      </c>
      <c r="P115" s="167"/>
      <c r="Q115" s="177"/>
      <c r="R115" s="177"/>
      <c r="S115" s="177"/>
      <c r="T115" s="178"/>
      <c r="U115" s="202">
        <f>SUM(P115:T115)</f>
        <v>0</v>
      </c>
      <c r="V115" s="167">
        <v>140000</v>
      </c>
      <c r="W115" s="177"/>
      <c r="X115" s="177"/>
      <c r="Y115" s="177"/>
      <c r="Z115" s="178"/>
      <c r="AA115" s="202">
        <f>SUM(V115:Z115)</f>
        <v>140000</v>
      </c>
      <c r="AB115" s="208">
        <f>AA115+U115+O115+J115+D115</f>
        <v>140000</v>
      </c>
      <c r="AC115" s="203"/>
      <c r="AD115" s="205">
        <f>200000+200000</f>
        <v>400000</v>
      </c>
      <c r="AE115" s="205"/>
      <c r="AF115" s="205"/>
      <c r="AG115" s="204"/>
      <c r="AH115" s="208">
        <f>SUM(AC115:AG115)</f>
        <v>400000</v>
      </c>
      <c r="AI115" s="203"/>
      <c r="AJ115" s="205"/>
      <c r="AK115" s="205"/>
      <c r="AL115" s="205"/>
      <c r="AM115" s="204"/>
      <c r="AN115" s="208">
        <f>SUM(AI115:AM115)</f>
        <v>0</v>
      </c>
      <c r="AO115" s="203"/>
      <c r="AP115" s="205"/>
      <c r="AQ115" s="205"/>
      <c r="AR115" s="205"/>
      <c r="AS115" s="204"/>
      <c r="AT115" s="208">
        <f>SUM(AO115:AS115)</f>
        <v>0</v>
      </c>
      <c r="AU115" s="203">
        <v>150000</v>
      </c>
      <c r="AV115" s="205"/>
      <c r="AW115" s="205"/>
      <c r="AX115" s="205"/>
      <c r="AY115" s="204"/>
      <c r="AZ115" s="208">
        <f>SUM(AU115:AY115)</f>
        <v>150000</v>
      </c>
      <c r="BA115" s="208">
        <f>AZ115+AT115+AN115+AH115</f>
        <v>550000</v>
      </c>
      <c r="BB115" s="203"/>
      <c r="BC115" s="205"/>
      <c r="BD115" s="205">
        <v>100000</v>
      </c>
      <c r="BE115" s="205"/>
      <c r="BF115" s="204"/>
      <c r="BG115" s="208">
        <f>SUM(BB115:BF115)</f>
        <v>100000</v>
      </c>
      <c r="BH115" s="203"/>
      <c r="BI115" s="205"/>
      <c r="BJ115" s="205"/>
      <c r="BK115" s="205">
        <f>200000+100000</f>
        <v>300000</v>
      </c>
      <c r="BL115" s="204"/>
      <c r="BM115" s="208">
        <f>SUM(BH115:BL115)</f>
        <v>300000</v>
      </c>
      <c r="BN115" s="203"/>
      <c r="BO115" s="205"/>
      <c r="BP115" s="205"/>
      <c r="BQ115" s="204"/>
      <c r="BR115" s="208">
        <f>SUM(BN115:BQ115)</f>
        <v>0</v>
      </c>
      <c r="BS115" s="203"/>
      <c r="BT115" s="205"/>
      <c r="BU115" s="205"/>
      <c r="BV115" s="205"/>
      <c r="BW115" s="204"/>
      <c r="BX115" s="208">
        <f>SUM(BS115:BW115)</f>
        <v>0</v>
      </c>
      <c r="BY115" s="203"/>
      <c r="BZ115" s="205"/>
      <c r="CA115" s="208">
        <v>0</v>
      </c>
      <c r="CB115" s="208">
        <f>CA115+BX115+BR115+BM115+BG115</f>
        <v>400000</v>
      </c>
      <c r="CC115" s="203"/>
      <c r="CD115" s="205"/>
      <c r="CE115" s="205"/>
      <c r="CF115" s="208">
        <f>SUM(CC115:CE115)</f>
        <v>0</v>
      </c>
      <c r="CG115" s="203"/>
      <c r="CH115" s="205"/>
      <c r="CI115" s="205">
        <v>80000</v>
      </c>
      <c r="CJ115" s="204"/>
      <c r="CK115" s="208">
        <f>SUM(CG115:CJ115)</f>
        <v>80000</v>
      </c>
      <c r="CL115" s="203"/>
      <c r="CM115" s="205"/>
      <c r="CN115" s="205"/>
      <c r="CO115" s="205"/>
      <c r="CP115" s="204"/>
      <c r="CQ115" s="208">
        <f>SUM(CL115:CP115)</f>
        <v>0</v>
      </c>
      <c r="CR115" s="203"/>
      <c r="CS115" s="205"/>
      <c r="CT115" s="205"/>
      <c r="CU115" s="205"/>
      <c r="CV115" s="204"/>
      <c r="CW115" s="208">
        <f>SUM(CR115:CV115)</f>
        <v>0</v>
      </c>
      <c r="CX115" s="202"/>
      <c r="CY115" s="244"/>
      <c r="CZ115" s="244"/>
      <c r="DA115" s="245"/>
      <c r="DB115" s="208">
        <f>SUM(CX115:DA115)</f>
        <v>0</v>
      </c>
      <c r="DC115" s="208">
        <f>DB115+CW115+CQ115+CK115+CF115</f>
        <v>80000</v>
      </c>
      <c r="DD115" s="203"/>
      <c r="DE115" s="205"/>
      <c r="DF115" s="205"/>
      <c r="DG115" s="205"/>
      <c r="DH115" s="205"/>
      <c r="DI115" s="208">
        <f>SUM(DD115:DH115)</f>
        <v>0</v>
      </c>
      <c r="DJ115" s="203"/>
      <c r="DK115" s="205"/>
      <c r="DL115" s="205"/>
      <c r="DM115" s="205"/>
      <c r="DN115" s="204"/>
      <c r="DO115" s="208">
        <f>SUM(DJ115:DN115)</f>
        <v>0</v>
      </c>
      <c r="DP115" s="203"/>
      <c r="DQ115" s="205"/>
      <c r="DR115" s="205"/>
      <c r="DS115" s="205"/>
      <c r="DT115" s="204"/>
      <c r="DU115" s="208">
        <f>SUM(DP115:DT115)</f>
        <v>0</v>
      </c>
      <c r="DV115" s="203"/>
      <c r="DW115" s="205"/>
      <c r="DX115" s="205"/>
      <c r="DY115" s="205"/>
      <c r="DZ115" s="204"/>
      <c r="EA115" s="208">
        <f>SUM(DV115:DZ115)</f>
        <v>0</v>
      </c>
      <c r="EB115" s="208">
        <f>EA115+DU115+DO115+DI115</f>
        <v>0</v>
      </c>
      <c r="EC115" s="203"/>
      <c r="ED115" s="205"/>
      <c r="EE115" s="205"/>
      <c r="EF115" s="205"/>
      <c r="EG115" s="204"/>
      <c r="EH115" s="208">
        <f>SUM(EC115:EG115)</f>
        <v>0</v>
      </c>
      <c r="EI115" s="203"/>
      <c r="EJ115" s="205"/>
      <c r="EK115" s="205"/>
      <c r="EL115" s="205"/>
      <c r="EM115" s="204"/>
      <c r="EN115" s="208">
        <f>SUM(EI115:EM115)</f>
        <v>0</v>
      </c>
      <c r="EO115" s="202"/>
      <c r="EP115" s="244"/>
      <c r="EQ115" s="244"/>
      <c r="ER115" s="244"/>
      <c r="ES115" s="245"/>
      <c r="ET115" s="208">
        <f>SUM(EO115:ES115)</f>
        <v>0</v>
      </c>
      <c r="EU115" s="203"/>
      <c r="EV115" s="205"/>
      <c r="EW115" s="205"/>
      <c r="EX115" s="205"/>
      <c r="EY115" s="205"/>
      <c r="EZ115" s="205"/>
      <c r="FA115" s="204"/>
      <c r="FB115" s="208">
        <f>SUM(EU115:FA115)</f>
        <v>0</v>
      </c>
      <c r="FC115" s="208">
        <f>FB115+ET115+EN115+EH115</f>
        <v>0</v>
      </c>
      <c r="FD115" s="203"/>
      <c r="FE115" s="205"/>
      <c r="FF115" s="204"/>
      <c r="FG115" s="208">
        <f>SUM(FD115:FF115)</f>
        <v>0</v>
      </c>
      <c r="FH115" s="203"/>
      <c r="FI115" s="205"/>
      <c r="FJ115" s="205"/>
      <c r="FK115" s="205"/>
      <c r="FL115" s="204"/>
      <c r="FM115" s="208">
        <f>SUM(FH115:FL115)</f>
        <v>0</v>
      </c>
      <c r="FN115" s="203"/>
      <c r="FO115" s="205"/>
      <c r="FP115" s="205"/>
      <c r="FQ115" s="205"/>
      <c r="FR115" s="208">
        <f>SUM(FN115:FQ115)</f>
        <v>0</v>
      </c>
      <c r="FS115" s="203"/>
      <c r="FT115" s="205"/>
      <c r="FU115" s="205"/>
      <c r="FV115" s="205"/>
      <c r="FW115" s="204"/>
      <c r="FX115" s="208">
        <f>SUM(FS115:FW115)</f>
        <v>0</v>
      </c>
      <c r="FY115" s="203"/>
      <c r="FZ115" s="205"/>
      <c r="GA115" s="205"/>
      <c r="GB115" s="205"/>
      <c r="GC115" s="204"/>
      <c r="GD115" s="208">
        <f>SUM(FY115:GC115)</f>
        <v>0</v>
      </c>
      <c r="GE115" s="208">
        <f>FG115+FM115+FR115+FX115+GD115</f>
        <v>0</v>
      </c>
      <c r="GF115" s="203"/>
      <c r="GG115" s="205"/>
      <c r="GH115" s="205"/>
      <c r="GI115" s="205"/>
      <c r="GJ115" s="205"/>
      <c r="GK115" s="208">
        <f>SUM(GF115:GJ115)</f>
        <v>0</v>
      </c>
      <c r="GL115" s="203"/>
      <c r="GM115" s="205"/>
      <c r="GN115" s="205"/>
      <c r="GO115" s="204"/>
      <c r="GP115" s="208">
        <f>SUM(GL115:GO115)</f>
        <v>0</v>
      </c>
      <c r="GQ115" s="203"/>
      <c r="GR115" s="205"/>
      <c r="GT115" s="205"/>
      <c r="GU115" s="204"/>
      <c r="GV115" s="208">
        <f>SUM(GQ115:GU115)</f>
        <v>0</v>
      </c>
      <c r="GW115" s="203"/>
      <c r="GX115" s="205"/>
      <c r="GY115" s="205"/>
      <c r="GZ115" s="205">
        <v>100000</v>
      </c>
      <c r="HA115" s="205"/>
      <c r="HB115" s="204"/>
      <c r="HC115" s="208">
        <f>SUM(GW115:HB115)</f>
        <v>100000</v>
      </c>
      <c r="HD115" s="208">
        <f>GK115+GP115+GV115+HC115</f>
        <v>100000</v>
      </c>
      <c r="HE115" s="203"/>
      <c r="HF115" s="205"/>
      <c r="HG115" s="205"/>
      <c r="HH115" s="205"/>
      <c r="HI115" s="208">
        <f>SUM(HE115:HH115)</f>
        <v>0</v>
      </c>
      <c r="HJ115" s="203">
        <f>14581+19820.31+473.65</f>
        <v>34874.959999999999</v>
      </c>
      <c r="HK115" s="205"/>
      <c r="HL115" s="205"/>
      <c r="HM115" s="205">
        <f>-HM129/1.1178</f>
        <v>-30416.890320271967</v>
      </c>
      <c r="HN115" s="204"/>
      <c r="HO115" s="208">
        <f>SUM(HJ115:HN115)</f>
        <v>4458.0696797280325</v>
      </c>
      <c r="HP115" s="203"/>
      <c r="HQ115" s="205"/>
      <c r="HR115" s="205"/>
      <c r="HS115" s="205"/>
      <c r="HT115" s="204"/>
      <c r="HU115" s="208">
        <f>SUM(HP115:HT115)</f>
        <v>0</v>
      </c>
      <c r="HV115" s="202"/>
      <c r="HW115" s="244"/>
      <c r="HX115" s="244"/>
      <c r="HY115" s="208">
        <f>SUM(HV115:HX115)</f>
        <v>0</v>
      </c>
      <c r="HZ115" s="203"/>
      <c r="IA115" s="205"/>
      <c r="IB115" s="204"/>
      <c r="IC115" s="208">
        <f t="shared" si="338"/>
        <v>0</v>
      </c>
      <c r="ID115" s="208">
        <f>HI115+HO115+HU115+HY115+IC115</f>
        <v>4458.0696797280325</v>
      </c>
      <c r="IE115" s="203"/>
      <c r="IF115" s="204"/>
      <c r="IG115" s="208">
        <f>SUM(IE115:IF115)</f>
        <v>0</v>
      </c>
      <c r="IH115" s="203"/>
      <c r="II115" s="205"/>
      <c r="IJ115" s="205">
        <v>150000</v>
      </c>
      <c r="IK115" s="205"/>
      <c r="IL115" s="204"/>
      <c r="IM115" s="208">
        <f>SUM(IH115:IL115)</f>
        <v>150000</v>
      </c>
      <c r="IN115" s="203"/>
      <c r="IO115" s="205"/>
      <c r="IP115" s="204"/>
      <c r="IQ115" s="208">
        <f>SUM(IN115:IP115)</f>
        <v>0</v>
      </c>
      <c r="IR115" s="203"/>
      <c r="IS115" s="205"/>
      <c r="IT115" s="205"/>
      <c r="IU115" s="205"/>
      <c r="IV115" s="204"/>
      <c r="IW115" s="208">
        <f>SUM(IR115:IV115)</f>
        <v>0</v>
      </c>
      <c r="IX115" s="203"/>
      <c r="IY115" s="205"/>
      <c r="IZ115" s="205"/>
      <c r="JA115" s="205">
        <v>145000</v>
      </c>
      <c r="JB115" s="204"/>
      <c r="JC115" s="208">
        <f>SUM(IX115:JB115)</f>
        <v>145000</v>
      </c>
      <c r="JD115" s="208">
        <f t="shared" si="339"/>
        <v>295000</v>
      </c>
      <c r="JE115" s="203"/>
      <c r="JF115" s="205"/>
      <c r="JG115" s="205">
        <v>100000</v>
      </c>
      <c r="JH115" s="205"/>
      <c r="JI115" s="204"/>
      <c r="JJ115" s="208">
        <f>SUM(JE115:JI115)</f>
        <v>100000</v>
      </c>
      <c r="JK115" s="203"/>
      <c r="JL115" s="205"/>
      <c r="JM115" s="205"/>
      <c r="JN115" s="205"/>
      <c r="JO115" s="204"/>
      <c r="JP115" s="208">
        <f>SUM(JK115:JO115)</f>
        <v>0</v>
      </c>
      <c r="JQ115" s="203"/>
      <c r="JR115" s="205"/>
      <c r="JS115" s="205"/>
      <c r="JT115" s="205"/>
      <c r="JU115" s="204"/>
      <c r="JV115" s="208">
        <f>SUM(JQ115:JU115)</f>
        <v>0</v>
      </c>
      <c r="JW115" s="203"/>
      <c r="JX115" s="205"/>
      <c r="JY115" s="205"/>
      <c r="JZ115" s="205"/>
      <c r="KA115" s="205"/>
      <c r="KB115" s="204"/>
      <c r="KC115" s="208">
        <f>SUM(JW115:KB115)</f>
        <v>0</v>
      </c>
      <c r="KD115" s="208">
        <v>0</v>
      </c>
      <c r="KE115" s="203"/>
      <c r="KF115" s="205"/>
      <c r="KG115" s="205"/>
      <c r="KH115" s="205"/>
      <c r="KI115" s="204"/>
      <c r="KJ115" s="208">
        <f>SUM(KE115:KI115)</f>
        <v>0</v>
      </c>
      <c r="KK115" s="203"/>
      <c r="KL115" s="205"/>
      <c r="KM115" s="205"/>
      <c r="KN115" s="205"/>
      <c r="KO115" s="204"/>
      <c r="KP115" s="208">
        <f>SUM(KK115:KO115)</f>
        <v>0</v>
      </c>
      <c r="KQ115" s="202"/>
      <c r="KR115" s="244"/>
      <c r="KS115" s="244"/>
      <c r="KT115" s="244"/>
      <c r="KU115" s="245"/>
      <c r="KV115" s="208">
        <f>SUM(KQ115:KU115)</f>
        <v>0</v>
      </c>
      <c r="KW115" s="202"/>
      <c r="KX115" s="244"/>
      <c r="KY115" s="244"/>
      <c r="KZ115" s="244"/>
      <c r="LA115" s="245"/>
      <c r="LB115" s="208">
        <f>SUM(KW115:LA115)</f>
        <v>0</v>
      </c>
      <c r="LC115" s="202"/>
      <c r="LD115" s="244"/>
      <c r="LE115" s="245"/>
      <c r="LF115" s="208">
        <f>SUM(LC115:LE115)</f>
        <v>0</v>
      </c>
      <c r="LG115" s="208">
        <f>-LG129/1.14</f>
        <v>-238596.4912280702</v>
      </c>
    </row>
    <row r="116" spans="2:321" s="91" customFormat="1">
      <c r="B116" s="167" t="s">
        <v>115</v>
      </c>
      <c r="C116" s="167"/>
      <c r="D116" s="202">
        <f>SUM(C116:C116)</f>
        <v>0</v>
      </c>
      <c r="E116" s="167"/>
      <c r="F116" s="177"/>
      <c r="G116" s="177"/>
      <c r="H116" s="177"/>
      <c r="I116" s="178"/>
      <c r="J116" s="202">
        <f>SUM(E116:I116)</f>
        <v>0</v>
      </c>
      <c r="K116" s="167"/>
      <c r="L116" s="177"/>
      <c r="M116" s="177">
        <v>5.43</v>
      </c>
      <c r="N116" s="178"/>
      <c r="O116" s="202">
        <f>SUM(K116:N116)</f>
        <v>5.43</v>
      </c>
      <c r="P116" s="167"/>
      <c r="Q116" s="177"/>
      <c r="R116" s="177"/>
      <c r="S116" s="177"/>
      <c r="T116" s="178"/>
      <c r="U116" s="202">
        <f>SUM(P116:T116)</f>
        <v>0</v>
      </c>
      <c r="V116" s="167"/>
      <c r="W116" s="177"/>
      <c r="X116" s="177"/>
      <c r="Y116" s="177"/>
      <c r="Z116" s="178"/>
      <c r="AA116" s="202">
        <f>SUM(V116:Z116)</f>
        <v>0</v>
      </c>
      <c r="AB116" s="208">
        <f>AA116+U116+O116+J116+D116</f>
        <v>5.43</v>
      </c>
      <c r="AC116" s="203"/>
      <c r="AD116" s="205"/>
      <c r="AE116" s="205"/>
      <c r="AF116" s="205">
        <v>12</v>
      </c>
      <c r="AG116" s="204"/>
      <c r="AH116" s="208">
        <f>SUM(AC116:AG116)</f>
        <v>12</v>
      </c>
      <c r="AI116" s="203"/>
      <c r="AJ116" s="205">
        <v>13</v>
      </c>
      <c r="AK116" s="205"/>
      <c r="AL116" s="205"/>
      <c r="AM116" s="204"/>
      <c r="AN116" s="208">
        <f>SUM(AI116:AM116)</f>
        <v>13</v>
      </c>
      <c r="AO116" s="203"/>
      <c r="AP116" s="205"/>
      <c r="AQ116" s="205">
        <v>25</v>
      </c>
      <c r="AR116" s="205"/>
      <c r="AS116" s="204">
        <v>12</v>
      </c>
      <c r="AT116" s="208">
        <f>SUM(AO116:AS116)</f>
        <v>37</v>
      </c>
      <c r="AU116" s="203">
        <v>25</v>
      </c>
      <c r="AV116" s="205"/>
      <c r="AW116" s="205">
        <v>12</v>
      </c>
      <c r="AX116" s="205"/>
      <c r="AY116" s="204">
        <v>12</v>
      </c>
      <c r="AZ116" s="208">
        <f>SUM(AU116:AY116)</f>
        <v>49</v>
      </c>
      <c r="BA116" s="208">
        <f>AZ116+AT116+AN116+AH116</f>
        <v>111</v>
      </c>
      <c r="BB116" s="203"/>
      <c r="BC116" s="205"/>
      <c r="BD116" s="205">
        <v>12</v>
      </c>
      <c r="BE116" s="205"/>
      <c r="BF116" s="204">
        <v>13</v>
      </c>
      <c r="BG116" s="208">
        <f>SUM(BB116:BF116)</f>
        <v>25</v>
      </c>
      <c r="BH116" s="203"/>
      <c r="BI116" s="205"/>
      <c r="BJ116" s="205"/>
      <c r="BK116" s="205"/>
      <c r="BL116" s="204"/>
      <c r="BM116" s="208">
        <f>SUM(BH116:BL116)</f>
        <v>0</v>
      </c>
      <c r="BN116" s="203"/>
      <c r="BO116" s="205"/>
      <c r="BP116" s="205"/>
      <c r="BQ116" s="204"/>
      <c r="BR116" s="208">
        <f>SUM(BN116:BQ116)</f>
        <v>0</v>
      </c>
      <c r="BS116" s="203"/>
      <c r="BT116" s="205"/>
      <c r="BU116" s="205"/>
      <c r="BV116" s="205"/>
      <c r="BW116" s="204"/>
      <c r="BX116" s="208">
        <f>SUM(BS116:BW116)</f>
        <v>0</v>
      </c>
      <c r="BY116" s="203"/>
      <c r="BZ116" s="205"/>
      <c r="CA116" s="208">
        <f>SUM(BY116:BZ116)</f>
        <v>0</v>
      </c>
      <c r="CB116" s="208">
        <f>CA116+BX116+BR116+BM116+BG116</f>
        <v>25</v>
      </c>
      <c r="CC116" s="203"/>
      <c r="CD116" s="205">
        <v>5.68</v>
      </c>
      <c r="CE116" s="205">
        <f>13+13</f>
        <v>26</v>
      </c>
      <c r="CF116" s="208">
        <f>SUM(CC116:CE116)</f>
        <v>31.68</v>
      </c>
      <c r="CG116" s="203"/>
      <c r="CH116" s="205"/>
      <c r="CI116" s="205"/>
      <c r="CJ116" s="204"/>
      <c r="CK116" s="208">
        <f>SUM(CG116:CJ116)</f>
        <v>0</v>
      </c>
      <c r="CL116" s="203"/>
      <c r="CM116" s="205"/>
      <c r="CN116" s="205">
        <f>13+13</f>
        <v>26</v>
      </c>
      <c r="CO116" s="205"/>
      <c r="CP116" s="204"/>
      <c r="CQ116" s="208">
        <f>SUM(CL116:CP116)</f>
        <v>26</v>
      </c>
      <c r="CR116" s="203"/>
      <c r="CS116" s="205"/>
      <c r="CT116" s="205"/>
      <c r="CU116" s="205"/>
      <c r="CV116" s="204"/>
      <c r="CW116" s="208">
        <f>SUM(CR116:CV116)</f>
        <v>0</v>
      </c>
      <c r="CX116" s="202"/>
      <c r="CY116" s="244"/>
      <c r="CZ116" s="244"/>
      <c r="DA116" s="245"/>
      <c r="DB116" s="208">
        <f>SUM(CX116:DA116)</f>
        <v>0</v>
      </c>
      <c r="DC116" s="208">
        <f>DB116+CW116+CQ116+CK116+CF116</f>
        <v>57.68</v>
      </c>
      <c r="DD116" s="203"/>
      <c r="DE116" s="205"/>
      <c r="DF116" s="205">
        <v>13</v>
      </c>
      <c r="DG116" s="205"/>
      <c r="DH116" s="205"/>
      <c r="DI116" s="208">
        <f>SUM(DD116:DH116)</f>
        <v>13</v>
      </c>
      <c r="DJ116" s="203"/>
      <c r="DK116" s="205"/>
      <c r="DL116" s="205"/>
      <c r="DM116" s="205"/>
      <c r="DN116" s="204"/>
      <c r="DO116" s="208">
        <f>SUM(DJ116:DN116)</f>
        <v>0</v>
      </c>
      <c r="DP116" s="203"/>
      <c r="DQ116" s="205"/>
      <c r="DR116" s="205"/>
      <c r="DS116" s="205"/>
      <c r="DT116" s="204">
        <v>13</v>
      </c>
      <c r="DU116" s="208">
        <f>SUM(DP116:DT116)</f>
        <v>13</v>
      </c>
      <c r="DV116" s="203"/>
      <c r="DW116" s="205"/>
      <c r="DX116" s="205"/>
      <c r="DY116" s="205"/>
      <c r="DZ116" s="204"/>
      <c r="EA116" s="208">
        <f>SUM(DV116:DZ116)</f>
        <v>0</v>
      </c>
      <c r="EB116" s="208">
        <f>EA116+DU116+DO116+DI116</f>
        <v>26</v>
      </c>
      <c r="EC116" s="203"/>
      <c r="ED116" s="205"/>
      <c r="EE116" s="205"/>
      <c r="EF116" s="205"/>
      <c r="EG116" s="204">
        <v>12</v>
      </c>
      <c r="EH116" s="208">
        <f>SUM(EC116:EG116)</f>
        <v>12</v>
      </c>
      <c r="EI116" s="203"/>
      <c r="EJ116" s="205"/>
      <c r="EK116" s="205"/>
      <c r="EL116" s="205"/>
      <c r="EM116" s="204"/>
      <c r="EN116" s="208">
        <f>SUM(EI116:EM116)</f>
        <v>0</v>
      </c>
      <c r="EO116" s="202"/>
      <c r="EP116" s="244"/>
      <c r="EQ116" s="244"/>
      <c r="ER116" s="244"/>
      <c r="ES116" s="245"/>
      <c r="ET116" s="208">
        <f>SUM(EO116:ES116)</f>
        <v>0</v>
      </c>
      <c r="EU116" s="203"/>
      <c r="EV116" s="205"/>
      <c r="EW116" s="205"/>
      <c r="EX116" s="205"/>
      <c r="EY116" s="205"/>
      <c r="EZ116" s="205"/>
      <c r="FA116" s="204"/>
      <c r="FB116" s="208">
        <f>SUM(EU116:FA116)</f>
        <v>0</v>
      </c>
      <c r="FC116" s="208">
        <f>FB116+ET116+EN116+EH116</f>
        <v>12</v>
      </c>
      <c r="FD116" s="203"/>
      <c r="FE116" s="205"/>
      <c r="FF116" s="204">
        <v>5.57</v>
      </c>
      <c r="FG116" s="208">
        <f>SUM(FD116:FF116)</f>
        <v>5.57</v>
      </c>
      <c r="FH116" s="203"/>
      <c r="FI116" s="205"/>
      <c r="FJ116" s="205"/>
      <c r="FK116" s="205"/>
      <c r="FL116" s="204"/>
      <c r="FM116" s="208">
        <f>SUM(FH116:FL116)</f>
        <v>0</v>
      </c>
      <c r="FN116" s="203"/>
      <c r="FO116" s="205"/>
      <c r="FP116" s="205"/>
      <c r="FQ116" s="205"/>
      <c r="FR116" s="208">
        <f>SUM(FN116:FQ116)</f>
        <v>0</v>
      </c>
      <c r="FS116" s="203"/>
      <c r="FT116" s="205"/>
      <c r="FU116" s="205"/>
      <c r="FV116" s="205">
        <v>10</v>
      </c>
      <c r="FW116" s="204"/>
      <c r="FX116" s="208">
        <f>SUM(FS116:FW116)</f>
        <v>10</v>
      </c>
      <c r="FY116" s="203"/>
      <c r="FZ116" s="205"/>
      <c r="GA116" s="205">
        <v>20</v>
      </c>
      <c r="GB116" s="205"/>
      <c r="GC116" s="204"/>
      <c r="GD116" s="208">
        <f>SUM(FY116:GC116)</f>
        <v>20</v>
      </c>
      <c r="GE116" s="208">
        <f>FG116+FM116+FR116+FX116+GD116</f>
        <v>35.57</v>
      </c>
      <c r="GF116" s="203"/>
      <c r="GG116" s="205"/>
      <c r="GH116" s="205"/>
      <c r="GI116" s="205"/>
      <c r="GJ116" s="205"/>
      <c r="GK116" s="208">
        <f>SUM(GF116:GJ116)</f>
        <v>0</v>
      </c>
      <c r="GL116" s="203"/>
      <c r="GM116" s="205"/>
      <c r="GN116" s="205"/>
      <c r="GO116" s="204"/>
      <c r="GP116" s="208">
        <f>SUM(GL116:GO116)</f>
        <v>0</v>
      </c>
      <c r="GQ116" s="203"/>
      <c r="GR116" s="205"/>
      <c r="GS116" s="205"/>
      <c r="GT116" s="205"/>
      <c r="GU116" s="204"/>
      <c r="GV116" s="208">
        <f>SUM(GQ116:GU116)</f>
        <v>0</v>
      </c>
      <c r="GW116" s="203"/>
      <c r="GX116" s="205"/>
      <c r="GY116" s="205"/>
      <c r="GZ116" s="205"/>
      <c r="HA116" s="205"/>
      <c r="HB116" s="204"/>
      <c r="HC116" s="208">
        <f>SUM(GW116:HB116)</f>
        <v>0</v>
      </c>
      <c r="HD116" s="208">
        <f>GK116+GP116+GV116+HC116</f>
        <v>0</v>
      </c>
      <c r="HE116" s="203"/>
      <c r="HF116" s="205"/>
      <c r="HG116" s="205"/>
      <c r="HH116" s="205"/>
      <c r="HI116" s="208">
        <f>SUM(HE116:HH116)</f>
        <v>0</v>
      </c>
      <c r="HJ116" s="203"/>
      <c r="HK116" s="205"/>
      <c r="HL116" s="205"/>
      <c r="HM116" s="205">
        <v>25</v>
      </c>
      <c r="HN116" s="204"/>
      <c r="HO116" s="208">
        <f>SUM(HJ116:HN116)</f>
        <v>25</v>
      </c>
      <c r="HP116" s="203"/>
      <c r="HQ116" s="205"/>
      <c r="HR116" s="205"/>
      <c r="HS116" s="205"/>
      <c r="HT116" s="204"/>
      <c r="HU116" s="208">
        <f>SUM(HP116:HT116)</f>
        <v>0</v>
      </c>
      <c r="HV116" s="202"/>
      <c r="HW116" s="244"/>
      <c r="HX116" s="244"/>
      <c r="HY116" s="208">
        <f>SUM(HV116:HX116)</f>
        <v>0</v>
      </c>
      <c r="HZ116" s="203"/>
      <c r="IA116" s="205"/>
      <c r="IB116" s="204">
        <f>12+12</f>
        <v>24</v>
      </c>
      <c r="IC116" s="208">
        <f>SUM(HZ116:IB116)</f>
        <v>24</v>
      </c>
      <c r="ID116" s="208">
        <f>HI116+HO116+HU116+HY116+IC116</f>
        <v>49</v>
      </c>
      <c r="IE116" s="203"/>
      <c r="IF116" s="204">
        <v>5.47</v>
      </c>
      <c r="IG116" s="208">
        <f>SUM(IE116:IF116)</f>
        <v>5.47</v>
      </c>
      <c r="IH116" s="203"/>
      <c r="II116" s="205"/>
      <c r="IJ116" s="205">
        <v>25</v>
      </c>
      <c r="IK116" s="205"/>
      <c r="IL116" s="204"/>
      <c r="IM116" s="208">
        <f>SUM(IH116:IL116)</f>
        <v>25</v>
      </c>
      <c r="IN116" s="203"/>
      <c r="IO116" s="205"/>
      <c r="IP116" s="204"/>
      <c r="IQ116" s="208">
        <f>SUM(IN116:IP116)</f>
        <v>0</v>
      </c>
      <c r="IR116" s="203"/>
      <c r="IS116" s="205"/>
      <c r="IT116" s="205"/>
      <c r="IU116" s="205"/>
      <c r="IV116" s="204"/>
      <c r="IW116" s="208">
        <f>SUM(IR116:IV116)</f>
        <v>0</v>
      </c>
      <c r="IX116" s="203"/>
      <c r="IY116" s="205">
        <v>11</v>
      </c>
      <c r="IZ116" s="205"/>
      <c r="JA116" s="205">
        <v>11</v>
      </c>
      <c r="JB116" s="204"/>
      <c r="JC116" s="208">
        <f>SUM(IX116:JB116)</f>
        <v>22</v>
      </c>
      <c r="JD116" s="208">
        <f t="shared" si="339"/>
        <v>52.47</v>
      </c>
      <c r="JE116" s="203"/>
      <c r="JF116" s="205"/>
      <c r="JG116" s="205">
        <v>11</v>
      </c>
      <c r="JH116" s="205"/>
      <c r="JI116" s="204"/>
      <c r="JJ116" s="208">
        <f>SUM(JE116:JI116)</f>
        <v>11</v>
      </c>
      <c r="JK116" s="203"/>
      <c r="JL116" s="205"/>
      <c r="JM116" s="205"/>
      <c r="JN116" s="205"/>
      <c r="JO116" s="204"/>
      <c r="JP116" s="208">
        <f>SUM(JK116:JO116)</f>
        <v>0</v>
      </c>
      <c r="JQ116" s="203"/>
      <c r="JR116" s="205"/>
      <c r="JS116" s="205"/>
      <c r="JT116" s="205"/>
      <c r="JU116" s="204"/>
      <c r="JV116" s="208">
        <f>SUM(JQ116:JU116)</f>
        <v>0</v>
      </c>
      <c r="JW116" s="203"/>
      <c r="JX116" s="205"/>
      <c r="JY116" s="205"/>
      <c r="JZ116" s="205"/>
      <c r="KA116" s="205"/>
      <c r="KB116" s="204"/>
      <c r="KC116" s="208">
        <f>SUM(JW116:KB116)</f>
        <v>0</v>
      </c>
      <c r="KD116" s="208">
        <f>JJ116+JP116+JV116+KC116</f>
        <v>11</v>
      </c>
      <c r="KE116" s="203"/>
      <c r="KF116" s="205"/>
      <c r="KG116" s="205"/>
      <c r="KH116" s="205"/>
      <c r="KI116" s="204"/>
      <c r="KJ116" s="208">
        <f>SUM(KE116:KI116)</f>
        <v>0</v>
      </c>
      <c r="KK116" s="203"/>
      <c r="KL116" s="205"/>
      <c r="KM116" s="205"/>
      <c r="KN116" s="205"/>
      <c r="KO116" s="204"/>
      <c r="KP116" s="208">
        <f>SUM(KK116:KO116)</f>
        <v>0</v>
      </c>
      <c r="KQ116" s="202"/>
      <c r="KR116" s="244"/>
      <c r="KS116" s="244"/>
      <c r="KT116" s="244"/>
      <c r="KU116" s="245"/>
      <c r="KV116" s="208">
        <f>SUM(KQ116:KU116)</f>
        <v>0</v>
      </c>
      <c r="KW116" s="202"/>
      <c r="KX116" s="244"/>
      <c r="KY116" s="244"/>
      <c r="KZ116" s="244"/>
      <c r="LA116" s="245"/>
      <c r="LB116" s="208">
        <f>SUM(KW116:LA116)</f>
        <v>0</v>
      </c>
      <c r="LC116" s="202"/>
      <c r="LD116" s="244"/>
      <c r="LE116" s="245"/>
      <c r="LF116" s="208">
        <f>SUM(LC116:LE116)</f>
        <v>0</v>
      </c>
      <c r="LG116" s="208">
        <f>LF116+LB116+KV116+KP116+KJ116</f>
        <v>0</v>
      </c>
    </row>
    <row r="117" spans="2:321" s="91" customFormat="1">
      <c r="B117" s="167"/>
      <c r="C117" s="167"/>
      <c r="D117" s="181"/>
      <c r="E117" s="167"/>
      <c r="F117" s="177"/>
      <c r="G117" s="177"/>
      <c r="H117" s="177"/>
      <c r="I117" s="178"/>
      <c r="J117" s="181"/>
      <c r="K117" s="167"/>
      <c r="L117" s="177"/>
      <c r="M117" s="177"/>
      <c r="N117" s="178"/>
      <c r="O117" s="181"/>
      <c r="P117" s="167"/>
      <c r="Q117" s="177"/>
      <c r="R117" s="177"/>
      <c r="S117" s="177"/>
      <c r="T117" s="178"/>
      <c r="U117" s="202"/>
      <c r="V117" s="167"/>
      <c r="W117" s="177"/>
      <c r="X117" s="177"/>
      <c r="Y117" s="177"/>
      <c r="Z117" s="178"/>
      <c r="AA117" s="181"/>
      <c r="AB117" s="146"/>
      <c r="AC117" s="242"/>
      <c r="AD117" s="224"/>
      <c r="AE117" s="224"/>
      <c r="AF117" s="224"/>
      <c r="AG117" s="243"/>
      <c r="AH117" s="208"/>
      <c r="AI117" s="202"/>
      <c r="AJ117" s="244"/>
      <c r="AK117" s="244"/>
      <c r="AL117" s="244"/>
      <c r="AM117" s="245"/>
      <c r="AN117" s="146"/>
      <c r="AO117" s="242"/>
      <c r="AP117" s="224"/>
      <c r="AQ117" s="224"/>
      <c r="AR117" s="224"/>
      <c r="AS117" s="243"/>
      <c r="AT117" s="146"/>
      <c r="AU117" s="167"/>
      <c r="AV117" s="177"/>
      <c r="AW117" s="177"/>
      <c r="AX117" s="177"/>
      <c r="AY117" s="178"/>
      <c r="AZ117" s="146"/>
      <c r="BA117" s="168"/>
      <c r="BB117" s="181"/>
      <c r="BC117" s="238"/>
      <c r="BD117" s="238"/>
      <c r="BE117" s="238"/>
      <c r="BF117" s="239"/>
      <c r="BG117" s="168"/>
      <c r="BH117" s="181"/>
      <c r="BI117" s="238"/>
      <c r="BJ117" s="238"/>
      <c r="BK117" s="238"/>
      <c r="BL117" s="239"/>
      <c r="BM117" s="168"/>
      <c r="BN117" s="181"/>
      <c r="BO117" s="238"/>
      <c r="BP117" s="238"/>
      <c r="BQ117" s="239"/>
      <c r="BR117" s="208"/>
      <c r="BS117" s="202"/>
      <c r="BT117" s="244"/>
      <c r="BU117" s="244"/>
      <c r="BV117" s="244"/>
      <c r="BW117" s="245"/>
      <c r="BX117" s="168"/>
      <c r="BY117" s="202"/>
      <c r="BZ117" s="244"/>
      <c r="CA117" s="168"/>
      <c r="CB117" s="168"/>
      <c r="CC117" s="181"/>
      <c r="CD117" s="238"/>
      <c r="CE117" s="238"/>
      <c r="CF117" s="168"/>
      <c r="CG117" s="242"/>
      <c r="CH117" s="224"/>
      <c r="CI117" s="224"/>
      <c r="CJ117" s="243"/>
      <c r="CK117" s="168"/>
      <c r="CL117" s="242"/>
      <c r="CM117" s="224"/>
      <c r="CN117" s="224"/>
      <c r="CO117" s="224"/>
      <c r="CP117" s="243"/>
      <c r="CQ117" s="168"/>
      <c r="CR117" s="242"/>
      <c r="CS117" s="224"/>
      <c r="CT117" s="224"/>
      <c r="CU117" s="224"/>
      <c r="CV117" s="243"/>
      <c r="CW117" s="168"/>
      <c r="CX117" s="181"/>
      <c r="CY117" s="238"/>
      <c r="CZ117" s="238"/>
      <c r="DA117" s="239"/>
      <c r="DB117" s="168"/>
      <c r="DC117" s="168"/>
      <c r="DD117" s="242"/>
      <c r="DE117" s="224"/>
      <c r="DF117" s="224"/>
      <c r="DG117" s="224"/>
      <c r="DH117" s="224"/>
      <c r="DI117" s="168"/>
      <c r="DJ117" s="242"/>
      <c r="DK117" s="224"/>
      <c r="DL117" s="224"/>
      <c r="DM117" s="224"/>
      <c r="DN117" s="243"/>
      <c r="DO117" s="168"/>
      <c r="DP117" s="242"/>
      <c r="DQ117" s="224"/>
      <c r="DR117" s="224"/>
      <c r="DS117" s="224"/>
      <c r="DT117" s="243"/>
      <c r="DU117" s="168"/>
      <c r="DV117" s="242"/>
      <c r="DW117" s="224"/>
      <c r="DX117" s="224"/>
      <c r="DY117" s="224"/>
      <c r="DZ117" s="243"/>
      <c r="EA117" s="168"/>
      <c r="EB117" s="168"/>
      <c r="EC117" s="242"/>
      <c r="ED117" s="224"/>
      <c r="EE117" s="224"/>
      <c r="EF117" s="224"/>
      <c r="EG117" s="243"/>
      <c r="EH117" s="168"/>
      <c r="EI117" s="242"/>
      <c r="EJ117" s="224"/>
      <c r="EK117" s="224"/>
      <c r="EL117" s="224"/>
      <c r="EM117" s="243"/>
      <c r="EN117" s="168"/>
      <c r="EO117" s="181"/>
      <c r="EP117" s="238"/>
      <c r="EQ117" s="238"/>
      <c r="ER117" s="238"/>
      <c r="ES117" s="239"/>
      <c r="ET117" s="168"/>
      <c r="EU117" s="181"/>
      <c r="EV117" s="238"/>
      <c r="EW117" s="238"/>
      <c r="EX117" s="238"/>
      <c r="EY117" s="238"/>
      <c r="EZ117" s="238"/>
      <c r="FA117" s="239"/>
      <c r="FB117" s="168"/>
      <c r="FC117" s="168"/>
      <c r="FD117" s="242"/>
      <c r="FE117" s="224"/>
      <c r="FF117" s="243"/>
      <c r="FG117" s="168"/>
      <c r="FH117" s="181"/>
      <c r="FI117" s="238"/>
      <c r="FJ117" s="238"/>
      <c r="FK117" s="238"/>
      <c r="FL117" s="239"/>
      <c r="FM117" s="168"/>
      <c r="FN117" s="181"/>
      <c r="FO117" s="238"/>
      <c r="FP117" s="238"/>
      <c r="FQ117" s="238"/>
      <c r="FR117" s="168"/>
      <c r="FS117" s="181"/>
      <c r="FT117" s="238"/>
      <c r="FU117" s="238"/>
      <c r="FV117" s="238"/>
      <c r="FW117" s="239"/>
      <c r="FX117" s="168"/>
      <c r="FY117" s="181"/>
      <c r="FZ117" s="238"/>
      <c r="GA117" s="238"/>
      <c r="GB117" s="238"/>
      <c r="GC117" s="239"/>
      <c r="GD117" s="168"/>
      <c r="GE117" s="208"/>
      <c r="GF117" s="202"/>
      <c r="GG117" s="244"/>
      <c r="GH117" s="244"/>
      <c r="GI117" s="244"/>
      <c r="GJ117" s="244"/>
      <c r="GK117" s="208"/>
      <c r="GL117" s="202"/>
      <c r="GM117" s="244"/>
      <c r="GN117" s="244"/>
      <c r="GO117" s="245"/>
      <c r="GP117" s="208"/>
      <c r="GQ117" s="202"/>
      <c r="GR117" s="244"/>
      <c r="GS117" s="244"/>
      <c r="GT117" s="244"/>
      <c r="GU117" s="245"/>
      <c r="GV117" s="208"/>
      <c r="GW117" s="202"/>
      <c r="GX117" s="244"/>
      <c r="GY117" s="244"/>
      <c r="GZ117" s="244"/>
      <c r="HA117" s="244"/>
      <c r="HB117" s="245"/>
      <c r="HC117" s="208"/>
      <c r="HD117" s="168"/>
      <c r="HE117" s="181"/>
      <c r="HF117" s="238"/>
      <c r="HG117" s="238"/>
      <c r="HH117" s="238"/>
      <c r="HI117" s="168"/>
      <c r="HJ117" s="181"/>
      <c r="HK117" s="238"/>
      <c r="HL117" s="238"/>
      <c r="HM117" s="238"/>
      <c r="HN117" s="239"/>
      <c r="HO117" s="168"/>
      <c r="HP117" s="181"/>
      <c r="HQ117" s="238"/>
      <c r="HR117" s="238"/>
      <c r="HS117" s="238"/>
      <c r="HT117" s="239"/>
      <c r="HU117" s="168"/>
      <c r="HV117" s="181"/>
      <c r="HW117" s="238"/>
      <c r="HX117" s="238"/>
      <c r="HY117" s="168"/>
      <c r="HZ117" s="181"/>
      <c r="IA117" s="238"/>
      <c r="IB117" s="239"/>
      <c r="IC117" s="168"/>
      <c r="ID117" s="168"/>
      <c r="IE117" s="242"/>
      <c r="IF117" s="243"/>
      <c r="IG117" s="168"/>
      <c r="IH117" s="242"/>
      <c r="II117" s="224"/>
      <c r="IJ117" s="224"/>
      <c r="IK117" s="224"/>
      <c r="IL117" s="243"/>
      <c r="IM117" s="168"/>
      <c r="IN117" s="181"/>
      <c r="IO117" s="238"/>
      <c r="IP117" s="239"/>
      <c r="IQ117" s="168"/>
      <c r="IR117" s="181"/>
      <c r="IS117" s="238"/>
      <c r="IT117" s="238"/>
      <c r="IU117" s="238"/>
      <c r="IV117" s="239"/>
      <c r="IW117" s="168"/>
      <c r="IX117" s="242"/>
      <c r="IY117" s="224"/>
      <c r="IZ117" s="224"/>
      <c r="JA117" s="224"/>
      <c r="JB117" s="243"/>
      <c r="JC117" s="168"/>
      <c r="JD117" s="168"/>
      <c r="JE117" s="242"/>
      <c r="JF117" s="224"/>
      <c r="JG117" s="224"/>
      <c r="JH117" s="224"/>
      <c r="JI117" s="243"/>
      <c r="JJ117" s="168"/>
      <c r="JK117" s="242"/>
      <c r="JL117" s="224"/>
      <c r="JM117" s="224"/>
      <c r="JN117" s="224"/>
      <c r="JO117" s="243"/>
      <c r="JP117" s="168"/>
      <c r="JQ117" s="181"/>
      <c r="JR117" s="238"/>
      <c r="JS117" s="238"/>
      <c r="JT117" s="238"/>
      <c r="JU117" s="239"/>
      <c r="JV117" s="168"/>
      <c r="JW117" s="181"/>
      <c r="JX117" s="238"/>
      <c r="JY117" s="238"/>
      <c r="JZ117" s="238"/>
      <c r="KA117" s="238"/>
      <c r="KB117" s="239"/>
      <c r="KC117" s="168"/>
      <c r="KD117" s="168"/>
      <c r="KE117" s="242"/>
      <c r="KF117" s="224"/>
      <c r="KG117" s="224"/>
      <c r="KH117" s="224"/>
      <c r="KI117" s="243"/>
      <c r="KJ117" s="168"/>
      <c r="KK117" s="181"/>
      <c r="KL117" s="238"/>
      <c r="KM117" s="238"/>
      <c r="KN117" s="238"/>
      <c r="KO117" s="239"/>
      <c r="KP117" s="168"/>
      <c r="KQ117" s="181"/>
      <c r="KR117" s="238"/>
      <c r="KS117" s="238"/>
      <c r="KT117" s="238"/>
      <c r="KU117" s="239"/>
      <c r="KV117" s="168"/>
      <c r="KW117" s="181"/>
      <c r="KX117" s="238"/>
      <c r="KY117" s="238"/>
      <c r="KZ117" s="238"/>
      <c r="LA117" s="239"/>
      <c r="LB117" s="168"/>
      <c r="LC117" s="181"/>
      <c r="LD117" s="238"/>
      <c r="LE117" s="239"/>
      <c r="LF117" s="168"/>
      <c r="LG117" s="168"/>
    </row>
    <row r="118" spans="2:321" s="91" customFormat="1">
      <c r="B118" s="172" t="s">
        <v>90</v>
      </c>
      <c r="C118" s="172">
        <f>SUM(C119)</f>
        <v>0</v>
      </c>
      <c r="D118" s="172">
        <f t="shared" ref="D118:Z118" si="340">SUM(D119)</f>
        <v>0</v>
      </c>
      <c r="E118" s="172">
        <f t="shared" si="340"/>
        <v>0</v>
      </c>
      <c r="F118" s="172">
        <f t="shared" si="340"/>
        <v>0</v>
      </c>
      <c r="G118" s="172">
        <f t="shared" si="340"/>
        <v>0</v>
      </c>
      <c r="H118" s="172">
        <f t="shared" si="340"/>
        <v>0</v>
      </c>
      <c r="I118" s="172">
        <f t="shared" si="340"/>
        <v>0</v>
      </c>
      <c r="J118" s="172">
        <f t="shared" si="340"/>
        <v>0</v>
      </c>
      <c r="K118" s="172">
        <f t="shared" si="340"/>
        <v>0</v>
      </c>
      <c r="L118" s="172"/>
      <c r="M118" s="172">
        <f t="shared" si="340"/>
        <v>0</v>
      </c>
      <c r="N118" s="172">
        <f t="shared" si="340"/>
        <v>0</v>
      </c>
      <c r="O118" s="172">
        <f>SUM(O119)</f>
        <v>0</v>
      </c>
      <c r="P118" s="172">
        <f t="shared" si="340"/>
        <v>0</v>
      </c>
      <c r="Q118" s="172">
        <f t="shared" si="340"/>
        <v>0</v>
      </c>
      <c r="R118" s="172">
        <f t="shared" si="340"/>
        <v>0</v>
      </c>
      <c r="S118" s="172">
        <f t="shared" si="340"/>
        <v>0</v>
      </c>
      <c r="T118" s="172">
        <f t="shared" si="340"/>
        <v>0</v>
      </c>
      <c r="U118" s="172">
        <f>SUM(U119)</f>
        <v>0</v>
      </c>
      <c r="V118" s="172">
        <f t="shared" si="340"/>
        <v>658425.63</v>
      </c>
      <c r="W118" s="172">
        <f t="shared" si="340"/>
        <v>0</v>
      </c>
      <c r="X118" s="172">
        <f t="shared" si="340"/>
        <v>12416.48</v>
      </c>
      <c r="Y118" s="172">
        <f t="shared" si="340"/>
        <v>0</v>
      </c>
      <c r="Z118" s="172">
        <f t="shared" si="340"/>
        <v>0</v>
      </c>
      <c r="AA118" s="172">
        <f>SUM(AA119)</f>
        <v>670842.11</v>
      </c>
      <c r="AB118" s="234">
        <f>SUM(AB119:AB119)</f>
        <v>670842.11</v>
      </c>
      <c r="AC118" s="172">
        <f t="shared" ref="AC118:AM118" si="341">SUM(AC119)</f>
        <v>0</v>
      </c>
      <c r="AD118" s="179">
        <f t="shared" si="341"/>
        <v>0</v>
      </c>
      <c r="AE118" s="179">
        <f t="shared" si="341"/>
        <v>0</v>
      </c>
      <c r="AF118" s="179">
        <f t="shared" si="341"/>
        <v>12500</v>
      </c>
      <c r="AG118" s="180">
        <f t="shared" si="341"/>
        <v>0</v>
      </c>
      <c r="AH118" s="198">
        <f t="shared" si="341"/>
        <v>12500</v>
      </c>
      <c r="AI118" s="172">
        <f t="shared" si="341"/>
        <v>0</v>
      </c>
      <c r="AJ118" s="179">
        <f t="shared" si="341"/>
        <v>0</v>
      </c>
      <c r="AK118" s="179">
        <f t="shared" si="341"/>
        <v>0</v>
      </c>
      <c r="AL118" s="179">
        <f t="shared" si="341"/>
        <v>0</v>
      </c>
      <c r="AM118" s="180">
        <f t="shared" si="341"/>
        <v>0</v>
      </c>
      <c r="AN118" s="198">
        <f t="shared" ref="AN118:AZ118" si="342">SUM(AN119)</f>
        <v>0</v>
      </c>
      <c r="AO118" s="172">
        <f t="shared" si="342"/>
        <v>0</v>
      </c>
      <c r="AP118" s="179">
        <f t="shared" si="342"/>
        <v>0</v>
      </c>
      <c r="AQ118" s="179">
        <f t="shared" si="342"/>
        <v>12500</v>
      </c>
      <c r="AR118" s="179">
        <f t="shared" si="342"/>
        <v>0</v>
      </c>
      <c r="AS118" s="180">
        <f t="shared" si="342"/>
        <v>336267</v>
      </c>
      <c r="AT118" s="198">
        <f t="shared" si="342"/>
        <v>348767</v>
      </c>
      <c r="AU118" s="172">
        <f t="shared" si="342"/>
        <v>0</v>
      </c>
      <c r="AV118" s="179">
        <f t="shared" si="342"/>
        <v>0</v>
      </c>
      <c r="AW118" s="179">
        <f t="shared" si="342"/>
        <v>0</v>
      </c>
      <c r="AX118" s="179">
        <f t="shared" si="342"/>
        <v>0</v>
      </c>
      <c r="AY118" s="180">
        <f t="shared" si="342"/>
        <v>12400</v>
      </c>
      <c r="AZ118" s="198">
        <f t="shared" si="342"/>
        <v>12400</v>
      </c>
      <c r="BA118" s="234">
        <f t="shared" ref="BA118:KR118" si="343">SUM(BA119:BA120)</f>
        <v>373667</v>
      </c>
      <c r="BB118" s="172">
        <f t="shared" si="343"/>
        <v>0</v>
      </c>
      <c r="BC118" s="179">
        <f t="shared" si="343"/>
        <v>0</v>
      </c>
      <c r="BD118" s="179">
        <f t="shared" si="343"/>
        <v>31611.78</v>
      </c>
      <c r="BE118" s="179">
        <f t="shared" si="343"/>
        <v>168706</v>
      </c>
      <c r="BF118" s="180">
        <f t="shared" si="343"/>
        <v>167220.25</v>
      </c>
      <c r="BG118" s="198">
        <f t="shared" si="343"/>
        <v>367538.03</v>
      </c>
      <c r="BH118" s="172">
        <f t="shared" si="343"/>
        <v>0</v>
      </c>
      <c r="BI118" s="179">
        <f t="shared" si="343"/>
        <v>0</v>
      </c>
      <c r="BJ118" s="179">
        <f t="shared" si="343"/>
        <v>0</v>
      </c>
      <c r="BK118" s="179">
        <f t="shared" si="343"/>
        <v>0</v>
      </c>
      <c r="BL118" s="180">
        <f t="shared" si="343"/>
        <v>0</v>
      </c>
      <c r="BM118" s="198">
        <f t="shared" si="343"/>
        <v>0</v>
      </c>
      <c r="BN118" s="172">
        <f t="shared" si="343"/>
        <v>0</v>
      </c>
      <c r="BO118" s="179">
        <f t="shared" si="343"/>
        <v>0</v>
      </c>
      <c r="BP118" s="179">
        <f t="shared" si="343"/>
        <v>0</v>
      </c>
      <c r="BQ118" s="180">
        <f t="shared" si="343"/>
        <v>0</v>
      </c>
      <c r="BR118" s="198">
        <f t="shared" si="343"/>
        <v>0</v>
      </c>
      <c r="BS118" s="172">
        <f t="shared" si="343"/>
        <v>0</v>
      </c>
      <c r="BT118" s="179">
        <f t="shared" si="343"/>
        <v>0</v>
      </c>
      <c r="BU118" s="179">
        <f t="shared" si="343"/>
        <v>0</v>
      </c>
      <c r="BV118" s="179">
        <f t="shared" si="343"/>
        <v>0</v>
      </c>
      <c r="BW118" s="180">
        <f t="shared" si="343"/>
        <v>0</v>
      </c>
      <c r="BX118" s="198">
        <f t="shared" si="343"/>
        <v>0</v>
      </c>
      <c r="BY118" s="172">
        <f>SUM(BY119:BY120)</f>
        <v>0</v>
      </c>
      <c r="BZ118" s="179">
        <f>SUM(BZ119:BZ120)</f>
        <v>0</v>
      </c>
      <c r="CA118" s="198">
        <f t="shared" si="343"/>
        <v>0</v>
      </c>
      <c r="CB118" s="234">
        <f t="shared" si="343"/>
        <v>367538.03</v>
      </c>
      <c r="CC118" s="172">
        <f t="shared" si="343"/>
        <v>0</v>
      </c>
      <c r="CD118" s="179">
        <f t="shared" si="343"/>
        <v>0</v>
      </c>
      <c r="CE118" s="179">
        <f t="shared" si="343"/>
        <v>25000</v>
      </c>
      <c r="CF118" s="198">
        <f t="shared" si="343"/>
        <v>25000</v>
      </c>
      <c r="CG118" s="172">
        <f t="shared" si="343"/>
        <v>0</v>
      </c>
      <c r="CH118" s="179">
        <f t="shared" si="343"/>
        <v>0</v>
      </c>
      <c r="CI118" s="179">
        <f t="shared" si="343"/>
        <v>0</v>
      </c>
      <c r="CJ118" s="180">
        <f t="shared" si="343"/>
        <v>0</v>
      </c>
      <c r="CK118" s="198">
        <f t="shared" si="343"/>
        <v>0</v>
      </c>
      <c r="CL118" s="172">
        <f t="shared" si="343"/>
        <v>0</v>
      </c>
      <c r="CM118" s="179">
        <f t="shared" si="343"/>
        <v>0</v>
      </c>
      <c r="CN118" s="179">
        <f t="shared" si="343"/>
        <v>21784.91</v>
      </c>
      <c r="CO118" s="179">
        <f t="shared" si="343"/>
        <v>0</v>
      </c>
      <c r="CP118" s="180">
        <f t="shared" si="343"/>
        <v>0</v>
      </c>
      <c r="CQ118" s="198">
        <f t="shared" si="343"/>
        <v>21784.91</v>
      </c>
      <c r="CR118" s="172">
        <f t="shared" si="343"/>
        <v>0</v>
      </c>
      <c r="CS118" s="179">
        <f t="shared" si="343"/>
        <v>0</v>
      </c>
      <c r="CT118" s="179">
        <f t="shared" si="343"/>
        <v>0</v>
      </c>
      <c r="CU118" s="179">
        <f t="shared" si="343"/>
        <v>0</v>
      </c>
      <c r="CV118" s="180">
        <f t="shared" si="343"/>
        <v>0</v>
      </c>
      <c r="CW118" s="198">
        <f t="shared" si="343"/>
        <v>0</v>
      </c>
      <c r="CX118" s="172">
        <f t="shared" si="343"/>
        <v>0</v>
      </c>
      <c r="CY118" s="179"/>
      <c r="CZ118" s="179">
        <f t="shared" si="343"/>
        <v>0</v>
      </c>
      <c r="DA118" s="180">
        <f t="shared" si="343"/>
        <v>0</v>
      </c>
      <c r="DB118" s="198">
        <f t="shared" si="343"/>
        <v>0</v>
      </c>
      <c r="DC118" s="234">
        <f t="shared" si="343"/>
        <v>46784.91</v>
      </c>
      <c r="DD118" s="172">
        <f t="shared" si="343"/>
        <v>0</v>
      </c>
      <c r="DE118" s="179">
        <f t="shared" si="343"/>
        <v>0</v>
      </c>
      <c r="DF118" s="179">
        <f t="shared" si="343"/>
        <v>12500</v>
      </c>
      <c r="DG118" s="179">
        <f t="shared" si="343"/>
        <v>0</v>
      </c>
      <c r="DH118" s="179">
        <f t="shared" si="343"/>
        <v>0</v>
      </c>
      <c r="DI118" s="198">
        <f t="shared" si="343"/>
        <v>12500</v>
      </c>
      <c r="DJ118" s="172">
        <f t="shared" si="343"/>
        <v>0</v>
      </c>
      <c r="DK118" s="179">
        <f t="shared" si="343"/>
        <v>0</v>
      </c>
      <c r="DL118" s="179">
        <f t="shared" si="343"/>
        <v>0</v>
      </c>
      <c r="DM118" s="179">
        <f t="shared" si="343"/>
        <v>0</v>
      </c>
      <c r="DN118" s="180">
        <f t="shared" si="343"/>
        <v>0</v>
      </c>
      <c r="DO118" s="198">
        <f t="shared" si="343"/>
        <v>0</v>
      </c>
      <c r="DP118" s="172">
        <f t="shared" si="343"/>
        <v>107095.05</v>
      </c>
      <c r="DQ118" s="179">
        <f t="shared" si="343"/>
        <v>0</v>
      </c>
      <c r="DR118" s="179">
        <f t="shared" si="343"/>
        <v>0</v>
      </c>
      <c r="DS118" s="179">
        <f t="shared" si="343"/>
        <v>0</v>
      </c>
      <c r="DT118" s="180">
        <f t="shared" si="343"/>
        <v>11696.48</v>
      </c>
      <c r="DU118" s="198">
        <f t="shared" si="343"/>
        <v>118791.53</v>
      </c>
      <c r="DV118" s="172">
        <f t="shared" si="343"/>
        <v>82361.740000000005</v>
      </c>
      <c r="DW118" s="179">
        <f t="shared" si="343"/>
        <v>0</v>
      </c>
      <c r="DX118" s="179">
        <f t="shared" si="343"/>
        <v>0</v>
      </c>
      <c r="DY118" s="179">
        <f t="shared" si="343"/>
        <v>120141.85</v>
      </c>
      <c r="DZ118" s="180">
        <f t="shared" si="343"/>
        <v>0</v>
      </c>
      <c r="EA118" s="198">
        <f t="shared" si="343"/>
        <v>202503.59000000003</v>
      </c>
      <c r="EB118" s="234">
        <f t="shared" si="343"/>
        <v>333795.12</v>
      </c>
      <c r="EC118" s="172">
        <f t="shared" si="343"/>
        <v>0</v>
      </c>
      <c r="ED118" s="179">
        <f t="shared" si="343"/>
        <v>0</v>
      </c>
      <c r="EE118" s="179">
        <f t="shared" si="343"/>
        <v>0</v>
      </c>
      <c r="EF118" s="179">
        <f t="shared" si="343"/>
        <v>12081.13</v>
      </c>
      <c r="EG118" s="180">
        <f t="shared" si="343"/>
        <v>0</v>
      </c>
      <c r="EH118" s="198">
        <f t="shared" si="343"/>
        <v>12081.13</v>
      </c>
      <c r="EI118" s="172">
        <f t="shared" si="343"/>
        <v>0</v>
      </c>
      <c r="EJ118" s="179">
        <f t="shared" si="343"/>
        <v>0</v>
      </c>
      <c r="EK118" s="179">
        <f t="shared" si="343"/>
        <v>0</v>
      </c>
      <c r="EL118" s="179">
        <f t="shared" si="343"/>
        <v>0</v>
      </c>
      <c r="EM118" s="180">
        <f t="shared" si="343"/>
        <v>0</v>
      </c>
      <c r="EN118" s="198">
        <f t="shared" si="343"/>
        <v>0</v>
      </c>
      <c r="EO118" s="172">
        <f t="shared" si="343"/>
        <v>0</v>
      </c>
      <c r="EP118" s="179">
        <f t="shared" si="343"/>
        <v>0</v>
      </c>
      <c r="EQ118" s="179">
        <f t="shared" si="343"/>
        <v>0</v>
      </c>
      <c r="ER118" s="179">
        <f t="shared" si="343"/>
        <v>0</v>
      </c>
      <c r="ES118" s="180">
        <f t="shared" si="343"/>
        <v>0</v>
      </c>
      <c r="ET118" s="198">
        <f t="shared" si="343"/>
        <v>0</v>
      </c>
      <c r="EU118" s="172">
        <f t="shared" si="343"/>
        <v>0</v>
      </c>
      <c r="EV118" s="179">
        <f t="shared" si="343"/>
        <v>0</v>
      </c>
      <c r="EW118" s="179">
        <f t="shared" si="343"/>
        <v>0</v>
      </c>
      <c r="EX118" s="179">
        <f t="shared" si="343"/>
        <v>0</v>
      </c>
      <c r="EY118" s="179">
        <f t="shared" si="343"/>
        <v>0</v>
      </c>
      <c r="EZ118" s="179">
        <f>SUM(EZ119:EZ120)</f>
        <v>0</v>
      </c>
      <c r="FA118" s="180">
        <f t="shared" si="343"/>
        <v>0</v>
      </c>
      <c r="FB118" s="198">
        <f t="shared" si="343"/>
        <v>0</v>
      </c>
      <c r="FC118" s="234">
        <f t="shared" si="343"/>
        <v>12081.13</v>
      </c>
      <c r="FD118" s="172">
        <f t="shared" si="343"/>
        <v>0</v>
      </c>
      <c r="FE118" s="179">
        <f t="shared" si="343"/>
        <v>0</v>
      </c>
      <c r="FF118" s="180">
        <f t="shared" si="343"/>
        <v>0</v>
      </c>
      <c r="FG118" s="198">
        <f t="shared" si="343"/>
        <v>0</v>
      </c>
      <c r="FH118" s="172">
        <f t="shared" si="343"/>
        <v>0</v>
      </c>
      <c r="FI118" s="179">
        <f t="shared" si="343"/>
        <v>0</v>
      </c>
      <c r="FJ118" s="179">
        <f t="shared" si="343"/>
        <v>0</v>
      </c>
      <c r="FK118" s="179">
        <f t="shared" si="343"/>
        <v>0</v>
      </c>
      <c r="FL118" s="180">
        <f t="shared" si="343"/>
        <v>0</v>
      </c>
      <c r="FM118" s="198">
        <f t="shared" si="343"/>
        <v>0</v>
      </c>
      <c r="FN118" s="172">
        <f t="shared" si="343"/>
        <v>0</v>
      </c>
      <c r="FO118" s="179">
        <f t="shared" si="343"/>
        <v>0</v>
      </c>
      <c r="FP118" s="179">
        <f t="shared" si="343"/>
        <v>0</v>
      </c>
      <c r="FQ118" s="179">
        <f t="shared" si="343"/>
        <v>0</v>
      </c>
      <c r="FR118" s="198">
        <f t="shared" si="343"/>
        <v>0</v>
      </c>
      <c r="FS118" s="172">
        <f t="shared" si="343"/>
        <v>0</v>
      </c>
      <c r="FT118" s="179">
        <f t="shared" si="343"/>
        <v>0</v>
      </c>
      <c r="FU118" s="179">
        <f t="shared" si="343"/>
        <v>0</v>
      </c>
      <c r="FV118" s="179">
        <f t="shared" si="343"/>
        <v>39669.199999999997</v>
      </c>
      <c r="FW118" s="180">
        <f t="shared" si="343"/>
        <v>0</v>
      </c>
      <c r="FX118" s="198">
        <f t="shared" si="343"/>
        <v>39669.199999999997</v>
      </c>
      <c r="FY118" s="172">
        <f t="shared" ref="FY118:GD118" si="344">SUM(FY119:FY120)</f>
        <v>0</v>
      </c>
      <c r="FZ118" s="179">
        <f t="shared" si="344"/>
        <v>0</v>
      </c>
      <c r="GA118" s="179">
        <f t="shared" si="344"/>
        <v>0</v>
      </c>
      <c r="GB118" s="179">
        <f t="shared" si="344"/>
        <v>0</v>
      </c>
      <c r="GC118" s="180">
        <f t="shared" si="344"/>
        <v>0</v>
      </c>
      <c r="GD118" s="198">
        <f t="shared" si="344"/>
        <v>0</v>
      </c>
      <c r="GE118" s="234">
        <f t="shared" si="343"/>
        <v>39669.199999999997</v>
      </c>
      <c r="GF118" s="172">
        <f t="shared" si="343"/>
        <v>0</v>
      </c>
      <c r="GG118" s="179">
        <f t="shared" si="343"/>
        <v>0</v>
      </c>
      <c r="GH118" s="179">
        <f t="shared" si="343"/>
        <v>0</v>
      </c>
      <c r="GI118" s="179">
        <f t="shared" si="343"/>
        <v>0</v>
      </c>
      <c r="GJ118" s="179">
        <f t="shared" si="343"/>
        <v>0</v>
      </c>
      <c r="GK118" s="198">
        <f t="shared" si="343"/>
        <v>0</v>
      </c>
      <c r="GL118" s="172">
        <f t="shared" si="343"/>
        <v>0</v>
      </c>
      <c r="GM118" s="179">
        <f t="shared" si="343"/>
        <v>0</v>
      </c>
      <c r="GN118" s="179">
        <f t="shared" si="343"/>
        <v>164697.76</v>
      </c>
      <c r="GO118" s="180">
        <f t="shared" si="343"/>
        <v>0</v>
      </c>
      <c r="GP118" s="198">
        <f t="shared" si="343"/>
        <v>164697.76</v>
      </c>
      <c r="GQ118" s="172">
        <f t="shared" si="343"/>
        <v>0</v>
      </c>
      <c r="GR118" s="179">
        <f t="shared" si="343"/>
        <v>0</v>
      </c>
      <c r="GS118" s="179">
        <f t="shared" si="343"/>
        <v>0</v>
      </c>
      <c r="GT118" s="179">
        <f t="shared" si="343"/>
        <v>0</v>
      </c>
      <c r="GU118" s="180">
        <f t="shared" si="343"/>
        <v>205572.48000000001</v>
      </c>
      <c r="GV118" s="198">
        <f t="shared" si="343"/>
        <v>205572.48000000001</v>
      </c>
      <c r="GW118" s="172">
        <f t="shared" si="343"/>
        <v>0</v>
      </c>
      <c r="GX118" s="179">
        <f t="shared" si="343"/>
        <v>0</v>
      </c>
      <c r="GY118" s="179">
        <f t="shared" si="343"/>
        <v>0</v>
      </c>
      <c r="GZ118" s="179">
        <f>SUM(GZ119:GZ120)</f>
        <v>0</v>
      </c>
      <c r="HA118" s="179">
        <f>SUM(HA119:HA120)</f>
        <v>0</v>
      </c>
      <c r="HB118" s="180">
        <f t="shared" si="343"/>
        <v>0</v>
      </c>
      <c r="HC118" s="198">
        <f t="shared" si="343"/>
        <v>0</v>
      </c>
      <c r="HD118" s="234">
        <f t="shared" si="343"/>
        <v>370270.24</v>
      </c>
      <c r="HE118" s="172">
        <f t="shared" si="343"/>
        <v>0</v>
      </c>
      <c r="HF118" s="179">
        <f t="shared" si="343"/>
        <v>0</v>
      </c>
      <c r="HG118" s="179">
        <f t="shared" si="343"/>
        <v>0</v>
      </c>
      <c r="HH118" s="179">
        <f t="shared" si="343"/>
        <v>0</v>
      </c>
      <c r="HI118" s="198">
        <f t="shared" si="343"/>
        <v>0</v>
      </c>
      <c r="HJ118" s="172">
        <f t="shared" si="343"/>
        <v>0</v>
      </c>
      <c r="HK118" s="179">
        <f t="shared" si="343"/>
        <v>0</v>
      </c>
      <c r="HL118" s="179">
        <f t="shared" si="343"/>
        <v>0</v>
      </c>
      <c r="HM118" s="179">
        <f t="shared" si="343"/>
        <v>0</v>
      </c>
      <c r="HN118" s="180">
        <f t="shared" si="343"/>
        <v>0</v>
      </c>
      <c r="HO118" s="198">
        <f t="shared" si="343"/>
        <v>0</v>
      </c>
      <c r="HP118" s="172">
        <f t="shared" si="343"/>
        <v>0</v>
      </c>
      <c r="HQ118" s="179">
        <f t="shared" si="343"/>
        <v>0</v>
      </c>
      <c r="HR118" s="179">
        <f t="shared" si="343"/>
        <v>0</v>
      </c>
      <c r="HS118" s="179">
        <f t="shared" si="343"/>
        <v>0</v>
      </c>
      <c r="HT118" s="180">
        <f t="shared" si="343"/>
        <v>0</v>
      </c>
      <c r="HU118" s="198">
        <f t="shared" si="343"/>
        <v>0</v>
      </c>
      <c r="HV118" s="172">
        <f t="shared" si="343"/>
        <v>0</v>
      </c>
      <c r="HW118" s="179">
        <f t="shared" si="343"/>
        <v>0</v>
      </c>
      <c r="HX118" s="179">
        <f t="shared" si="343"/>
        <v>0</v>
      </c>
      <c r="HY118" s="198">
        <f t="shared" si="343"/>
        <v>0</v>
      </c>
      <c r="HZ118" s="172">
        <f t="shared" si="343"/>
        <v>0</v>
      </c>
      <c r="IA118" s="179">
        <f>SUM(IA119:IA120)</f>
        <v>0</v>
      </c>
      <c r="IB118" s="180">
        <f>SUM(IB119:IB120)</f>
        <v>66624.209999999992</v>
      </c>
      <c r="IC118" s="198">
        <f t="shared" si="343"/>
        <v>66624.209999999992</v>
      </c>
      <c r="ID118" s="234">
        <f t="shared" si="343"/>
        <v>66624.209999999992</v>
      </c>
      <c r="IE118" s="172">
        <f t="shared" si="343"/>
        <v>0</v>
      </c>
      <c r="IF118" s="180">
        <f t="shared" si="343"/>
        <v>0</v>
      </c>
      <c r="IG118" s="198">
        <f t="shared" si="343"/>
        <v>0</v>
      </c>
      <c r="IH118" s="172">
        <f t="shared" si="343"/>
        <v>0</v>
      </c>
      <c r="II118" s="179">
        <f t="shared" si="343"/>
        <v>329337.51</v>
      </c>
      <c r="IJ118" s="179">
        <f t="shared" si="343"/>
        <v>0</v>
      </c>
      <c r="IK118" s="179">
        <f t="shared" si="343"/>
        <v>0</v>
      </c>
      <c r="IL118" s="180">
        <f t="shared" si="343"/>
        <v>0</v>
      </c>
      <c r="IM118" s="198">
        <f t="shared" si="343"/>
        <v>329337.51</v>
      </c>
      <c r="IN118" s="172">
        <f t="shared" si="343"/>
        <v>0</v>
      </c>
      <c r="IO118" s="179">
        <f t="shared" si="343"/>
        <v>0</v>
      </c>
      <c r="IP118" s="180">
        <f t="shared" si="343"/>
        <v>0</v>
      </c>
      <c r="IQ118" s="198">
        <f t="shared" si="343"/>
        <v>0</v>
      </c>
      <c r="IR118" s="172">
        <f t="shared" si="343"/>
        <v>0</v>
      </c>
      <c r="IS118" s="179">
        <f t="shared" si="343"/>
        <v>0</v>
      </c>
      <c r="IT118" s="179">
        <f t="shared" si="343"/>
        <v>0</v>
      </c>
      <c r="IU118" s="179">
        <f t="shared" si="343"/>
        <v>0</v>
      </c>
      <c r="IV118" s="180">
        <f t="shared" si="343"/>
        <v>0</v>
      </c>
      <c r="IW118" s="198">
        <f t="shared" si="343"/>
        <v>0</v>
      </c>
      <c r="IX118" s="172">
        <f t="shared" si="343"/>
        <v>0</v>
      </c>
      <c r="IY118" s="179">
        <f t="shared" si="343"/>
        <v>30000</v>
      </c>
      <c r="IZ118" s="179">
        <f t="shared" si="343"/>
        <v>0</v>
      </c>
      <c r="JA118" s="179">
        <f t="shared" si="343"/>
        <v>60562.45</v>
      </c>
      <c r="JB118" s="180">
        <f t="shared" si="343"/>
        <v>0</v>
      </c>
      <c r="JC118" s="198">
        <f t="shared" si="343"/>
        <v>90562.45</v>
      </c>
      <c r="JD118" s="234">
        <f t="shared" si="343"/>
        <v>419899.96</v>
      </c>
      <c r="JE118" s="172">
        <f t="shared" si="343"/>
        <v>0</v>
      </c>
      <c r="JF118" s="179">
        <f t="shared" si="343"/>
        <v>0</v>
      </c>
      <c r="JG118" s="179">
        <f t="shared" si="343"/>
        <v>164524.94</v>
      </c>
      <c r="JH118" s="179">
        <f t="shared" si="343"/>
        <v>0</v>
      </c>
      <c r="JI118" s="180">
        <f t="shared" si="343"/>
        <v>0</v>
      </c>
      <c r="JJ118" s="198">
        <f t="shared" si="343"/>
        <v>164524.94</v>
      </c>
      <c r="JK118" s="431">
        <f t="shared" si="343"/>
        <v>0</v>
      </c>
      <c r="JL118" s="432">
        <f t="shared" si="343"/>
        <v>0</v>
      </c>
      <c r="JM118" s="432">
        <f t="shared" si="343"/>
        <v>0</v>
      </c>
      <c r="JN118" s="432">
        <f t="shared" si="343"/>
        <v>0</v>
      </c>
      <c r="JO118" s="433">
        <f t="shared" si="343"/>
        <v>0</v>
      </c>
      <c r="JP118" s="148">
        <f t="shared" si="343"/>
        <v>0</v>
      </c>
      <c r="JQ118" s="431">
        <f t="shared" si="343"/>
        <v>0</v>
      </c>
      <c r="JR118" s="432">
        <f t="shared" si="343"/>
        <v>0</v>
      </c>
      <c r="JS118" s="432">
        <f t="shared" si="343"/>
        <v>0</v>
      </c>
      <c r="JT118" s="432">
        <f t="shared" si="343"/>
        <v>0</v>
      </c>
      <c r="JU118" s="433">
        <f t="shared" si="343"/>
        <v>0</v>
      </c>
      <c r="JV118" s="148">
        <f t="shared" si="343"/>
        <v>0</v>
      </c>
      <c r="JW118" s="431">
        <f t="shared" si="343"/>
        <v>0</v>
      </c>
      <c r="JX118" s="432">
        <f t="shared" si="343"/>
        <v>0</v>
      </c>
      <c r="JY118" s="432">
        <f t="shared" si="343"/>
        <v>0</v>
      </c>
      <c r="JZ118" s="432">
        <f t="shared" si="343"/>
        <v>0</v>
      </c>
      <c r="KA118" s="432"/>
      <c r="KB118" s="433">
        <f t="shared" si="343"/>
        <v>0</v>
      </c>
      <c r="KC118" s="148">
        <f t="shared" si="343"/>
        <v>0</v>
      </c>
      <c r="KD118" s="148">
        <f t="shared" si="343"/>
        <v>164761.72</v>
      </c>
      <c r="KE118" s="431">
        <f t="shared" si="343"/>
        <v>0</v>
      </c>
      <c r="KF118" s="432">
        <f t="shared" si="343"/>
        <v>0</v>
      </c>
      <c r="KG118" s="432">
        <f t="shared" si="343"/>
        <v>0</v>
      </c>
      <c r="KH118" s="432">
        <f t="shared" si="343"/>
        <v>0</v>
      </c>
      <c r="KI118" s="433">
        <f t="shared" si="343"/>
        <v>0</v>
      </c>
      <c r="KJ118" s="148">
        <f t="shared" si="343"/>
        <v>0</v>
      </c>
      <c r="KK118" s="431">
        <f t="shared" si="343"/>
        <v>0</v>
      </c>
      <c r="KL118" s="432">
        <f t="shared" si="343"/>
        <v>0</v>
      </c>
      <c r="KM118" s="432">
        <f t="shared" si="343"/>
        <v>0</v>
      </c>
      <c r="KN118" s="432">
        <f t="shared" si="343"/>
        <v>0</v>
      </c>
      <c r="KO118" s="433">
        <f t="shared" si="343"/>
        <v>0</v>
      </c>
      <c r="KP118" s="148">
        <f t="shared" si="343"/>
        <v>0</v>
      </c>
      <c r="KQ118" s="431">
        <f t="shared" si="343"/>
        <v>0</v>
      </c>
      <c r="KR118" s="432">
        <f t="shared" si="343"/>
        <v>0</v>
      </c>
      <c r="KS118" s="432">
        <f t="shared" ref="KS118:LG118" si="345">SUM(KS119:KS120)</f>
        <v>0</v>
      </c>
      <c r="KT118" s="432">
        <f t="shared" si="345"/>
        <v>0</v>
      </c>
      <c r="KU118" s="433">
        <f t="shared" si="345"/>
        <v>0</v>
      </c>
      <c r="KV118" s="148">
        <f t="shared" si="345"/>
        <v>0</v>
      </c>
      <c r="KW118" s="431">
        <f t="shared" si="345"/>
        <v>0</v>
      </c>
      <c r="KX118" s="432">
        <f t="shared" si="345"/>
        <v>0</v>
      </c>
      <c r="KY118" s="432">
        <f t="shared" si="345"/>
        <v>0</v>
      </c>
      <c r="KZ118" s="432">
        <f t="shared" si="345"/>
        <v>0</v>
      </c>
      <c r="LA118" s="433">
        <f t="shared" si="345"/>
        <v>0</v>
      </c>
      <c r="LB118" s="148">
        <f t="shared" si="345"/>
        <v>0</v>
      </c>
      <c r="LC118" s="431">
        <f t="shared" si="345"/>
        <v>0</v>
      </c>
      <c r="LD118" s="432">
        <f t="shared" si="345"/>
        <v>0</v>
      </c>
      <c r="LE118" s="433">
        <f t="shared" si="345"/>
        <v>0</v>
      </c>
      <c r="LF118" s="148">
        <f>SUM(LF119:LF120)</f>
        <v>0</v>
      </c>
      <c r="LG118" s="148">
        <f t="shared" si="345"/>
        <v>0</v>
      </c>
    </row>
    <row r="119" spans="2:321" s="91" customFormat="1">
      <c r="B119" s="167" t="s">
        <v>122</v>
      </c>
      <c r="C119" s="167"/>
      <c r="D119" s="181">
        <f>SUM(C119:C119)</f>
        <v>0</v>
      </c>
      <c r="E119" s="167"/>
      <c r="F119" s="177"/>
      <c r="G119" s="177"/>
      <c r="H119" s="177"/>
      <c r="I119" s="178"/>
      <c r="J119" s="181"/>
      <c r="K119" s="167"/>
      <c r="L119" s="177"/>
      <c r="M119" s="177"/>
      <c r="N119" s="178"/>
      <c r="O119" s="181"/>
      <c r="P119" s="167"/>
      <c r="Q119" s="177"/>
      <c r="R119" s="177"/>
      <c r="S119" s="177"/>
      <c r="T119" s="178"/>
      <c r="U119" s="201">
        <f>SUM(P119:T119)</f>
        <v>0</v>
      </c>
      <c r="V119" s="167">
        <f>193088.05+325337.58+140000</f>
        <v>658425.63</v>
      </c>
      <c r="W119" s="177"/>
      <c r="X119" s="177">
        <v>12416.48</v>
      </c>
      <c r="Y119" s="177"/>
      <c r="Z119" s="178"/>
      <c r="AA119" s="181">
        <f>SUM(V119:Z119)</f>
        <v>670842.11</v>
      </c>
      <c r="AB119" s="168">
        <f>U119+AA119+O119+J119+D119</f>
        <v>670842.11</v>
      </c>
      <c r="AC119" s="242"/>
      <c r="AD119" s="224"/>
      <c r="AE119" s="224"/>
      <c r="AF119" s="224">
        <v>12500</v>
      </c>
      <c r="AG119" s="243"/>
      <c r="AH119" s="168">
        <f>SUM(AC119:AG119)</f>
        <v>12500</v>
      </c>
      <c r="AI119" s="242"/>
      <c r="AJ119" s="224"/>
      <c r="AK119" s="224"/>
      <c r="AL119" s="224"/>
      <c r="AM119" s="243"/>
      <c r="AN119" s="168">
        <f>SUM(AI119:AM119)</f>
        <v>0</v>
      </c>
      <c r="AO119" s="242"/>
      <c r="AP119" s="224"/>
      <c r="AQ119" s="224">
        <v>12500</v>
      </c>
      <c r="AR119" s="224"/>
      <c r="AS119" s="243">
        <v>336267</v>
      </c>
      <c r="AT119" s="168">
        <f>SUM(AO119:AS119)</f>
        <v>348767</v>
      </c>
      <c r="AU119" s="242"/>
      <c r="AV119" s="224"/>
      <c r="AW119" s="224"/>
      <c r="AX119" s="224"/>
      <c r="AY119" s="243">
        <v>12400</v>
      </c>
      <c r="AZ119" s="168">
        <f>SUM(AU119:AY119)</f>
        <v>12400</v>
      </c>
      <c r="BA119" s="168">
        <f>AZ119+AT119+AN119+AH119</f>
        <v>373667</v>
      </c>
      <c r="BB119" s="242"/>
      <c r="BC119" s="224"/>
      <c r="BD119" s="224">
        <v>31611.78</v>
      </c>
      <c r="BE119" s="224">
        <v>168706</v>
      </c>
      <c r="BF119" s="243">
        <v>167220.25</v>
      </c>
      <c r="BG119" s="168">
        <f>SUM(BB119:BF119)</f>
        <v>367538.03</v>
      </c>
      <c r="BH119" s="242"/>
      <c r="BI119" s="224"/>
      <c r="BJ119" s="224"/>
      <c r="BK119" s="224"/>
      <c r="BL119" s="243"/>
      <c r="BM119" s="168">
        <f>SUM(BH119:BL119)</f>
        <v>0</v>
      </c>
      <c r="BN119" s="242"/>
      <c r="BO119" s="224"/>
      <c r="BP119" s="224"/>
      <c r="BQ119" s="243"/>
      <c r="BR119" s="168">
        <f>SUM(BN119:BQ119)</f>
        <v>0</v>
      </c>
      <c r="BS119" s="242"/>
      <c r="BT119" s="224"/>
      <c r="BU119" s="224"/>
      <c r="BV119" s="224"/>
      <c r="BW119" s="243"/>
      <c r="BX119" s="168">
        <f>SUM(BS119:BW119)</f>
        <v>0</v>
      </c>
      <c r="BY119" s="242"/>
      <c r="BZ119" s="224"/>
      <c r="CA119" s="168">
        <f>'EXP SNA'!M11</f>
        <v>0</v>
      </c>
      <c r="CB119" s="168">
        <f>CA119+BX119+BR119+BM119+BG119</f>
        <v>367538.03</v>
      </c>
      <c r="CC119" s="242"/>
      <c r="CD119" s="224"/>
      <c r="CE119" s="224">
        <f>12500+12500</f>
        <v>25000</v>
      </c>
      <c r="CF119" s="168">
        <f>SUM(CC119:CE119)</f>
        <v>25000</v>
      </c>
      <c r="CG119" s="242"/>
      <c r="CH119" s="224"/>
      <c r="CI119" s="224"/>
      <c r="CJ119" s="243"/>
      <c r="CK119" s="168">
        <f>SUM(CG119:CJ119)</f>
        <v>0</v>
      </c>
      <c r="CL119" s="242"/>
      <c r="CM119" s="224"/>
      <c r="CN119" s="224">
        <f>12500+9284.91</f>
        <v>21784.91</v>
      </c>
      <c r="CO119" s="224"/>
      <c r="CP119" s="243"/>
      <c r="CQ119" s="168">
        <f>SUM(CL119:CP119)</f>
        <v>21784.91</v>
      </c>
      <c r="CR119" s="242"/>
      <c r="CS119" s="224"/>
      <c r="CT119" s="224"/>
      <c r="CU119" s="224"/>
      <c r="CV119" s="243"/>
      <c r="CW119" s="168">
        <f>SUM(CR119:CV119)</f>
        <v>0</v>
      </c>
      <c r="CX119" s="181"/>
      <c r="CY119" s="238"/>
      <c r="CZ119" s="238"/>
      <c r="DA119" s="239"/>
      <c r="DB119" s="168">
        <f>SUM(CX119:DA119)</f>
        <v>0</v>
      </c>
      <c r="DC119" s="168">
        <f>DB119+CW119+CQ119+CK119+CF119</f>
        <v>46784.91</v>
      </c>
      <c r="DD119" s="242"/>
      <c r="DE119" s="224"/>
      <c r="DF119" s="224">
        <v>12500</v>
      </c>
      <c r="DG119" s="224"/>
      <c r="DH119" s="224"/>
      <c r="DI119" s="168">
        <f>SUM(DD119:DH119)</f>
        <v>12500</v>
      </c>
      <c r="DJ119" s="242"/>
      <c r="DK119" s="224"/>
      <c r="DL119" s="224"/>
      <c r="DM119" s="224"/>
      <c r="DN119" s="243"/>
      <c r="DO119" s="168">
        <f>SUM(DJ119:DN119)</f>
        <v>0</v>
      </c>
      <c r="DP119" s="242">
        <v>107095.05</v>
      </c>
      <c r="DQ119" s="224"/>
      <c r="DR119" s="224"/>
      <c r="DS119" s="224"/>
      <c r="DT119" s="243">
        <v>11696.48</v>
      </c>
      <c r="DU119" s="168">
        <f>SUM(DP119:DT119)</f>
        <v>118791.53</v>
      </c>
      <c r="DV119" s="242">
        <v>82361.740000000005</v>
      </c>
      <c r="DW119" s="224"/>
      <c r="DX119" s="224"/>
      <c r="DY119" s="224">
        <v>120141.85</v>
      </c>
      <c r="DZ119" s="243"/>
      <c r="EA119" s="168">
        <f>SUM(DV119:DZ119)</f>
        <v>202503.59000000003</v>
      </c>
      <c r="EB119" s="168">
        <f>EA119+DU119+DO119+DI119</f>
        <v>333795.12</v>
      </c>
      <c r="EC119" s="242"/>
      <c r="ED119" s="224"/>
      <c r="EE119" s="224"/>
      <c r="EF119" s="224">
        <v>12081.13</v>
      </c>
      <c r="EG119" s="243"/>
      <c r="EH119" s="168">
        <f>SUM(EC119:EG119)</f>
        <v>12081.13</v>
      </c>
      <c r="EI119" s="242"/>
      <c r="EJ119" s="224"/>
      <c r="EK119" s="224"/>
      <c r="EL119" s="224"/>
      <c r="EM119" s="243"/>
      <c r="EN119" s="168">
        <f>SUM(EI119:EM119)</f>
        <v>0</v>
      </c>
      <c r="EO119" s="181"/>
      <c r="EP119" s="238"/>
      <c r="EQ119" s="238"/>
      <c r="ER119" s="238"/>
      <c r="ES119" s="239"/>
      <c r="ET119" s="168">
        <f>SUM(EO119:ES119)</f>
        <v>0</v>
      </c>
      <c r="EU119" s="242"/>
      <c r="EV119" s="224"/>
      <c r="EW119" s="224"/>
      <c r="EX119" s="224"/>
      <c r="EY119" s="224"/>
      <c r="EZ119" s="224"/>
      <c r="FA119" s="243"/>
      <c r="FB119" s="168">
        <f>SUM(EU119:FA119)</f>
        <v>0</v>
      </c>
      <c r="FC119" s="168">
        <f>FB119+ET119+EN119+EH119</f>
        <v>12081.13</v>
      </c>
      <c r="FD119" s="242"/>
      <c r="FE119" s="224"/>
      <c r="FF119" s="243"/>
      <c r="FG119" s="168">
        <f>SUM(FD119:FF119)</f>
        <v>0</v>
      </c>
      <c r="FH119" s="242"/>
      <c r="FI119" s="224"/>
      <c r="FJ119" s="224"/>
      <c r="FK119" s="224"/>
      <c r="FL119" s="243"/>
      <c r="FM119" s="168">
        <f>SUM(FH119:FL119)</f>
        <v>0</v>
      </c>
      <c r="FN119" s="242"/>
      <c r="FO119" s="224"/>
      <c r="FP119" s="224"/>
      <c r="FQ119" s="224"/>
      <c r="FR119" s="168">
        <f>SUM(FN119:FQ119)</f>
        <v>0</v>
      </c>
      <c r="FS119" s="242"/>
      <c r="FT119" s="224"/>
      <c r="FU119" s="224"/>
      <c r="FV119" s="224">
        <v>39669.199999999997</v>
      </c>
      <c r="FW119" s="243"/>
      <c r="FX119" s="168">
        <f>SUM(FS119:FW119)</f>
        <v>39669.199999999997</v>
      </c>
      <c r="FY119" s="242"/>
      <c r="FZ119" s="224"/>
      <c r="GA119" s="224"/>
      <c r="GB119" s="224"/>
      <c r="GC119" s="243"/>
      <c r="GD119" s="168">
        <f>SUM(FY119:GC119)</f>
        <v>0</v>
      </c>
      <c r="GE119" s="168">
        <f>FG119+FM119+FR119+FX119+GD119</f>
        <v>39669.199999999997</v>
      </c>
      <c r="GF119" s="242"/>
      <c r="GG119" s="224"/>
      <c r="GH119" s="224"/>
      <c r="GI119" s="224"/>
      <c r="GJ119" s="224"/>
      <c r="GK119" s="168">
        <f>SUM(GF119:GJ119)</f>
        <v>0</v>
      </c>
      <c r="GL119" s="242"/>
      <c r="GM119" s="224"/>
      <c r="GN119" s="224">
        <v>164697.76</v>
      </c>
      <c r="GO119" s="243"/>
      <c r="GP119" s="168">
        <f>SUM(GL119:GO119)</f>
        <v>164697.76</v>
      </c>
      <c r="GQ119" s="242"/>
      <c r="GR119" s="224"/>
      <c r="GS119" s="224"/>
      <c r="GT119" s="224"/>
      <c r="GU119" s="243">
        <v>205572.48000000001</v>
      </c>
      <c r="GV119" s="168">
        <f>SUM(GQ119:GU119)</f>
        <v>205572.48000000001</v>
      </c>
      <c r="GW119" s="242"/>
      <c r="GX119" s="224"/>
      <c r="GY119" s="224"/>
      <c r="GZ119" s="224"/>
      <c r="HA119" s="224"/>
      <c r="HB119" s="243"/>
      <c r="HC119" s="168">
        <f>SUM(GW119:HB119)</f>
        <v>0</v>
      </c>
      <c r="HD119" s="168">
        <f>GK119+GP119+GV119+HC119</f>
        <v>370270.24</v>
      </c>
      <c r="HE119" s="242"/>
      <c r="HF119" s="224"/>
      <c r="HG119" s="224"/>
      <c r="HH119" s="224"/>
      <c r="HI119" s="168">
        <f>SUM(HE119:HH119)</f>
        <v>0</v>
      </c>
      <c r="HJ119" s="242"/>
      <c r="HK119" s="224"/>
      <c r="HL119" s="224"/>
      <c r="HM119" s="224"/>
      <c r="HN119" s="243"/>
      <c r="HO119" s="168">
        <f>SUM(HJ119:HN119)</f>
        <v>0</v>
      </c>
      <c r="HP119" s="242"/>
      <c r="HQ119" s="224"/>
      <c r="HR119" s="224"/>
      <c r="HS119" s="224"/>
      <c r="HT119" s="243"/>
      <c r="HU119" s="168">
        <f>SUM(HP119:HT119)</f>
        <v>0</v>
      </c>
      <c r="HV119" s="181"/>
      <c r="HW119" s="238"/>
      <c r="HX119" s="238"/>
      <c r="HY119" s="168">
        <f>SUM(HV119:HX119)</f>
        <v>0</v>
      </c>
      <c r="HZ119" s="242"/>
      <c r="IA119" s="224"/>
      <c r="IB119" s="243">
        <f>30000+36624.21</f>
        <v>66624.209999999992</v>
      </c>
      <c r="IC119" s="168">
        <f>SUM(HZ119:IB119)</f>
        <v>66624.209999999992</v>
      </c>
      <c r="ID119" s="168">
        <f>HI119+HO119+HU119+HY119+IC119</f>
        <v>66624.209999999992</v>
      </c>
      <c r="IE119" s="242"/>
      <c r="IF119" s="243"/>
      <c r="IG119" s="168">
        <f>SUM(IE119:IF119)</f>
        <v>0</v>
      </c>
      <c r="IH119" s="242"/>
      <c r="II119" s="224">
        <v>329337.51</v>
      </c>
      <c r="IJ119" s="224"/>
      <c r="IK119" s="224"/>
      <c r="IL119" s="243"/>
      <c r="IM119" s="168">
        <f>SUM(IH119:IL119)</f>
        <v>329337.51</v>
      </c>
      <c r="IN119" s="242"/>
      <c r="IO119" s="224"/>
      <c r="IP119" s="243"/>
      <c r="IQ119" s="168">
        <f>SUM(IN119:IP119)</f>
        <v>0</v>
      </c>
      <c r="IR119" s="242"/>
      <c r="IS119" s="224"/>
      <c r="IT119" s="224"/>
      <c r="IU119" s="224"/>
      <c r="IV119" s="243"/>
      <c r="IW119" s="168">
        <f>SUM(IR119:IV119)</f>
        <v>0</v>
      </c>
      <c r="IX119" s="242"/>
      <c r="IY119" s="224">
        <v>30000</v>
      </c>
      <c r="IZ119" s="224"/>
      <c r="JA119" s="224">
        <f>30317+30245.45</f>
        <v>60562.45</v>
      </c>
      <c r="JB119" s="243"/>
      <c r="JC119" s="168">
        <f>SUM(IX119:JB119)</f>
        <v>90562.45</v>
      </c>
      <c r="JD119" s="168">
        <f>JC119+IW119+IQ119+IM119+IG119</f>
        <v>419899.96</v>
      </c>
      <c r="JE119" s="242"/>
      <c r="JF119" s="224"/>
      <c r="JG119" s="224">
        <v>164524.94</v>
      </c>
      <c r="JH119" s="224"/>
      <c r="JI119" s="243"/>
      <c r="JJ119" s="168">
        <f>SUM(JE119:JI119)</f>
        <v>164524.94</v>
      </c>
      <c r="JK119" s="242"/>
      <c r="JL119" s="224"/>
      <c r="JM119" s="224"/>
      <c r="JN119" s="224"/>
      <c r="JO119" s="243"/>
      <c r="JP119" s="168">
        <f>SUM(JK119:JO119)</f>
        <v>0</v>
      </c>
      <c r="JQ119" s="242"/>
      <c r="JR119" s="224"/>
      <c r="JS119" s="224"/>
      <c r="JT119" s="224"/>
      <c r="JU119" s="243"/>
      <c r="JV119" s="168">
        <f>SUM(JQ119:JU119)</f>
        <v>0</v>
      </c>
      <c r="JW119" s="242"/>
      <c r="JX119" s="224"/>
      <c r="JY119" s="224"/>
      <c r="JZ119" s="224"/>
      <c r="KA119" s="224"/>
      <c r="KB119" s="243"/>
      <c r="KC119" s="168">
        <f>SUM(JW119:KB119)</f>
        <v>0</v>
      </c>
      <c r="KD119" s="168">
        <f>'EXP SNA'!E34</f>
        <v>164761.72</v>
      </c>
      <c r="KE119" s="242"/>
      <c r="KF119" s="224"/>
      <c r="KG119" s="224"/>
      <c r="KH119" s="224"/>
      <c r="KI119" s="243"/>
      <c r="KJ119" s="168">
        <f>SUM(KE119:KI119)</f>
        <v>0</v>
      </c>
      <c r="KK119" s="242"/>
      <c r="KL119" s="224"/>
      <c r="KM119" s="224"/>
      <c r="KN119" s="224"/>
      <c r="KO119" s="243"/>
      <c r="KP119" s="168">
        <f>SUM(KK119:KO119)</f>
        <v>0</v>
      </c>
      <c r="KQ119" s="181"/>
      <c r="KR119" s="238"/>
      <c r="KS119" s="238"/>
      <c r="KT119" s="238"/>
      <c r="KU119" s="239"/>
      <c r="KV119" s="168">
        <f>SUM(KQ119:KU119)</f>
        <v>0</v>
      </c>
      <c r="KW119" s="181"/>
      <c r="KX119" s="238"/>
      <c r="KY119" s="238"/>
      <c r="KZ119" s="238"/>
      <c r="LA119" s="239"/>
      <c r="LB119" s="201">
        <f>SUM(KW119:LA119)</f>
        <v>0</v>
      </c>
      <c r="LC119" s="181"/>
      <c r="LD119" s="238"/>
      <c r="LE119" s="239"/>
      <c r="LF119" s="168">
        <f>SUM(LC119:LE119)</f>
        <v>0</v>
      </c>
      <c r="LG119" s="168">
        <f>KJ119+KP119+KV119+LB119+LF119</f>
        <v>0</v>
      </c>
    </row>
    <row r="120" spans="2:321" s="91" customFormat="1">
      <c r="B120" s="167"/>
      <c r="C120" s="167"/>
      <c r="D120" s="181"/>
      <c r="E120" s="167"/>
      <c r="F120" s="177"/>
      <c r="G120" s="177"/>
      <c r="H120" s="177"/>
      <c r="I120" s="178"/>
      <c r="J120" s="181"/>
      <c r="K120" s="167"/>
      <c r="L120" s="177"/>
      <c r="M120" s="177"/>
      <c r="N120" s="178"/>
      <c r="O120" s="181"/>
      <c r="P120" s="167"/>
      <c r="Q120" s="177"/>
      <c r="R120" s="177"/>
      <c r="S120" s="177"/>
      <c r="T120" s="178"/>
      <c r="U120" s="181"/>
      <c r="V120" s="167"/>
      <c r="W120" s="177"/>
      <c r="X120" s="177"/>
      <c r="Y120" s="177"/>
      <c r="Z120" s="178"/>
      <c r="AA120" s="181"/>
      <c r="AB120" s="146"/>
      <c r="AC120" s="242"/>
      <c r="AD120" s="224"/>
      <c r="AE120" s="224"/>
      <c r="AF120" s="224"/>
      <c r="AG120" s="243"/>
      <c r="AH120" s="146"/>
      <c r="AI120" s="167"/>
      <c r="AJ120" s="177"/>
      <c r="AK120" s="177"/>
      <c r="AL120" s="177"/>
      <c r="AM120" s="178"/>
      <c r="AN120" s="146"/>
      <c r="AO120" s="167"/>
      <c r="AP120" s="177"/>
      <c r="AQ120" s="177"/>
      <c r="AR120" s="177"/>
      <c r="AS120" s="178"/>
      <c r="AT120" s="146"/>
      <c r="AU120" s="167"/>
      <c r="AV120" s="177"/>
      <c r="AW120" s="177"/>
      <c r="AX120" s="177"/>
      <c r="AY120" s="178"/>
      <c r="AZ120" s="146"/>
      <c r="BA120" s="168"/>
      <c r="BB120" s="181"/>
      <c r="BC120" s="238"/>
      <c r="BD120" s="238"/>
      <c r="BE120" s="238"/>
      <c r="BF120" s="239"/>
      <c r="BG120" s="168"/>
      <c r="BH120" s="242"/>
      <c r="BI120" s="224"/>
      <c r="BJ120" s="224"/>
      <c r="BK120" s="224"/>
      <c r="BL120" s="243"/>
      <c r="BM120" s="168"/>
      <c r="BN120" s="242"/>
      <c r="BO120" s="224"/>
      <c r="BP120" s="224"/>
      <c r="BQ120" s="243"/>
      <c r="BR120" s="168"/>
      <c r="BS120" s="242"/>
      <c r="BT120" s="224"/>
      <c r="BU120" s="224"/>
      <c r="BV120" s="224"/>
      <c r="BW120" s="243"/>
      <c r="BX120" s="168"/>
      <c r="BY120" s="242"/>
      <c r="BZ120" s="224"/>
      <c r="CA120" s="168"/>
      <c r="CB120" s="168"/>
      <c r="CC120" s="181"/>
      <c r="CD120" s="238"/>
      <c r="CE120" s="238"/>
      <c r="CF120" s="168"/>
      <c r="CG120" s="181"/>
      <c r="CH120" s="238"/>
      <c r="CI120" s="238"/>
      <c r="CJ120" s="239"/>
      <c r="CK120" s="168"/>
      <c r="CL120" s="242"/>
      <c r="CM120" s="224"/>
      <c r="CN120" s="224"/>
      <c r="CO120" s="224"/>
      <c r="CP120" s="243"/>
      <c r="CQ120" s="168"/>
      <c r="CR120" s="242"/>
      <c r="CS120" s="224"/>
      <c r="CT120" s="224"/>
      <c r="CU120" s="224"/>
      <c r="CV120" s="243"/>
      <c r="CW120" s="168"/>
      <c r="CX120" s="181"/>
      <c r="CY120" s="238"/>
      <c r="CZ120" s="238"/>
      <c r="DA120" s="239"/>
      <c r="DB120" s="168"/>
      <c r="DC120" s="168"/>
      <c r="DD120" s="242"/>
      <c r="DE120" s="224"/>
      <c r="DF120" s="224"/>
      <c r="DG120" s="224"/>
      <c r="DH120" s="224"/>
      <c r="DI120" s="168"/>
      <c r="DJ120" s="242"/>
      <c r="DK120" s="224"/>
      <c r="DL120" s="224"/>
      <c r="DM120" s="224"/>
      <c r="DN120" s="243"/>
      <c r="DO120" s="168"/>
      <c r="DP120" s="242"/>
      <c r="DQ120" s="224"/>
      <c r="DR120" s="224"/>
      <c r="DS120" s="224"/>
      <c r="DT120" s="243"/>
      <c r="DU120" s="168"/>
      <c r="DV120" s="242"/>
      <c r="DW120" s="224"/>
      <c r="DX120" s="224"/>
      <c r="DY120" s="224"/>
      <c r="DZ120" s="243"/>
      <c r="EA120" s="168"/>
      <c r="EB120" s="168"/>
      <c r="EC120" s="242"/>
      <c r="ED120" s="224"/>
      <c r="EE120" s="224"/>
      <c r="EF120" s="224"/>
      <c r="EG120" s="243"/>
      <c r="EH120" s="168"/>
      <c r="EI120" s="242"/>
      <c r="EJ120" s="224"/>
      <c r="EK120" s="224"/>
      <c r="EL120" s="224"/>
      <c r="EM120" s="243"/>
      <c r="EN120" s="168"/>
      <c r="EO120" s="181"/>
      <c r="EP120" s="238"/>
      <c r="EQ120" s="238"/>
      <c r="ER120" s="238"/>
      <c r="ES120" s="239"/>
      <c r="ET120" s="168"/>
      <c r="EU120" s="242"/>
      <c r="EV120" s="224"/>
      <c r="EW120" s="224"/>
      <c r="EX120" s="224"/>
      <c r="EY120" s="224"/>
      <c r="EZ120" s="224"/>
      <c r="FA120" s="243"/>
      <c r="FB120" s="168"/>
      <c r="FC120" s="168"/>
      <c r="FD120" s="242"/>
      <c r="FE120" s="224"/>
      <c r="FF120" s="243"/>
      <c r="FG120" s="168"/>
      <c r="FH120" s="181"/>
      <c r="FI120" s="238"/>
      <c r="FJ120" s="238"/>
      <c r="FK120" s="238"/>
      <c r="FL120" s="239"/>
      <c r="FM120" s="168"/>
      <c r="FN120" s="181"/>
      <c r="FO120" s="238"/>
      <c r="FP120" s="238"/>
      <c r="FQ120" s="238"/>
      <c r="FR120" s="168"/>
      <c r="FS120" s="181"/>
      <c r="FT120" s="238"/>
      <c r="FU120" s="238"/>
      <c r="FV120" s="238"/>
      <c r="FW120" s="239"/>
      <c r="FX120" s="168"/>
      <c r="FY120" s="181"/>
      <c r="FZ120" s="238"/>
      <c r="GA120" s="238"/>
      <c r="GB120" s="238"/>
      <c r="GC120" s="239"/>
      <c r="GD120" s="168"/>
      <c r="GE120" s="168"/>
      <c r="GF120" s="181"/>
      <c r="GG120" s="238"/>
      <c r="GH120" s="238"/>
      <c r="GI120" s="238"/>
      <c r="GJ120" s="238"/>
      <c r="GK120" s="168"/>
      <c r="GL120" s="181"/>
      <c r="GM120" s="238"/>
      <c r="GN120" s="238"/>
      <c r="GO120" s="239"/>
      <c r="GP120" s="168"/>
      <c r="GQ120" s="181"/>
      <c r="GR120" s="238"/>
      <c r="GS120" s="238"/>
      <c r="GT120" s="238"/>
      <c r="GU120" s="239"/>
      <c r="GV120" s="168"/>
      <c r="GW120" s="242"/>
      <c r="GX120" s="224"/>
      <c r="GY120" s="224"/>
      <c r="GZ120" s="224"/>
      <c r="HA120" s="224"/>
      <c r="HB120" s="243"/>
      <c r="HC120" s="168"/>
      <c r="HD120" s="168"/>
      <c r="HE120" s="181"/>
      <c r="HF120" s="238"/>
      <c r="HG120" s="238"/>
      <c r="HH120" s="238"/>
      <c r="HI120" s="168"/>
      <c r="HJ120" s="181"/>
      <c r="HK120" s="238"/>
      <c r="HL120" s="238"/>
      <c r="HM120" s="238"/>
      <c r="HN120" s="239"/>
      <c r="HO120" s="168"/>
      <c r="HP120" s="181"/>
      <c r="HQ120" s="238"/>
      <c r="HR120" s="238"/>
      <c r="HS120" s="238"/>
      <c r="HT120" s="239"/>
      <c r="HU120" s="168"/>
      <c r="HV120" s="181"/>
      <c r="HW120" s="238"/>
      <c r="HX120" s="238"/>
      <c r="HY120" s="168"/>
      <c r="HZ120" s="242"/>
      <c r="IA120" s="224"/>
      <c r="IB120" s="243"/>
      <c r="IC120" s="168"/>
      <c r="ID120" s="168"/>
      <c r="IE120" s="242"/>
      <c r="IF120" s="243"/>
      <c r="IG120" s="168"/>
      <c r="IH120" s="242"/>
      <c r="II120" s="224"/>
      <c r="IJ120" s="224"/>
      <c r="IK120" s="224"/>
      <c r="IL120" s="243"/>
      <c r="IM120" s="168"/>
      <c r="IN120" s="181"/>
      <c r="IO120" s="238"/>
      <c r="IP120" s="239"/>
      <c r="IQ120" s="168"/>
      <c r="IR120" s="181"/>
      <c r="IS120" s="238"/>
      <c r="IT120" s="238"/>
      <c r="IU120" s="238"/>
      <c r="IV120" s="239"/>
      <c r="IW120" s="168"/>
      <c r="IX120" s="242"/>
      <c r="IY120" s="224"/>
      <c r="IZ120" s="224"/>
      <c r="JA120" s="224"/>
      <c r="JB120" s="243"/>
      <c r="JC120" s="168"/>
      <c r="JD120" s="168"/>
      <c r="JE120" s="242"/>
      <c r="JF120" s="224"/>
      <c r="JG120" s="224"/>
      <c r="JH120" s="224"/>
      <c r="JI120" s="243"/>
      <c r="JJ120" s="168"/>
      <c r="JK120" s="242"/>
      <c r="JL120" s="224"/>
      <c r="JM120" s="224"/>
      <c r="JN120" s="224"/>
      <c r="JO120" s="243"/>
      <c r="JP120" s="168"/>
      <c r="JQ120" s="242"/>
      <c r="JR120" s="224"/>
      <c r="JS120" s="224"/>
      <c r="JT120" s="224"/>
      <c r="JU120" s="243"/>
      <c r="JV120" s="168"/>
      <c r="JW120" s="242"/>
      <c r="JX120" s="224"/>
      <c r="JY120" s="224"/>
      <c r="JZ120" s="224"/>
      <c r="KA120" s="224"/>
      <c r="KB120" s="243"/>
      <c r="KC120" s="168"/>
      <c r="KD120" s="168"/>
      <c r="KE120" s="242"/>
      <c r="KF120" s="224"/>
      <c r="KG120" s="224"/>
      <c r="KH120" s="224"/>
      <c r="KI120" s="243"/>
      <c r="KJ120" s="168"/>
      <c r="KK120" s="242"/>
      <c r="KL120" s="224"/>
      <c r="KM120" s="224"/>
      <c r="KN120" s="224"/>
      <c r="KO120" s="243"/>
      <c r="KP120" s="168"/>
      <c r="KQ120" s="181"/>
      <c r="KR120" s="238"/>
      <c r="KS120" s="238"/>
      <c r="KT120" s="238"/>
      <c r="KU120" s="239"/>
      <c r="KV120" s="168"/>
      <c r="KW120" s="181"/>
      <c r="KX120" s="238"/>
      <c r="KY120" s="238"/>
      <c r="KZ120" s="238"/>
      <c r="LA120" s="239"/>
      <c r="LB120" s="168"/>
      <c r="LC120" s="181"/>
      <c r="LD120" s="238"/>
      <c r="LE120" s="239"/>
      <c r="LF120" s="168"/>
      <c r="LG120" s="168"/>
    </row>
    <row r="121" spans="2:321" s="91" customFormat="1" ht="15.75" thickBot="1">
      <c r="B121" s="173" t="s">
        <v>96</v>
      </c>
      <c r="C121" s="173">
        <f>C118-C112</f>
        <v>0</v>
      </c>
      <c r="D121" s="173">
        <f t="shared" ref="D121:AA121" si="346">D118-D112</f>
        <v>0</v>
      </c>
      <c r="E121" s="173">
        <f t="shared" si="346"/>
        <v>0</v>
      </c>
      <c r="F121" s="173">
        <f t="shared" si="346"/>
        <v>0</v>
      </c>
      <c r="G121" s="173">
        <f t="shared" si="346"/>
        <v>0</v>
      </c>
      <c r="H121" s="173">
        <f t="shared" si="346"/>
        <v>0</v>
      </c>
      <c r="I121" s="173">
        <f t="shared" si="346"/>
        <v>-8572.5</v>
      </c>
      <c r="J121" s="173">
        <f t="shared" si="346"/>
        <v>-8572.5</v>
      </c>
      <c r="K121" s="173">
        <f t="shared" si="346"/>
        <v>0</v>
      </c>
      <c r="L121" s="173"/>
      <c r="M121" s="173">
        <f t="shared" si="346"/>
        <v>-5.43</v>
      </c>
      <c r="N121" s="173">
        <f t="shared" si="346"/>
        <v>-13000</v>
      </c>
      <c r="O121" s="173">
        <f t="shared" si="346"/>
        <v>-13005.43</v>
      </c>
      <c r="P121" s="173">
        <f t="shared" si="346"/>
        <v>0</v>
      </c>
      <c r="Q121" s="173">
        <f t="shared" si="346"/>
        <v>0</v>
      </c>
      <c r="R121" s="173">
        <f t="shared" si="346"/>
        <v>0</v>
      </c>
      <c r="S121" s="173">
        <f t="shared" si="346"/>
        <v>0</v>
      </c>
      <c r="T121" s="173">
        <f t="shared" si="346"/>
        <v>0</v>
      </c>
      <c r="U121" s="173">
        <f t="shared" si="346"/>
        <v>0</v>
      </c>
      <c r="V121" s="173">
        <f t="shared" si="346"/>
        <v>518425.63</v>
      </c>
      <c r="W121" s="173">
        <f t="shared" si="346"/>
        <v>0</v>
      </c>
      <c r="X121" s="173">
        <f t="shared" si="346"/>
        <v>10451.08</v>
      </c>
      <c r="Y121" s="173">
        <f t="shared" si="346"/>
        <v>0</v>
      </c>
      <c r="Z121" s="173">
        <f t="shared" si="346"/>
        <v>-66756.960000000006</v>
      </c>
      <c r="AA121" s="173">
        <f t="shared" si="346"/>
        <v>462119.75</v>
      </c>
      <c r="AB121" s="235">
        <f t="shared" ref="AB121:LG121" si="347">AB118-AB112</f>
        <v>440541.82</v>
      </c>
      <c r="AC121" s="173">
        <f t="shared" si="347"/>
        <v>0</v>
      </c>
      <c r="AD121" s="241">
        <f t="shared" si="347"/>
        <v>-519258.96</v>
      </c>
      <c r="AE121" s="241">
        <f t="shared" si="347"/>
        <v>0</v>
      </c>
      <c r="AF121" s="241">
        <f t="shared" si="347"/>
        <v>8024</v>
      </c>
      <c r="AG121" s="497">
        <f t="shared" si="347"/>
        <v>0</v>
      </c>
      <c r="AH121" s="199">
        <f t="shared" ref="AH121:AM121" si="348">AH118-AH112</f>
        <v>-511234.96</v>
      </c>
      <c r="AI121" s="173">
        <f t="shared" si="348"/>
        <v>0</v>
      </c>
      <c r="AJ121" s="241">
        <f t="shared" si="348"/>
        <v>-13</v>
      </c>
      <c r="AK121" s="241">
        <f t="shared" si="348"/>
        <v>0</v>
      </c>
      <c r="AL121" s="241">
        <f t="shared" si="348"/>
        <v>0</v>
      </c>
      <c r="AM121" s="497">
        <f t="shared" si="348"/>
        <v>0</v>
      </c>
      <c r="AN121" s="199">
        <f t="shared" ref="AN121:AZ121" si="349">AN118-AN112</f>
        <v>-13</v>
      </c>
      <c r="AO121" s="173">
        <f t="shared" si="349"/>
        <v>0</v>
      </c>
      <c r="AP121" s="241">
        <f t="shared" si="349"/>
        <v>0</v>
      </c>
      <c r="AQ121" s="241">
        <f t="shared" si="349"/>
        <v>12475</v>
      </c>
      <c r="AR121" s="241">
        <f t="shared" si="349"/>
        <v>0</v>
      </c>
      <c r="AS121" s="497">
        <f t="shared" si="349"/>
        <v>336255</v>
      </c>
      <c r="AT121" s="199">
        <f t="shared" si="349"/>
        <v>348730</v>
      </c>
      <c r="AU121" s="173">
        <f t="shared" si="349"/>
        <v>-150025</v>
      </c>
      <c r="AV121" s="241">
        <f t="shared" si="349"/>
        <v>0</v>
      </c>
      <c r="AW121" s="241">
        <f t="shared" si="349"/>
        <v>-12</v>
      </c>
      <c r="AX121" s="241">
        <f t="shared" si="349"/>
        <v>-7175.49</v>
      </c>
      <c r="AY121" s="497">
        <f t="shared" si="349"/>
        <v>12388</v>
      </c>
      <c r="AZ121" s="199">
        <f t="shared" si="349"/>
        <v>-144824.49</v>
      </c>
      <c r="BA121" s="235">
        <f t="shared" si="347"/>
        <v>-307342.44999999995</v>
      </c>
      <c r="BB121" s="173">
        <f t="shared" si="347"/>
        <v>0</v>
      </c>
      <c r="BC121" s="241">
        <f t="shared" si="347"/>
        <v>0</v>
      </c>
      <c r="BD121" s="241">
        <f t="shared" si="347"/>
        <v>-68400.22</v>
      </c>
      <c r="BE121" s="241">
        <f t="shared" si="347"/>
        <v>168706</v>
      </c>
      <c r="BF121" s="497">
        <f t="shared" si="347"/>
        <v>167207.25</v>
      </c>
      <c r="BG121" s="199">
        <f t="shared" si="347"/>
        <v>267513.03000000003</v>
      </c>
      <c r="BH121" s="173">
        <f t="shared" si="347"/>
        <v>0</v>
      </c>
      <c r="BI121" s="241">
        <f t="shared" si="347"/>
        <v>0</v>
      </c>
      <c r="BJ121" s="241">
        <f t="shared" si="347"/>
        <v>-121864.31</v>
      </c>
      <c r="BK121" s="241">
        <f t="shared" si="347"/>
        <v>-300000</v>
      </c>
      <c r="BL121" s="497">
        <f t="shared" si="347"/>
        <v>0</v>
      </c>
      <c r="BM121" s="199">
        <f t="shared" si="347"/>
        <v>-421864.31</v>
      </c>
      <c r="BN121" s="173">
        <f t="shared" si="347"/>
        <v>0</v>
      </c>
      <c r="BO121" s="241">
        <f t="shared" si="347"/>
        <v>-89623.9</v>
      </c>
      <c r="BP121" s="241">
        <f t="shared" si="347"/>
        <v>0</v>
      </c>
      <c r="BQ121" s="497">
        <f t="shared" si="347"/>
        <v>0</v>
      </c>
      <c r="BR121" s="199">
        <f t="shared" si="347"/>
        <v>-89623.9</v>
      </c>
      <c r="BS121" s="173">
        <f t="shared" si="347"/>
        <v>0</v>
      </c>
      <c r="BT121" s="241">
        <f t="shared" si="347"/>
        <v>0</v>
      </c>
      <c r="BU121" s="241">
        <f t="shared" si="347"/>
        <v>0</v>
      </c>
      <c r="BV121" s="241">
        <f t="shared" si="347"/>
        <v>0</v>
      </c>
      <c r="BW121" s="497">
        <f t="shared" si="347"/>
        <v>0</v>
      </c>
      <c r="BX121" s="199">
        <f t="shared" si="347"/>
        <v>0</v>
      </c>
      <c r="BY121" s="173">
        <f>BY118-BY112</f>
        <v>0</v>
      </c>
      <c r="BZ121" s="241">
        <f>BZ118-BZ112</f>
        <v>0</v>
      </c>
      <c r="CA121" s="199">
        <f t="shared" si="347"/>
        <v>0</v>
      </c>
      <c r="CB121" s="235">
        <f t="shared" si="347"/>
        <v>-243975.17999999993</v>
      </c>
      <c r="CC121" s="173">
        <f t="shared" si="347"/>
        <v>0</v>
      </c>
      <c r="CD121" s="241">
        <f t="shared" si="347"/>
        <v>-5.68</v>
      </c>
      <c r="CE121" s="241">
        <f t="shared" si="347"/>
        <v>24974</v>
      </c>
      <c r="CF121" s="199">
        <f t="shared" si="347"/>
        <v>24968.32</v>
      </c>
      <c r="CG121" s="173">
        <f t="shared" si="347"/>
        <v>0</v>
      </c>
      <c r="CH121" s="241">
        <f t="shared" si="347"/>
        <v>0</v>
      </c>
      <c r="CI121" s="241">
        <f t="shared" si="347"/>
        <v>-80000</v>
      </c>
      <c r="CJ121" s="497">
        <f t="shared" si="347"/>
        <v>0</v>
      </c>
      <c r="CK121" s="199">
        <f t="shared" si="347"/>
        <v>-80000</v>
      </c>
      <c r="CL121" s="173">
        <f t="shared" si="347"/>
        <v>0</v>
      </c>
      <c r="CM121" s="241">
        <f t="shared" si="347"/>
        <v>0</v>
      </c>
      <c r="CN121" s="241">
        <f t="shared" si="347"/>
        <v>21758.91</v>
      </c>
      <c r="CO121" s="241">
        <f t="shared" si="347"/>
        <v>0</v>
      </c>
      <c r="CP121" s="497">
        <f t="shared" si="347"/>
        <v>0</v>
      </c>
      <c r="CQ121" s="199">
        <f t="shared" si="347"/>
        <v>21758.91</v>
      </c>
      <c r="CR121" s="173">
        <f t="shared" si="347"/>
        <v>-23257.32</v>
      </c>
      <c r="CS121" s="241">
        <f t="shared" si="347"/>
        <v>0</v>
      </c>
      <c r="CT121" s="241">
        <f t="shared" si="347"/>
        <v>0</v>
      </c>
      <c r="CU121" s="241">
        <f t="shared" si="347"/>
        <v>0</v>
      </c>
      <c r="CV121" s="497">
        <f t="shared" si="347"/>
        <v>0</v>
      </c>
      <c r="CW121" s="199">
        <f t="shared" si="347"/>
        <v>-23257.32</v>
      </c>
      <c r="CX121" s="173">
        <f t="shared" si="347"/>
        <v>0</v>
      </c>
      <c r="CY121" s="241"/>
      <c r="CZ121" s="241">
        <f t="shared" si="347"/>
        <v>0</v>
      </c>
      <c r="DA121" s="497">
        <f t="shared" si="347"/>
        <v>0</v>
      </c>
      <c r="DB121" s="199">
        <f t="shared" si="347"/>
        <v>0</v>
      </c>
      <c r="DC121" s="235">
        <f t="shared" si="347"/>
        <v>-56530.09</v>
      </c>
      <c r="DD121" s="173">
        <f t="shared" si="347"/>
        <v>0</v>
      </c>
      <c r="DE121" s="241">
        <f t="shared" si="347"/>
        <v>0</v>
      </c>
      <c r="DF121" s="241">
        <f t="shared" si="347"/>
        <v>12487</v>
      </c>
      <c r="DG121" s="241">
        <f t="shared" si="347"/>
        <v>0</v>
      </c>
      <c r="DH121" s="241">
        <f t="shared" si="347"/>
        <v>0</v>
      </c>
      <c r="DI121" s="199">
        <f t="shared" si="347"/>
        <v>12487</v>
      </c>
      <c r="DJ121" s="173">
        <f t="shared" si="347"/>
        <v>0</v>
      </c>
      <c r="DK121" s="241">
        <f t="shared" si="347"/>
        <v>0</v>
      </c>
      <c r="DL121" s="241">
        <f t="shared" si="347"/>
        <v>0</v>
      </c>
      <c r="DM121" s="241">
        <f t="shared" si="347"/>
        <v>0</v>
      </c>
      <c r="DN121" s="497">
        <f t="shared" si="347"/>
        <v>0</v>
      </c>
      <c r="DO121" s="199">
        <f t="shared" si="347"/>
        <v>0</v>
      </c>
      <c r="DP121" s="173">
        <f t="shared" si="347"/>
        <v>107095.05</v>
      </c>
      <c r="DQ121" s="241">
        <f t="shared" si="347"/>
        <v>0</v>
      </c>
      <c r="DR121" s="241">
        <f t="shared" si="347"/>
        <v>0</v>
      </c>
      <c r="DS121" s="241">
        <f t="shared" si="347"/>
        <v>0</v>
      </c>
      <c r="DT121" s="497">
        <f t="shared" si="347"/>
        <v>11683.48</v>
      </c>
      <c r="DU121" s="199">
        <f t="shared" si="347"/>
        <v>118778.53</v>
      </c>
      <c r="DV121" s="173">
        <f t="shared" si="347"/>
        <v>82361.740000000005</v>
      </c>
      <c r="DW121" s="241">
        <f t="shared" si="347"/>
        <v>0</v>
      </c>
      <c r="DX121" s="241">
        <f t="shared" si="347"/>
        <v>-118879.47</v>
      </c>
      <c r="DY121" s="241">
        <f t="shared" si="347"/>
        <v>120141.85</v>
      </c>
      <c r="DZ121" s="497">
        <f t="shared" si="347"/>
        <v>0</v>
      </c>
      <c r="EA121" s="199">
        <f t="shared" si="347"/>
        <v>83624.120000000024</v>
      </c>
      <c r="EB121" s="235">
        <f t="shared" si="347"/>
        <v>214889.65</v>
      </c>
      <c r="EC121" s="173">
        <f t="shared" si="347"/>
        <v>0</v>
      </c>
      <c r="ED121" s="241">
        <f t="shared" si="347"/>
        <v>-82984.639999999999</v>
      </c>
      <c r="EE121" s="241">
        <f t="shared" si="347"/>
        <v>0</v>
      </c>
      <c r="EF121" s="241">
        <f t="shared" si="347"/>
        <v>12081.13</v>
      </c>
      <c r="EG121" s="497">
        <f t="shared" si="347"/>
        <v>-12</v>
      </c>
      <c r="EH121" s="199">
        <f t="shared" si="347"/>
        <v>-70915.509999999995</v>
      </c>
      <c r="EI121" s="173">
        <f t="shared" si="347"/>
        <v>-132572.87</v>
      </c>
      <c r="EJ121" s="241">
        <f t="shared" si="347"/>
        <v>0</v>
      </c>
      <c r="EK121" s="241">
        <f t="shared" si="347"/>
        <v>0</v>
      </c>
      <c r="EL121" s="241">
        <f t="shared" si="347"/>
        <v>0</v>
      </c>
      <c r="EM121" s="497">
        <f t="shared" si="347"/>
        <v>0</v>
      </c>
      <c r="EN121" s="199">
        <f t="shared" si="347"/>
        <v>-132572.87</v>
      </c>
      <c r="EO121" s="173">
        <f t="shared" si="347"/>
        <v>0</v>
      </c>
      <c r="EP121" s="241">
        <f t="shared" si="347"/>
        <v>0</v>
      </c>
      <c r="EQ121" s="241">
        <f t="shared" si="347"/>
        <v>0</v>
      </c>
      <c r="ER121" s="241">
        <f t="shared" si="347"/>
        <v>0</v>
      </c>
      <c r="ES121" s="497">
        <f t="shared" si="347"/>
        <v>0</v>
      </c>
      <c r="ET121" s="199">
        <f t="shared" si="347"/>
        <v>0</v>
      </c>
      <c r="EU121" s="173">
        <f t="shared" si="347"/>
        <v>0</v>
      </c>
      <c r="EV121" s="241">
        <f t="shared" si="347"/>
        <v>0</v>
      </c>
      <c r="EW121" s="241">
        <f t="shared" si="347"/>
        <v>0</v>
      </c>
      <c r="EX121" s="241">
        <f t="shared" si="347"/>
        <v>0</v>
      </c>
      <c r="EY121" s="241">
        <f t="shared" si="347"/>
        <v>0</v>
      </c>
      <c r="EZ121" s="241">
        <f>EZ118-EZ112</f>
        <v>0</v>
      </c>
      <c r="FA121" s="497">
        <f t="shared" si="347"/>
        <v>0</v>
      </c>
      <c r="FB121" s="199">
        <f t="shared" si="347"/>
        <v>0</v>
      </c>
      <c r="FC121" s="235">
        <f t="shared" si="347"/>
        <v>-203488.38</v>
      </c>
      <c r="FD121" s="173">
        <f t="shared" si="347"/>
        <v>0</v>
      </c>
      <c r="FE121" s="241">
        <f t="shared" si="347"/>
        <v>0</v>
      </c>
      <c r="FF121" s="497">
        <f t="shared" si="347"/>
        <v>-5.57</v>
      </c>
      <c r="FG121" s="199">
        <f t="shared" si="347"/>
        <v>-5.57</v>
      </c>
      <c r="FH121" s="173">
        <f t="shared" si="347"/>
        <v>0</v>
      </c>
      <c r="FI121" s="241">
        <f t="shared" si="347"/>
        <v>0</v>
      </c>
      <c r="FJ121" s="241">
        <f t="shared" si="347"/>
        <v>0</v>
      </c>
      <c r="FK121" s="241">
        <f t="shared" si="347"/>
        <v>0</v>
      </c>
      <c r="FL121" s="497">
        <f t="shared" si="347"/>
        <v>0</v>
      </c>
      <c r="FM121" s="199">
        <f t="shared" si="347"/>
        <v>0</v>
      </c>
      <c r="FN121" s="173">
        <f t="shared" si="347"/>
        <v>0</v>
      </c>
      <c r="FO121" s="241">
        <f t="shared" si="347"/>
        <v>0</v>
      </c>
      <c r="FP121" s="241">
        <f t="shared" si="347"/>
        <v>0</v>
      </c>
      <c r="FQ121" s="241">
        <f t="shared" si="347"/>
        <v>-5479.77</v>
      </c>
      <c r="FR121" s="199">
        <f t="shared" si="347"/>
        <v>-5479.77</v>
      </c>
      <c r="FS121" s="173">
        <f t="shared" si="347"/>
        <v>0</v>
      </c>
      <c r="FT121" s="241">
        <f t="shared" si="347"/>
        <v>0</v>
      </c>
      <c r="FU121" s="241">
        <f t="shared" si="347"/>
        <v>0</v>
      </c>
      <c r="FV121" s="241">
        <f t="shared" si="347"/>
        <v>39659.199999999997</v>
      </c>
      <c r="FW121" s="497">
        <f t="shared" si="347"/>
        <v>0</v>
      </c>
      <c r="FX121" s="199">
        <f t="shared" si="347"/>
        <v>39659.199999999997</v>
      </c>
      <c r="FY121" s="173">
        <f t="shared" ref="FY121:GD121" si="350">FY118-FY112</f>
        <v>0</v>
      </c>
      <c r="FZ121" s="241">
        <f t="shared" si="350"/>
        <v>-28004.959999999999</v>
      </c>
      <c r="GA121" s="241">
        <f t="shared" si="350"/>
        <v>-20</v>
      </c>
      <c r="GB121" s="241">
        <f t="shared" si="350"/>
        <v>-17840.5</v>
      </c>
      <c r="GC121" s="497">
        <f t="shared" si="350"/>
        <v>0</v>
      </c>
      <c r="GD121" s="199">
        <f t="shared" si="350"/>
        <v>-45865.46</v>
      </c>
      <c r="GE121" s="235">
        <f t="shared" si="347"/>
        <v>-11691.599999999999</v>
      </c>
      <c r="GF121" s="173">
        <f t="shared" si="347"/>
        <v>0</v>
      </c>
      <c r="GG121" s="241">
        <f t="shared" si="347"/>
        <v>0</v>
      </c>
      <c r="GH121" s="241">
        <f t="shared" si="347"/>
        <v>0</v>
      </c>
      <c r="GI121" s="241">
        <f t="shared" si="347"/>
        <v>0</v>
      </c>
      <c r="GJ121" s="241">
        <f t="shared" si="347"/>
        <v>0</v>
      </c>
      <c r="GK121" s="199">
        <f t="shared" si="347"/>
        <v>0</v>
      </c>
      <c r="GL121" s="173">
        <f t="shared" si="347"/>
        <v>0</v>
      </c>
      <c r="GM121" s="241">
        <f t="shared" si="347"/>
        <v>0</v>
      </c>
      <c r="GN121" s="241">
        <f t="shared" si="347"/>
        <v>164697.76</v>
      </c>
      <c r="GO121" s="497">
        <f t="shared" si="347"/>
        <v>0</v>
      </c>
      <c r="GP121" s="199">
        <f t="shared" si="347"/>
        <v>164697.76</v>
      </c>
      <c r="GQ121" s="173">
        <f t="shared" si="347"/>
        <v>0</v>
      </c>
      <c r="GR121" s="241">
        <f t="shared" si="347"/>
        <v>0</v>
      </c>
      <c r="GS121" s="241">
        <f t="shared" si="347"/>
        <v>0</v>
      </c>
      <c r="GT121" s="241">
        <f t="shared" si="347"/>
        <v>0</v>
      </c>
      <c r="GU121" s="497">
        <f t="shared" si="347"/>
        <v>205572.48000000001</v>
      </c>
      <c r="GV121" s="199">
        <f t="shared" si="347"/>
        <v>205572.48000000001</v>
      </c>
      <c r="GW121" s="173">
        <f t="shared" si="347"/>
        <v>-51448.586000000003</v>
      </c>
      <c r="GX121" s="241">
        <f t="shared" si="347"/>
        <v>0</v>
      </c>
      <c r="GY121" s="241">
        <f t="shared" si="347"/>
        <v>0</v>
      </c>
      <c r="GZ121" s="241">
        <f>GZ118-GZ112</f>
        <v>-174228.07</v>
      </c>
      <c r="HA121" s="241">
        <f>HA118-HA112</f>
        <v>0</v>
      </c>
      <c r="HB121" s="497">
        <f t="shared" si="347"/>
        <v>-77802.719999999987</v>
      </c>
      <c r="HC121" s="199">
        <f t="shared" si="347"/>
        <v>-303479.37599999999</v>
      </c>
      <c r="HD121" s="235">
        <f t="shared" si="347"/>
        <v>66790.864000000001</v>
      </c>
      <c r="HE121" s="173">
        <f t="shared" si="347"/>
        <v>0</v>
      </c>
      <c r="HF121" s="241">
        <f t="shared" si="347"/>
        <v>0</v>
      </c>
      <c r="HG121" s="241">
        <f t="shared" si="347"/>
        <v>0</v>
      </c>
      <c r="HH121" s="241">
        <f t="shared" si="347"/>
        <v>0</v>
      </c>
      <c r="HI121" s="199">
        <f t="shared" si="347"/>
        <v>0</v>
      </c>
      <c r="HJ121" s="173">
        <f t="shared" si="347"/>
        <v>-34874.959999999999</v>
      </c>
      <c r="HK121" s="241">
        <f t="shared" si="347"/>
        <v>0</v>
      </c>
      <c r="HL121" s="241">
        <f t="shared" si="347"/>
        <v>0</v>
      </c>
      <c r="HM121" s="241">
        <f t="shared" si="347"/>
        <v>11785.930320271968</v>
      </c>
      <c r="HN121" s="497">
        <f t="shared" si="347"/>
        <v>0</v>
      </c>
      <c r="HO121" s="199">
        <f t="shared" si="347"/>
        <v>-23089.029679728032</v>
      </c>
      <c r="HP121" s="173">
        <f t="shared" si="347"/>
        <v>0</v>
      </c>
      <c r="HQ121" s="241">
        <f t="shared" si="347"/>
        <v>0</v>
      </c>
      <c r="HR121" s="241">
        <f t="shared" si="347"/>
        <v>0</v>
      </c>
      <c r="HS121" s="241">
        <f t="shared" si="347"/>
        <v>0</v>
      </c>
      <c r="HT121" s="497">
        <f t="shared" si="347"/>
        <v>0</v>
      </c>
      <c r="HU121" s="199">
        <f t="shared" si="347"/>
        <v>0</v>
      </c>
      <c r="HV121" s="173">
        <f t="shared" si="347"/>
        <v>0</v>
      </c>
      <c r="HW121" s="241">
        <f t="shared" si="347"/>
        <v>0</v>
      </c>
      <c r="HX121" s="241">
        <f t="shared" si="347"/>
        <v>0</v>
      </c>
      <c r="HY121" s="199">
        <f t="shared" si="347"/>
        <v>0</v>
      </c>
      <c r="HZ121" s="173">
        <f t="shared" si="347"/>
        <v>0</v>
      </c>
      <c r="IA121" s="241">
        <f>IA118-IA112</f>
        <v>0</v>
      </c>
      <c r="IB121" s="497">
        <f>IB118-IB112</f>
        <v>66600.209999999992</v>
      </c>
      <c r="IC121" s="199">
        <f t="shared" si="347"/>
        <v>66600.209999999992</v>
      </c>
      <c r="ID121" s="235">
        <f t="shared" si="347"/>
        <v>43511.18032027196</v>
      </c>
      <c r="IE121" s="173">
        <f t="shared" si="347"/>
        <v>-111155.07999999999</v>
      </c>
      <c r="IF121" s="497">
        <f t="shared" si="347"/>
        <v>-5.47</v>
      </c>
      <c r="IG121" s="199">
        <f t="shared" si="347"/>
        <v>-111160.54999999999</v>
      </c>
      <c r="IH121" s="173">
        <f t="shared" si="347"/>
        <v>0</v>
      </c>
      <c r="II121" s="241">
        <f t="shared" si="347"/>
        <v>329337.51</v>
      </c>
      <c r="IJ121" s="241">
        <f t="shared" si="347"/>
        <v>-150025</v>
      </c>
      <c r="IK121" s="241">
        <f t="shared" si="347"/>
        <v>0</v>
      </c>
      <c r="IL121" s="497">
        <f t="shared" si="347"/>
        <v>0</v>
      </c>
      <c r="IM121" s="199">
        <f t="shared" si="347"/>
        <v>179312.51</v>
      </c>
      <c r="IN121" s="173">
        <f t="shared" si="347"/>
        <v>0</v>
      </c>
      <c r="IO121" s="241">
        <f t="shared" si="347"/>
        <v>0</v>
      </c>
      <c r="IP121" s="497">
        <f t="shared" si="347"/>
        <v>0</v>
      </c>
      <c r="IQ121" s="199">
        <f t="shared" si="347"/>
        <v>0</v>
      </c>
      <c r="IR121" s="173">
        <f t="shared" si="347"/>
        <v>-114621.10999999999</v>
      </c>
      <c r="IS121" s="241">
        <f t="shared" si="347"/>
        <v>0</v>
      </c>
      <c r="IT121" s="241">
        <f t="shared" si="347"/>
        <v>0</v>
      </c>
      <c r="IU121" s="241">
        <f t="shared" si="347"/>
        <v>0</v>
      </c>
      <c r="IV121" s="497">
        <f t="shared" si="347"/>
        <v>0</v>
      </c>
      <c r="IW121" s="199">
        <f t="shared" si="347"/>
        <v>-114621.10999999999</v>
      </c>
      <c r="IX121" s="173">
        <f t="shared" si="347"/>
        <v>0</v>
      </c>
      <c r="IY121" s="241">
        <f t="shared" si="347"/>
        <v>21964</v>
      </c>
      <c r="IZ121" s="241">
        <f t="shared" si="347"/>
        <v>0</v>
      </c>
      <c r="JA121" s="241">
        <f t="shared" si="347"/>
        <v>-84448.55</v>
      </c>
      <c r="JB121" s="497">
        <f t="shared" si="347"/>
        <v>0</v>
      </c>
      <c r="JC121" s="199">
        <f t="shared" si="347"/>
        <v>-62484.55</v>
      </c>
      <c r="JD121" s="235">
        <f t="shared" si="347"/>
        <v>-108953.6999999999</v>
      </c>
      <c r="JE121" s="173">
        <f t="shared" si="347"/>
        <v>0</v>
      </c>
      <c r="JF121" s="241">
        <f t="shared" si="347"/>
        <v>0</v>
      </c>
      <c r="JG121" s="241">
        <f t="shared" si="347"/>
        <v>64513.94</v>
      </c>
      <c r="JH121" s="241">
        <f t="shared" si="347"/>
        <v>0</v>
      </c>
      <c r="JI121" s="497">
        <f t="shared" si="347"/>
        <v>0</v>
      </c>
      <c r="JJ121" s="199">
        <f t="shared" si="347"/>
        <v>64513.94</v>
      </c>
      <c r="JK121" s="434">
        <f t="shared" si="347"/>
        <v>0</v>
      </c>
      <c r="JL121" s="435">
        <f t="shared" si="347"/>
        <v>0</v>
      </c>
      <c r="JM121" s="435">
        <f t="shared" si="347"/>
        <v>0</v>
      </c>
      <c r="JN121" s="435">
        <f t="shared" si="347"/>
        <v>0</v>
      </c>
      <c r="JO121" s="436">
        <f t="shared" si="347"/>
        <v>0</v>
      </c>
      <c r="JP121" s="149">
        <f t="shared" si="347"/>
        <v>0</v>
      </c>
      <c r="JQ121" s="434">
        <f t="shared" si="347"/>
        <v>0</v>
      </c>
      <c r="JR121" s="435">
        <f t="shared" si="347"/>
        <v>0</v>
      </c>
      <c r="JS121" s="435">
        <f t="shared" si="347"/>
        <v>0</v>
      </c>
      <c r="JT121" s="435">
        <f t="shared" si="347"/>
        <v>0</v>
      </c>
      <c r="JU121" s="436">
        <f t="shared" si="347"/>
        <v>0</v>
      </c>
      <c r="JV121" s="149">
        <f t="shared" si="347"/>
        <v>0</v>
      </c>
      <c r="JW121" s="434">
        <f t="shared" si="347"/>
        <v>0</v>
      </c>
      <c r="JX121" s="435">
        <f t="shared" si="347"/>
        <v>0</v>
      </c>
      <c r="JY121" s="435">
        <f t="shared" si="347"/>
        <v>0</v>
      </c>
      <c r="JZ121" s="435">
        <f t="shared" si="347"/>
        <v>0</v>
      </c>
      <c r="KA121" s="435"/>
      <c r="KB121" s="436">
        <f t="shared" si="347"/>
        <v>0</v>
      </c>
      <c r="KC121" s="149">
        <f t="shared" si="347"/>
        <v>0</v>
      </c>
      <c r="KD121" s="149" t="e">
        <f t="shared" si="347"/>
        <v>#REF!</v>
      </c>
      <c r="KE121" s="434">
        <f t="shared" si="347"/>
        <v>0</v>
      </c>
      <c r="KF121" s="435">
        <f t="shared" si="347"/>
        <v>0</v>
      </c>
      <c r="KG121" s="435">
        <f t="shared" si="347"/>
        <v>0</v>
      </c>
      <c r="KH121" s="435">
        <f t="shared" si="347"/>
        <v>0</v>
      </c>
      <c r="KI121" s="436">
        <f t="shared" si="347"/>
        <v>0</v>
      </c>
      <c r="KJ121" s="149">
        <f t="shared" si="347"/>
        <v>0</v>
      </c>
      <c r="KK121" s="434">
        <f t="shared" si="347"/>
        <v>0</v>
      </c>
      <c r="KL121" s="435">
        <f t="shared" ref="KL121:LF121" si="351">KL118-KL112</f>
        <v>0</v>
      </c>
      <c r="KM121" s="435">
        <f t="shared" si="351"/>
        <v>0</v>
      </c>
      <c r="KN121" s="435">
        <f t="shared" si="351"/>
        <v>0</v>
      </c>
      <c r="KO121" s="436">
        <f t="shared" si="351"/>
        <v>0</v>
      </c>
      <c r="KP121" s="149">
        <f t="shared" si="351"/>
        <v>0</v>
      </c>
      <c r="KQ121" s="434">
        <f t="shared" si="351"/>
        <v>0</v>
      </c>
      <c r="KR121" s="435">
        <f t="shared" si="351"/>
        <v>0</v>
      </c>
      <c r="KS121" s="435">
        <f t="shared" si="351"/>
        <v>0</v>
      </c>
      <c r="KT121" s="435">
        <f t="shared" si="351"/>
        <v>0</v>
      </c>
      <c r="KU121" s="436">
        <f t="shared" si="351"/>
        <v>0</v>
      </c>
      <c r="KV121" s="149">
        <f t="shared" si="351"/>
        <v>0</v>
      </c>
      <c r="KW121" s="434">
        <f t="shared" si="351"/>
        <v>0</v>
      </c>
      <c r="KX121" s="435">
        <f t="shared" si="351"/>
        <v>0</v>
      </c>
      <c r="KY121" s="435">
        <f t="shared" si="351"/>
        <v>0</v>
      </c>
      <c r="KZ121" s="435">
        <f t="shared" si="351"/>
        <v>0</v>
      </c>
      <c r="LA121" s="436">
        <f t="shared" si="351"/>
        <v>0</v>
      </c>
      <c r="LB121" s="149">
        <f t="shared" si="351"/>
        <v>0</v>
      </c>
      <c r="LC121" s="434">
        <f t="shared" si="351"/>
        <v>0</v>
      </c>
      <c r="LD121" s="435">
        <f t="shared" si="351"/>
        <v>0</v>
      </c>
      <c r="LE121" s="436">
        <f t="shared" si="351"/>
        <v>0</v>
      </c>
      <c r="LF121" s="149">
        <f t="shared" si="351"/>
        <v>0</v>
      </c>
      <c r="LG121" s="149">
        <f t="shared" si="347"/>
        <v>-61403.508771929803</v>
      </c>
      <c r="LI121" s="16"/>
    </row>
    <row r="122" spans="2:321" s="91" customFormat="1">
      <c r="B122" s="365" t="s">
        <v>373</v>
      </c>
      <c r="C122" s="174">
        <v>169240.23</v>
      </c>
      <c r="D122" s="174">
        <v>169240.23</v>
      </c>
      <c r="J122" s="201"/>
      <c r="O122" s="201"/>
      <c r="U122" s="201"/>
      <c r="AA122" s="201"/>
      <c r="AB122" s="174">
        <v>169240.23</v>
      </c>
      <c r="AC122" s="207"/>
      <c r="AD122" s="207"/>
      <c r="AE122" s="207"/>
      <c r="AF122" s="207"/>
      <c r="AG122" s="207"/>
      <c r="AH122" s="207"/>
      <c r="AI122" s="207"/>
      <c r="AJ122" s="207"/>
      <c r="AK122" s="207"/>
      <c r="AL122" s="207"/>
      <c r="AM122" s="207"/>
      <c r="AN122" s="207"/>
      <c r="AO122" s="207"/>
      <c r="AP122" s="207"/>
      <c r="AQ122" s="207"/>
      <c r="AR122" s="207"/>
      <c r="AS122" s="207"/>
      <c r="AT122" s="207"/>
      <c r="AU122" s="207"/>
      <c r="AV122" s="207"/>
      <c r="AW122" s="207"/>
      <c r="AX122" s="207"/>
      <c r="AY122" s="207"/>
      <c r="AZ122" s="207"/>
      <c r="BA122" s="201"/>
      <c r="BB122" s="201"/>
      <c r="BC122" s="201"/>
      <c r="BD122" s="201"/>
      <c r="BE122" s="201"/>
      <c r="BF122" s="201"/>
      <c r="BG122" s="201"/>
      <c r="BH122" s="201"/>
      <c r="BI122" s="201"/>
      <c r="BJ122" s="201"/>
      <c r="BK122" s="201"/>
      <c r="BL122" s="201"/>
      <c r="BM122" s="201"/>
      <c r="BN122" s="201"/>
      <c r="BO122" s="201"/>
      <c r="BP122" s="201"/>
      <c r="BQ122" s="201"/>
      <c r="BR122" s="201"/>
      <c r="BS122" s="201"/>
      <c r="BT122" s="201"/>
      <c r="BU122" s="201"/>
      <c r="BV122" s="201"/>
      <c r="BW122" s="201"/>
      <c r="BX122" s="201"/>
      <c r="BY122" s="201"/>
      <c r="BZ122" s="201"/>
      <c r="CA122" s="201"/>
      <c r="CB122" s="201"/>
      <c r="CC122" s="201"/>
      <c r="CD122" s="201"/>
      <c r="CE122" s="201"/>
      <c r="CF122" s="201"/>
      <c r="CG122" s="201"/>
      <c r="CH122" s="201"/>
      <c r="CI122" s="201"/>
      <c r="CJ122" s="201"/>
      <c r="CK122" s="201"/>
      <c r="CL122" s="201"/>
      <c r="CM122" s="201"/>
      <c r="CN122" s="201"/>
      <c r="CO122" s="201"/>
      <c r="CP122" s="201"/>
      <c r="CQ122" s="201"/>
      <c r="CR122" s="201"/>
      <c r="CS122" s="201"/>
      <c r="CT122" s="201"/>
      <c r="CU122" s="201"/>
      <c r="CV122" s="201"/>
      <c r="CW122" s="201"/>
      <c r="CX122" s="201"/>
      <c r="CY122" s="201"/>
      <c r="CZ122" s="201"/>
      <c r="DA122" s="201"/>
      <c r="DB122" s="201"/>
      <c r="DC122" s="201"/>
      <c r="DD122" s="201"/>
      <c r="DE122" s="201"/>
      <c r="DF122" s="201"/>
      <c r="DG122" s="201"/>
      <c r="DH122" s="201"/>
      <c r="DI122" s="201"/>
      <c r="DJ122" s="201"/>
      <c r="DK122" s="201"/>
      <c r="DL122" s="201"/>
      <c r="DM122" s="201"/>
      <c r="DN122" s="201"/>
      <c r="DO122" s="201"/>
      <c r="DP122" s="201"/>
      <c r="DQ122" s="201"/>
      <c r="DR122" s="201"/>
      <c r="DS122" s="201"/>
      <c r="DT122" s="201"/>
      <c r="DU122" s="201"/>
      <c r="DV122" s="201"/>
      <c r="DW122" s="201"/>
      <c r="DX122" s="201"/>
      <c r="DY122" s="201"/>
      <c r="DZ122" s="201"/>
      <c r="EA122" s="201"/>
      <c r="EB122" s="201"/>
      <c r="EC122" s="201"/>
      <c r="ED122" s="201"/>
      <c r="EE122" s="201"/>
      <c r="EF122" s="201"/>
      <c r="EG122" s="201"/>
      <c r="EH122" s="201"/>
      <c r="EI122" s="201"/>
      <c r="EJ122" s="201"/>
      <c r="EK122" s="201"/>
      <c r="EL122" s="201"/>
      <c r="EM122" s="201"/>
      <c r="EN122" s="201"/>
      <c r="EO122" s="201"/>
      <c r="EP122" s="201"/>
      <c r="EQ122" s="201"/>
      <c r="ER122" s="201"/>
      <c r="ES122" s="201"/>
      <c r="ET122" s="201"/>
      <c r="EU122" s="201"/>
      <c r="EV122" s="201"/>
      <c r="EW122" s="201"/>
      <c r="EX122" s="201"/>
      <c r="EY122" s="201"/>
      <c r="EZ122" s="201"/>
      <c r="FA122" s="201"/>
      <c r="FB122" s="201"/>
      <c r="FC122" s="201"/>
      <c r="FD122" s="201"/>
      <c r="FE122" s="201"/>
      <c r="FF122" s="201"/>
      <c r="FG122" s="201"/>
      <c r="FH122" s="201"/>
      <c r="FI122" s="201"/>
      <c r="FJ122" s="201"/>
      <c r="FK122" s="201"/>
      <c r="FL122" s="201"/>
      <c r="FM122" s="201"/>
      <c r="FN122" s="201"/>
      <c r="FO122" s="201"/>
      <c r="FP122" s="201"/>
      <c r="FQ122" s="201"/>
      <c r="FR122" s="201"/>
      <c r="FS122" s="201"/>
      <c r="FT122" s="201"/>
      <c r="FU122" s="201"/>
      <c r="FV122" s="201"/>
      <c r="FW122" s="201"/>
      <c r="FX122" s="201"/>
      <c r="FY122" s="201"/>
      <c r="FZ122" s="201"/>
      <c r="GA122" s="201"/>
      <c r="GB122" s="201"/>
      <c r="GC122" s="201"/>
      <c r="GD122" s="201"/>
      <c r="GE122" s="201"/>
      <c r="GF122" s="201"/>
      <c r="GG122" s="201"/>
      <c r="GH122" s="201"/>
      <c r="GI122" s="201"/>
      <c r="GJ122" s="201"/>
      <c r="GK122" s="201"/>
      <c r="GL122" s="201"/>
      <c r="GM122" s="201"/>
      <c r="GN122" s="201"/>
      <c r="GO122" s="201"/>
      <c r="GP122" s="201"/>
      <c r="GQ122" s="201"/>
      <c r="GR122" s="201"/>
      <c r="GS122" s="201"/>
      <c r="GT122" s="201"/>
      <c r="GU122" s="201"/>
      <c r="GV122" s="201"/>
      <c r="GW122" s="201"/>
      <c r="GX122" s="201"/>
      <c r="GY122" s="201"/>
      <c r="GZ122" s="201"/>
      <c r="HA122" s="201"/>
      <c r="HB122" s="201"/>
      <c r="HC122" s="201"/>
      <c r="HD122" s="201"/>
      <c r="HE122" s="201"/>
      <c r="HF122" s="201"/>
      <c r="HG122" s="201"/>
      <c r="HH122" s="201"/>
      <c r="HI122" s="201"/>
      <c r="HJ122" s="201"/>
      <c r="HK122" s="201"/>
      <c r="HL122" s="201"/>
      <c r="HM122" s="201"/>
      <c r="HN122" s="201"/>
      <c r="HO122" s="201"/>
      <c r="HP122" s="201"/>
      <c r="HQ122" s="201"/>
      <c r="HR122" s="201"/>
      <c r="HS122" s="201"/>
      <c r="HT122" s="201"/>
      <c r="HU122" s="201"/>
      <c r="HV122" s="201"/>
      <c r="HW122" s="201"/>
      <c r="HX122" s="201"/>
      <c r="HY122" s="201"/>
      <c r="HZ122" s="201"/>
      <c r="IA122" s="201"/>
      <c r="IB122" s="201"/>
      <c r="IC122" s="201"/>
      <c r="ID122" s="201"/>
      <c r="IE122" s="201"/>
      <c r="IF122" s="201"/>
      <c r="IG122" s="201"/>
      <c r="IH122" s="201"/>
      <c r="II122" s="201"/>
      <c r="IJ122" s="201"/>
      <c r="IK122" s="201"/>
      <c r="IL122" s="201"/>
      <c r="IM122" s="201"/>
      <c r="IN122" s="201"/>
      <c r="IO122" s="201"/>
      <c r="IP122" s="201"/>
      <c r="IQ122" s="201"/>
      <c r="IR122" s="201"/>
      <c r="IS122" s="201"/>
      <c r="IT122" s="201"/>
      <c r="IU122" s="201"/>
      <c r="IV122" s="201"/>
      <c r="IW122" s="201"/>
      <c r="IX122" s="201"/>
      <c r="IY122" s="201"/>
      <c r="IZ122" s="201"/>
      <c r="JA122" s="201"/>
      <c r="JB122" s="201"/>
      <c r="JC122" s="201"/>
      <c r="JD122" s="201"/>
      <c r="JE122" s="201"/>
      <c r="JF122" s="201"/>
      <c r="JG122" s="201"/>
      <c r="JH122" s="201"/>
      <c r="JI122" s="201"/>
      <c r="JJ122" s="201"/>
      <c r="JK122" s="201"/>
      <c r="JL122" s="201"/>
      <c r="JM122" s="201"/>
      <c r="JN122" s="201"/>
      <c r="JO122" s="201"/>
      <c r="JP122" s="201"/>
      <c r="JQ122" s="201"/>
      <c r="JR122" s="201"/>
      <c r="JS122" s="201"/>
      <c r="JT122" s="201"/>
      <c r="JU122" s="201"/>
      <c r="JV122" s="201"/>
      <c r="JW122" s="201"/>
      <c r="JX122" s="201"/>
      <c r="JY122" s="201"/>
      <c r="JZ122" s="201"/>
      <c r="KA122" s="201"/>
      <c r="KB122" s="201"/>
      <c r="KC122" s="201"/>
      <c r="KD122" s="201"/>
      <c r="KE122" s="201"/>
      <c r="KF122" s="201"/>
      <c r="KG122" s="201"/>
      <c r="KH122" s="201"/>
      <c r="KI122" s="201"/>
      <c r="KJ122" s="201"/>
      <c r="KK122" s="201"/>
      <c r="KL122" s="201"/>
      <c r="KM122" s="201"/>
      <c r="KN122" s="201"/>
      <c r="KO122" s="201"/>
      <c r="KP122" s="201"/>
      <c r="KQ122" s="201"/>
      <c r="KR122" s="201"/>
      <c r="KS122" s="201"/>
      <c r="KT122" s="201"/>
      <c r="KU122" s="201"/>
      <c r="KV122" s="201"/>
      <c r="KW122" s="201"/>
      <c r="KX122" s="201"/>
      <c r="KY122" s="201"/>
      <c r="KZ122" s="201"/>
      <c r="LA122" s="201"/>
      <c r="LB122" s="201"/>
      <c r="LC122" s="201"/>
      <c r="LD122" s="201"/>
      <c r="LE122" s="201"/>
      <c r="LF122" s="201"/>
      <c r="LG122" s="201"/>
    </row>
    <row r="123" spans="2:321" s="91" customFormat="1">
      <c r="B123" s="366" t="s">
        <v>168</v>
      </c>
      <c r="C123" s="175">
        <f>C122+C121</f>
        <v>169240.23</v>
      </c>
      <c r="D123" s="442">
        <f>+C122+D121</f>
        <v>169240.23</v>
      </c>
      <c r="E123" s="175">
        <f>D123+E121</f>
        <v>169240.23</v>
      </c>
      <c r="F123" s="175">
        <f>E123+F121</f>
        <v>169240.23</v>
      </c>
      <c r="G123" s="175">
        <f>F123+G121</f>
        <v>169240.23</v>
      </c>
      <c r="H123" s="175">
        <f>G123+H121</f>
        <v>169240.23</v>
      </c>
      <c r="I123" s="175">
        <f>H123+I121</f>
        <v>160667.73000000001</v>
      </c>
      <c r="J123" s="175">
        <f>D123+J121</f>
        <v>160667.73000000001</v>
      </c>
      <c r="K123" s="175">
        <f>J123+K121</f>
        <v>160667.73000000001</v>
      </c>
      <c r="L123" s="175">
        <f>K123+L121</f>
        <v>160667.73000000001</v>
      </c>
      <c r="M123" s="175">
        <f>L123+M121</f>
        <v>160662.30000000002</v>
      </c>
      <c r="N123" s="175">
        <f>M123+N121</f>
        <v>147662.30000000002</v>
      </c>
      <c r="O123" s="175">
        <f>+J123+O121</f>
        <v>147662.30000000002</v>
      </c>
      <c r="P123" s="175">
        <f>+O123+P121</f>
        <v>147662.30000000002</v>
      </c>
      <c r="Q123" s="175">
        <f>+P123+Q121</f>
        <v>147662.30000000002</v>
      </c>
      <c r="R123" s="175">
        <f>+Q123+R121</f>
        <v>147662.30000000002</v>
      </c>
      <c r="S123" s="175">
        <f>+R123+S121</f>
        <v>147662.30000000002</v>
      </c>
      <c r="T123" s="175">
        <f>+S123+T121</f>
        <v>147662.30000000002</v>
      </c>
      <c r="U123" s="175">
        <f>+O123+U121</f>
        <v>147662.30000000002</v>
      </c>
      <c r="V123" s="175">
        <f>+U123+V121</f>
        <v>666087.93000000005</v>
      </c>
      <c r="W123" s="175">
        <f>+V123+W121</f>
        <v>666087.93000000005</v>
      </c>
      <c r="X123" s="175">
        <f>+W123+X121</f>
        <v>676539.01</v>
      </c>
      <c r="Y123" s="175">
        <f>+X123+Y121</f>
        <v>676539.01</v>
      </c>
      <c r="Z123" s="175">
        <f>+Y123+Z121</f>
        <v>609782.05000000005</v>
      </c>
      <c r="AA123" s="175">
        <f>+U123+AA121</f>
        <v>609782.05000000005</v>
      </c>
      <c r="AB123" s="175">
        <f>+C122+AB121</f>
        <v>609782.05000000005</v>
      </c>
      <c r="AC123" s="175">
        <f>AB123+AC121</f>
        <v>609782.05000000005</v>
      </c>
      <c r="AD123" s="175">
        <f>AC123+AD121</f>
        <v>90523.090000000026</v>
      </c>
      <c r="AE123" s="175">
        <f>AD123+AE121</f>
        <v>90523.090000000026</v>
      </c>
      <c r="AF123" s="175">
        <f>AE123+AF121</f>
        <v>98547.090000000026</v>
      </c>
      <c r="AG123" s="175">
        <f>AF123+AG121</f>
        <v>98547.090000000026</v>
      </c>
      <c r="AH123" s="175">
        <f>AB123+AH121</f>
        <v>98547.090000000026</v>
      </c>
      <c r="AI123" s="175">
        <f>AH123+AI121</f>
        <v>98547.090000000026</v>
      </c>
      <c r="AJ123" s="175">
        <f>AI123+AJ121</f>
        <v>98534.090000000026</v>
      </c>
      <c r="AK123" s="175">
        <f>AJ123+AK121</f>
        <v>98534.090000000026</v>
      </c>
      <c r="AL123" s="175">
        <f>AK123+AL121</f>
        <v>98534.090000000026</v>
      </c>
      <c r="AM123" s="175">
        <f>AL123+AM121</f>
        <v>98534.090000000026</v>
      </c>
      <c r="AN123" s="175">
        <f>AH123+AN121</f>
        <v>98534.090000000026</v>
      </c>
      <c r="AO123" s="175">
        <f>AN123+AO121</f>
        <v>98534.090000000026</v>
      </c>
      <c r="AP123" s="175">
        <f>AO123+AP121</f>
        <v>98534.090000000026</v>
      </c>
      <c r="AQ123" s="175">
        <f>AP123+AQ121</f>
        <v>111009.09000000003</v>
      </c>
      <c r="AR123" s="175">
        <f>AQ123+AR121</f>
        <v>111009.09000000003</v>
      </c>
      <c r="AS123" s="175">
        <f>AR123+AS121</f>
        <v>447264.09</v>
      </c>
      <c r="AT123" s="175">
        <f>AN123+AT121</f>
        <v>447264.09</v>
      </c>
      <c r="AU123" s="175">
        <f>AT123+AU121</f>
        <v>297239.09000000003</v>
      </c>
      <c r="AV123" s="175">
        <f>AU123+AV121</f>
        <v>297239.09000000003</v>
      </c>
      <c r="AW123" s="175">
        <f>AV123+AW121</f>
        <v>297227.09000000003</v>
      </c>
      <c r="AX123" s="175">
        <f>AW123+AX121</f>
        <v>290051.60000000003</v>
      </c>
      <c r="AY123" s="175">
        <f>AX123+AY121</f>
        <v>302439.60000000003</v>
      </c>
      <c r="AZ123" s="175">
        <f>AT123+AZ121</f>
        <v>302439.60000000003</v>
      </c>
      <c r="BA123" s="175">
        <f>AB123+BA121</f>
        <v>302439.60000000009</v>
      </c>
      <c r="BB123" s="175">
        <f>BA123+BB121</f>
        <v>302439.60000000009</v>
      </c>
      <c r="BC123" s="175">
        <f>BB123+BC121</f>
        <v>302439.60000000009</v>
      </c>
      <c r="BD123" s="175">
        <f>BC123+BD121</f>
        <v>234039.38000000009</v>
      </c>
      <c r="BE123" s="175">
        <f>BD123+BE121</f>
        <v>402745.38000000012</v>
      </c>
      <c r="BF123" s="175">
        <f>BE123+BF121</f>
        <v>569952.63000000012</v>
      </c>
      <c r="BG123" s="175">
        <f>BA123+BG121</f>
        <v>569952.63000000012</v>
      </c>
      <c r="BH123" s="175">
        <f>BG123+BH121</f>
        <v>569952.63000000012</v>
      </c>
      <c r="BI123" s="175">
        <f>BH123+BI121</f>
        <v>569952.63000000012</v>
      </c>
      <c r="BJ123" s="175">
        <f>BI123+BJ121</f>
        <v>448088.32000000012</v>
      </c>
      <c r="BK123" s="175">
        <f>BJ123+BK121</f>
        <v>148088.32000000012</v>
      </c>
      <c r="BL123" s="175">
        <f>BK123+BL121</f>
        <v>148088.32000000012</v>
      </c>
      <c r="BM123" s="175">
        <f>BG123+BM121</f>
        <v>148088.32000000012</v>
      </c>
      <c r="BN123" s="175">
        <f>BM123+BN121</f>
        <v>148088.32000000012</v>
      </c>
      <c r="BO123" s="175">
        <f>BN123+BO121</f>
        <v>58464.420000000129</v>
      </c>
      <c r="BP123" s="175">
        <f>BO123+BP121</f>
        <v>58464.420000000129</v>
      </c>
      <c r="BQ123" s="175">
        <f>BP123+BQ121</f>
        <v>58464.420000000129</v>
      </c>
      <c r="BR123" s="175">
        <f>BM123+BR121</f>
        <v>58464.420000000129</v>
      </c>
      <c r="BS123" s="175">
        <f>BR123+BS121</f>
        <v>58464.420000000129</v>
      </c>
      <c r="BT123" s="175">
        <f>BS123+BT121</f>
        <v>58464.420000000129</v>
      </c>
      <c r="BU123" s="175">
        <f>BT123+BU121</f>
        <v>58464.420000000129</v>
      </c>
      <c r="BV123" s="175">
        <f>BU123+BV121</f>
        <v>58464.420000000129</v>
      </c>
      <c r="BW123" s="175">
        <f>BV123+BW121</f>
        <v>58464.420000000129</v>
      </c>
      <c r="BX123" s="175">
        <f>BR123+BX121</f>
        <v>58464.420000000129</v>
      </c>
      <c r="BY123" s="175">
        <f>BX123+BY121</f>
        <v>58464.420000000129</v>
      </c>
      <c r="BZ123" s="175">
        <f>BY123+BZ121</f>
        <v>58464.420000000129</v>
      </c>
      <c r="CA123" s="175">
        <f>BX123+CA121</f>
        <v>58464.420000000129</v>
      </c>
      <c r="CB123" s="175">
        <f>+BA123+CB121</f>
        <v>58464.420000000158</v>
      </c>
      <c r="CC123" s="175">
        <f>CB123+CC121</f>
        <v>58464.420000000158</v>
      </c>
      <c r="CD123" s="175">
        <f>CC123+CD121</f>
        <v>58458.740000000158</v>
      </c>
      <c r="CE123" s="175">
        <f>CD123+CE121</f>
        <v>83432.740000000165</v>
      </c>
      <c r="CF123" s="175">
        <f>+CB123+CF121</f>
        <v>83432.740000000165</v>
      </c>
      <c r="CG123" s="175">
        <f>CF123+CG121</f>
        <v>83432.740000000165</v>
      </c>
      <c r="CH123" s="175">
        <f>CG123+CH121</f>
        <v>83432.740000000165</v>
      </c>
      <c r="CI123" s="175">
        <f>CH123+CI121</f>
        <v>3432.7400000001653</v>
      </c>
      <c r="CJ123" s="175">
        <f>CI123+CJ121</f>
        <v>3432.7400000001653</v>
      </c>
      <c r="CK123" s="175">
        <f>+CF123+CK121</f>
        <v>3432.7400000001653</v>
      </c>
      <c r="CL123" s="175">
        <f>+CK123+CL121</f>
        <v>3432.7400000001653</v>
      </c>
      <c r="CM123" s="175">
        <f>+CL123+CM121</f>
        <v>3432.7400000001653</v>
      </c>
      <c r="CN123" s="175">
        <f>+CM123+CN121</f>
        <v>25191.650000000165</v>
      </c>
      <c r="CO123" s="175">
        <f>+CN123+CO121</f>
        <v>25191.650000000165</v>
      </c>
      <c r="CP123" s="175">
        <f>+CO123+CP121</f>
        <v>25191.650000000165</v>
      </c>
      <c r="CQ123" s="175">
        <f>+CK123+CQ121</f>
        <v>25191.650000000165</v>
      </c>
      <c r="CR123" s="175">
        <f>CQ123+CR121</f>
        <v>1934.3300000001655</v>
      </c>
      <c r="CS123" s="175">
        <f>CR123+CS121</f>
        <v>1934.3300000001655</v>
      </c>
      <c r="CT123" s="175">
        <f>CS123+CT121</f>
        <v>1934.3300000001655</v>
      </c>
      <c r="CU123" s="175">
        <f>CT123+CU121</f>
        <v>1934.3300000001655</v>
      </c>
      <c r="CV123" s="175">
        <f>CU123+CV121</f>
        <v>1934.3300000001655</v>
      </c>
      <c r="CW123" s="175">
        <f>+CQ123+CW121</f>
        <v>1934.3300000001655</v>
      </c>
      <c r="CX123" s="175">
        <f>CW123+CX121</f>
        <v>1934.3300000001655</v>
      </c>
      <c r="CY123" s="175">
        <f>CX123+CY121</f>
        <v>1934.3300000001655</v>
      </c>
      <c r="CZ123" s="175">
        <f>CY123+CZ121</f>
        <v>1934.3300000001655</v>
      </c>
      <c r="DA123" s="175">
        <f>CZ123+DA121</f>
        <v>1934.3300000001655</v>
      </c>
      <c r="DB123" s="175">
        <f>+CW123+DB121</f>
        <v>1934.3300000001655</v>
      </c>
      <c r="DC123" s="175">
        <f>+CB123+DC121</f>
        <v>1934.3300000001618</v>
      </c>
      <c r="DD123" s="175">
        <f>DC123+DD121</f>
        <v>1934.3300000001618</v>
      </c>
      <c r="DE123" s="175">
        <f>DD123+DE121</f>
        <v>1934.3300000001618</v>
      </c>
      <c r="DF123" s="175">
        <f>DE123+DF121</f>
        <v>14421.330000000162</v>
      </c>
      <c r="DG123" s="175">
        <f>DF123+DG121</f>
        <v>14421.330000000162</v>
      </c>
      <c r="DH123" s="175">
        <f>DG123+DH121</f>
        <v>14421.330000000162</v>
      </c>
      <c r="DI123" s="175">
        <f>DC123+DI121</f>
        <v>14421.330000000162</v>
      </c>
      <c r="DJ123" s="175">
        <f>DI123+DJ121</f>
        <v>14421.330000000162</v>
      </c>
      <c r="DK123" s="175">
        <f>DJ123+DK121</f>
        <v>14421.330000000162</v>
      </c>
      <c r="DL123" s="175">
        <f>DK123+DL121</f>
        <v>14421.330000000162</v>
      </c>
      <c r="DM123" s="175">
        <f>DL123+DM121</f>
        <v>14421.330000000162</v>
      </c>
      <c r="DN123" s="175">
        <f>DM123+DN121</f>
        <v>14421.330000000162</v>
      </c>
      <c r="DO123" s="175">
        <f>DI123+DO121</f>
        <v>14421.330000000162</v>
      </c>
      <c r="DP123" s="175">
        <f>DO123+DP121</f>
        <v>121516.38000000016</v>
      </c>
      <c r="DQ123" s="175">
        <f>DP123+DQ121</f>
        <v>121516.38000000016</v>
      </c>
      <c r="DR123" s="175">
        <f>DQ123+DR121</f>
        <v>121516.38000000016</v>
      </c>
      <c r="DS123" s="175">
        <f>DR123+DS121</f>
        <v>121516.38000000016</v>
      </c>
      <c r="DT123" s="175">
        <f>DS123+DT121</f>
        <v>133199.86000000016</v>
      </c>
      <c r="DU123" s="175">
        <f>DO123+DU121</f>
        <v>133199.86000000016</v>
      </c>
      <c r="DV123" s="175">
        <f>DU123+DV121</f>
        <v>215561.60000000015</v>
      </c>
      <c r="DW123" s="175">
        <f>DV123+DW121</f>
        <v>215561.60000000015</v>
      </c>
      <c r="DX123" s="175">
        <f>DW123+DX121</f>
        <v>96682.13000000015</v>
      </c>
      <c r="DY123" s="175">
        <f>DX123+DY121</f>
        <v>216823.98000000016</v>
      </c>
      <c r="DZ123" s="175">
        <f>DY123+DZ121</f>
        <v>216823.98000000016</v>
      </c>
      <c r="EA123" s="175">
        <f>DU123+EA121</f>
        <v>216823.98000000019</v>
      </c>
      <c r="EB123" s="175">
        <f>DC123+EB121</f>
        <v>216823.98000000016</v>
      </c>
      <c r="EC123" s="175">
        <f>EB123+EC121</f>
        <v>216823.98000000016</v>
      </c>
      <c r="ED123" s="175">
        <f>EC123+ED121</f>
        <v>133839.34000000014</v>
      </c>
      <c r="EE123" s="175">
        <f>ED123+EE121</f>
        <v>133839.34000000014</v>
      </c>
      <c r="EF123" s="175">
        <f>EE123+EF121</f>
        <v>145920.47000000015</v>
      </c>
      <c r="EG123" s="175">
        <f>EF123+EG121</f>
        <v>145908.47000000015</v>
      </c>
      <c r="EH123" s="175">
        <f>EB123+EH121</f>
        <v>145908.47000000015</v>
      </c>
      <c r="EI123" s="175">
        <f>EH123+EI121</f>
        <v>13335.600000000151</v>
      </c>
      <c r="EJ123" s="175">
        <f>EI123+EJ121</f>
        <v>13335.600000000151</v>
      </c>
      <c r="EK123" s="175">
        <f>EJ123+EK121</f>
        <v>13335.600000000151</v>
      </c>
      <c r="EL123" s="175">
        <f>EK123+EL121</f>
        <v>13335.600000000151</v>
      </c>
      <c r="EM123" s="175">
        <f>EL123+EM121</f>
        <v>13335.600000000151</v>
      </c>
      <c r="EN123" s="175">
        <f>EH123+EN121</f>
        <v>13335.600000000151</v>
      </c>
      <c r="EO123" s="175">
        <f>EN123+EO121</f>
        <v>13335.600000000151</v>
      </c>
      <c r="EP123" s="175">
        <f>EO123+EP121</f>
        <v>13335.600000000151</v>
      </c>
      <c r="EQ123" s="175">
        <f>EP123+EQ121</f>
        <v>13335.600000000151</v>
      </c>
      <c r="ER123" s="175">
        <f>EQ123+ER121</f>
        <v>13335.600000000151</v>
      </c>
      <c r="ES123" s="175">
        <f>ER123+ES121</f>
        <v>13335.600000000151</v>
      </c>
      <c r="ET123" s="175">
        <f>EN123+ET121</f>
        <v>13335.600000000151</v>
      </c>
      <c r="EU123" s="175">
        <f t="shared" ref="EU123:FA123" si="352">ET123+EU121</f>
        <v>13335.600000000151</v>
      </c>
      <c r="EV123" s="175">
        <f t="shared" si="352"/>
        <v>13335.600000000151</v>
      </c>
      <c r="EW123" s="175">
        <f t="shared" si="352"/>
        <v>13335.600000000151</v>
      </c>
      <c r="EX123" s="175">
        <f t="shared" si="352"/>
        <v>13335.600000000151</v>
      </c>
      <c r="EY123" s="175">
        <f t="shared" si="352"/>
        <v>13335.600000000151</v>
      </c>
      <c r="EZ123" s="175">
        <f t="shared" si="352"/>
        <v>13335.600000000151</v>
      </c>
      <c r="FA123" s="175">
        <f t="shared" si="352"/>
        <v>13335.600000000151</v>
      </c>
      <c r="FB123" s="175">
        <f>ET123+FB121</f>
        <v>13335.600000000151</v>
      </c>
      <c r="FC123" s="175">
        <f>EB123+FC121</f>
        <v>13335.600000000151</v>
      </c>
      <c r="FD123" s="175">
        <f>FC123+FD121</f>
        <v>13335.600000000151</v>
      </c>
      <c r="FE123" s="175">
        <f>FD123+FE121</f>
        <v>13335.600000000151</v>
      </c>
      <c r="FF123" s="175">
        <f>FE123+FF121</f>
        <v>13330.030000000152</v>
      </c>
      <c r="FG123" s="175">
        <f>FC123+FG121</f>
        <v>13330.030000000152</v>
      </c>
      <c r="FH123" s="175">
        <f>FG123+FH121</f>
        <v>13330.030000000152</v>
      </c>
      <c r="FI123" s="175">
        <f>FH123+FI121</f>
        <v>13330.030000000152</v>
      </c>
      <c r="FJ123" s="175">
        <f>FI123+FJ121</f>
        <v>13330.030000000152</v>
      </c>
      <c r="FK123" s="175">
        <f>FJ123+FK121</f>
        <v>13330.030000000152</v>
      </c>
      <c r="FL123" s="175">
        <f>FK123+FL121</f>
        <v>13330.030000000152</v>
      </c>
      <c r="FM123" s="175">
        <f>FG123+FM121</f>
        <v>13330.030000000152</v>
      </c>
      <c r="FN123" s="175">
        <f>FM123+FN121</f>
        <v>13330.030000000152</v>
      </c>
      <c r="FO123" s="175">
        <f>FN123+FO121</f>
        <v>13330.030000000152</v>
      </c>
      <c r="FP123" s="175">
        <f>FO123+FP121</f>
        <v>13330.030000000152</v>
      </c>
      <c r="FQ123" s="175">
        <f>FP123+FQ121</f>
        <v>7850.2600000001512</v>
      </c>
      <c r="FR123" s="175">
        <f>FM123+FR121</f>
        <v>7850.2600000001512</v>
      </c>
      <c r="FS123" s="175">
        <f>FR123+FS121</f>
        <v>7850.2600000001512</v>
      </c>
      <c r="FT123" s="175">
        <f>FS123+FT121</f>
        <v>7850.2600000001512</v>
      </c>
      <c r="FU123" s="175">
        <f>FT123+FU121</f>
        <v>7850.2600000001512</v>
      </c>
      <c r="FV123" s="175">
        <f>FU123+FV121</f>
        <v>47509.460000000152</v>
      </c>
      <c r="FW123" s="175">
        <f>FV123+FW121</f>
        <v>47509.460000000152</v>
      </c>
      <c r="FX123" s="175">
        <f>FR123+FX121</f>
        <v>47509.460000000152</v>
      </c>
      <c r="FY123" s="175">
        <f>FX123+FY121</f>
        <v>47509.460000000152</v>
      </c>
      <c r="FZ123" s="175">
        <f>FY123+FZ121</f>
        <v>19504.500000000153</v>
      </c>
      <c r="GA123" s="175">
        <f>FZ123+GA121</f>
        <v>19484.500000000153</v>
      </c>
      <c r="GB123" s="175">
        <f>GA123+GB121</f>
        <v>1644.0000000001528</v>
      </c>
      <c r="GC123" s="175">
        <f>GB123+GC121</f>
        <v>1644.0000000001528</v>
      </c>
      <c r="GD123" s="175">
        <f>FX123+GD121</f>
        <v>1644.0000000001528</v>
      </c>
      <c r="GE123" s="175">
        <f>FC123+GE121</f>
        <v>1644.0000000001528</v>
      </c>
      <c r="GF123" s="175">
        <f>GE123+GF121</f>
        <v>1644.0000000001528</v>
      </c>
      <c r="GG123" s="175">
        <f>GF123+GG121</f>
        <v>1644.0000000001528</v>
      </c>
      <c r="GH123" s="175">
        <f>GG123+GH121</f>
        <v>1644.0000000001528</v>
      </c>
      <c r="GI123" s="175">
        <f>GH123+GI121</f>
        <v>1644.0000000001528</v>
      </c>
      <c r="GJ123" s="175">
        <f>GI123+GJ121</f>
        <v>1644.0000000001528</v>
      </c>
      <c r="GK123" s="175">
        <f>GE123+GK121</f>
        <v>1644.0000000001528</v>
      </c>
      <c r="GL123" s="175">
        <f>GK123+GL121</f>
        <v>1644.0000000001528</v>
      </c>
      <c r="GM123" s="175">
        <f>GL123+GM121</f>
        <v>1644.0000000001528</v>
      </c>
      <c r="GN123" s="175">
        <f>GM123+GN121</f>
        <v>166341.76000000015</v>
      </c>
      <c r="GO123" s="175">
        <f>GN123+GO121</f>
        <v>166341.76000000015</v>
      </c>
      <c r="GP123" s="175">
        <f>GK123+GP121</f>
        <v>166341.76000000015</v>
      </c>
      <c r="GQ123" s="175">
        <f>GP123+GQ121</f>
        <v>166341.76000000015</v>
      </c>
      <c r="GR123" s="175">
        <f>GQ123+GR121</f>
        <v>166341.76000000015</v>
      </c>
      <c r="GS123" s="175">
        <f>GR123+GS121</f>
        <v>166341.76000000015</v>
      </c>
      <c r="GT123" s="175">
        <f>GS123+GT121</f>
        <v>166341.76000000015</v>
      </c>
      <c r="GU123" s="175">
        <f>GT123+GU121</f>
        <v>371914.24000000017</v>
      </c>
      <c r="GV123" s="175">
        <f>GP123+GV121</f>
        <v>371914.24000000017</v>
      </c>
      <c r="GW123" s="175">
        <f t="shared" ref="GW123:HB123" si="353">GV123+GW121</f>
        <v>320465.65400000016</v>
      </c>
      <c r="GX123" s="175">
        <f t="shared" si="353"/>
        <v>320465.65400000016</v>
      </c>
      <c r="GY123" s="175">
        <f t="shared" si="353"/>
        <v>320465.65400000016</v>
      </c>
      <c r="GZ123" s="175">
        <f t="shared" si="353"/>
        <v>146237.58400000015</v>
      </c>
      <c r="HA123" s="175">
        <f t="shared" si="353"/>
        <v>146237.58400000015</v>
      </c>
      <c r="HB123" s="175">
        <f t="shared" si="353"/>
        <v>68434.864000000161</v>
      </c>
      <c r="HC123" s="175">
        <f>GV123+HC121</f>
        <v>68434.864000000176</v>
      </c>
      <c r="HD123" s="175">
        <f>GE123+HD121</f>
        <v>68434.864000000147</v>
      </c>
      <c r="HE123" s="175">
        <f>HD123+HE121</f>
        <v>68434.864000000147</v>
      </c>
      <c r="HF123" s="175">
        <f>HE123+HF121</f>
        <v>68434.864000000147</v>
      </c>
      <c r="HG123" s="175">
        <f>HF123+HG121</f>
        <v>68434.864000000147</v>
      </c>
      <c r="HH123" s="175">
        <f>HG123+HH121</f>
        <v>68434.864000000147</v>
      </c>
      <c r="HI123" s="175">
        <f>HD123+HI121</f>
        <v>68434.864000000147</v>
      </c>
      <c r="HJ123" s="175">
        <f>HI123+HJ121</f>
        <v>33559.904000000148</v>
      </c>
      <c r="HK123" s="175">
        <f t="shared" ref="HK123:HN123" si="354">HJ123+HK121</f>
        <v>33559.904000000148</v>
      </c>
      <c r="HL123" s="175">
        <f t="shared" si="354"/>
        <v>33559.904000000148</v>
      </c>
      <c r="HM123" s="175">
        <f t="shared" si="354"/>
        <v>45345.834320272115</v>
      </c>
      <c r="HN123" s="175">
        <f t="shared" si="354"/>
        <v>45345.834320272115</v>
      </c>
      <c r="HO123" s="175">
        <f>HI123+HO121</f>
        <v>45345.834320272115</v>
      </c>
      <c r="HP123" s="175">
        <f>HO123+HP121</f>
        <v>45345.834320272115</v>
      </c>
      <c r="HQ123" s="175">
        <f>HP123+HQ121</f>
        <v>45345.834320272115</v>
      </c>
      <c r="HR123" s="175">
        <f>HQ123+HR121</f>
        <v>45345.834320272115</v>
      </c>
      <c r="HS123" s="175">
        <f>HR123+HS121</f>
        <v>45345.834320272115</v>
      </c>
      <c r="HT123" s="175">
        <f>HS123+HT121</f>
        <v>45345.834320272115</v>
      </c>
      <c r="HU123" s="175">
        <f>HO123+HU121</f>
        <v>45345.834320272115</v>
      </c>
      <c r="HV123" s="175">
        <f>HU123+HV121</f>
        <v>45345.834320272115</v>
      </c>
      <c r="HW123" s="175">
        <f>HV123+HW121</f>
        <v>45345.834320272115</v>
      </c>
      <c r="HX123" s="175">
        <f>HW123+HX121</f>
        <v>45345.834320272115</v>
      </c>
      <c r="HY123" s="175">
        <f>HU123+HY121</f>
        <v>45345.834320272115</v>
      </c>
      <c r="HZ123" s="175">
        <f>HY123+HZ121</f>
        <v>45345.834320272115</v>
      </c>
      <c r="IA123" s="175">
        <f>HZ123+IA121</f>
        <v>45345.834320272115</v>
      </c>
      <c r="IB123" s="175">
        <f>IA123+IB121</f>
        <v>111946.04432027211</v>
      </c>
      <c r="IC123" s="175">
        <f>HY123+IC121</f>
        <v>111946.04432027211</v>
      </c>
      <c r="ID123" s="175">
        <f>HD123+ID121</f>
        <v>111946.04432027211</v>
      </c>
      <c r="IE123" s="175">
        <f>ID123+IE121</f>
        <v>790.96432027211995</v>
      </c>
      <c r="IF123" s="175">
        <f>IE123+IF121</f>
        <v>785.49432027211992</v>
      </c>
      <c r="IG123" s="175">
        <f>ID123+IG121</f>
        <v>785.49432027211878</v>
      </c>
      <c r="IH123" s="175">
        <f>IG123+IH121</f>
        <v>785.49432027211878</v>
      </c>
      <c r="II123" s="175">
        <f>IH123+II121</f>
        <v>330123.00432027213</v>
      </c>
      <c r="IJ123" s="175">
        <f>II123+IJ121</f>
        <v>180098.00432027213</v>
      </c>
      <c r="IK123" s="175">
        <f>IJ123+IK121</f>
        <v>180098.00432027213</v>
      </c>
      <c r="IL123" s="175">
        <f>IK123+IL121</f>
        <v>180098.00432027213</v>
      </c>
      <c r="IM123" s="175">
        <f>IG123+IM121</f>
        <v>180098.00432027213</v>
      </c>
      <c r="IN123" s="175">
        <f>IM123+IN121</f>
        <v>180098.00432027213</v>
      </c>
      <c r="IO123" s="175">
        <f>IN123+IO121</f>
        <v>180098.00432027213</v>
      </c>
      <c r="IP123" s="175">
        <f>IO123+IP121</f>
        <v>180098.00432027213</v>
      </c>
      <c r="IQ123" s="175">
        <f>IM123+IQ121</f>
        <v>180098.00432027213</v>
      </c>
      <c r="IR123" s="175">
        <f>IQ123+IR121</f>
        <v>65476.894320272142</v>
      </c>
      <c r="IS123" s="175">
        <f>IR123+IS121</f>
        <v>65476.894320272142</v>
      </c>
      <c r="IT123" s="175">
        <f>IS123+IT121</f>
        <v>65476.894320272142</v>
      </c>
      <c r="IU123" s="175">
        <f>IT123+IU121</f>
        <v>65476.894320272142</v>
      </c>
      <c r="IV123" s="175">
        <f>IU123+IV121</f>
        <v>65476.894320272142</v>
      </c>
      <c r="IW123" s="175">
        <f>IQ123+IW121</f>
        <v>65476.894320272142</v>
      </c>
      <c r="IX123" s="175">
        <f>IW123+IX121</f>
        <v>65476.894320272142</v>
      </c>
      <c r="IY123" s="175">
        <f>IX123+IY121</f>
        <v>87440.894320272142</v>
      </c>
      <c r="IZ123" s="175">
        <f>IY123+IZ121</f>
        <v>87440.894320272142</v>
      </c>
      <c r="JA123" s="175">
        <f>IZ123+JA121</f>
        <v>2992.3443202721392</v>
      </c>
      <c r="JB123" s="175">
        <f>JA123+JB121</f>
        <v>2992.3443202721392</v>
      </c>
      <c r="JC123" s="175">
        <f>IW123+JC121</f>
        <v>2992.3443202721392</v>
      </c>
      <c r="JD123" s="175">
        <f>ID123+JD121</f>
        <v>2992.3443202722119</v>
      </c>
      <c r="JE123" s="175">
        <f>JD123+JE121</f>
        <v>2992.3443202722119</v>
      </c>
      <c r="JF123" s="175">
        <f t="shared" ref="JF123:LE123" si="355">JE123+JF121</f>
        <v>2992.3443202722119</v>
      </c>
      <c r="JG123" s="175">
        <f t="shared" si="355"/>
        <v>67506.284320272214</v>
      </c>
      <c r="JH123" s="175">
        <f t="shared" si="355"/>
        <v>67506.284320272214</v>
      </c>
      <c r="JI123" s="175">
        <f t="shared" si="355"/>
        <v>67506.284320272214</v>
      </c>
      <c r="JJ123" s="175">
        <f>JD123+JJ121</f>
        <v>67506.284320272214</v>
      </c>
      <c r="JK123" s="175">
        <f>JJ123+JK121</f>
        <v>67506.284320272214</v>
      </c>
      <c r="JL123" s="175">
        <f t="shared" si="355"/>
        <v>67506.284320272214</v>
      </c>
      <c r="JM123" s="175">
        <f t="shared" si="355"/>
        <v>67506.284320272214</v>
      </c>
      <c r="JN123" s="175">
        <f t="shared" si="355"/>
        <v>67506.284320272214</v>
      </c>
      <c r="JO123" s="175">
        <f t="shared" si="355"/>
        <v>67506.284320272214</v>
      </c>
      <c r="JP123" s="175">
        <f>JJ123+JP121</f>
        <v>67506.284320272214</v>
      </c>
      <c r="JQ123" s="175">
        <f t="shared" si="355"/>
        <v>67506.284320272214</v>
      </c>
      <c r="JR123" s="175">
        <f t="shared" si="355"/>
        <v>67506.284320272214</v>
      </c>
      <c r="JS123" s="175">
        <f t="shared" si="355"/>
        <v>67506.284320272214</v>
      </c>
      <c r="JT123" s="175">
        <f t="shared" si="355"/>
        <v>67506.284320272214</v>
      </c>
      <c r="JU123" s="175">
        <f t="shared" si="355"/>
        <v>67506.284320272214</v>
      </c>
      <c r="JV123" s="175">
        <f>JP123+JV121</f>
        <v>67506.284320272214</v>
      </c>
      <c r="JW123" s="175">
        <f t="shared" si="355"/>
        <v>67506.284320272214</v>
      </c>
      <c r="JX123" s="175">
        <f t="shared" si="355"/>
        <v>67506.284320272214</v>
      </c>
      <c r="JY123" s="175">
        <f t="shared" si="355"/>
        <v>67506.284320272214</v>
      </c>
      <c r="JZ123" s="175">
        <f t="shared" si="355"/>
        <v>67506.284320272214</v>
      </c>
      <c r="KA123" s="175"/>
      <c r="KB123" s="175">
        <f>JZ123+KB121</f>
        <v>67506.284320272214</v>
      </c>
      <c r="KC123" s="175">
        <f>JV123+KC121</f>
        <v>67506.284320272214</v>
      </c>
      <c r="KD123" s="175" t="e">
        <f>JD123+KD121</f>
        <v>#REF!</v>
      </c>
      <c r="KE123" s="175" t="e">
        <f t="shared" si="355"/>
        <v>#REF!</v>
      </c>
      <c r="KF123" s="175" t="e">
        <f t="shared" si="355"/>
        <v>#REF!</v>
      </c>
      <c r="KG123" s="175" t="e">
        <f t="shared" si="355"/>
        <v>#REF!</v>
      </c>
      <c r="KH123" s="175" t="e">
        <f t="shared" si="355"/>
        <v>#REF!</v>
      </c>
      <c r="KI123" s="175" t="e">
        <f t="shared" si="355"/>
        <v>#REF!</v>
      </c>
      <c r="KJ123" s="175" t="e">
        <f>KD123+KJ121</f>
        <v>#REF!</v>
      </c>
      <c r="KK123" s="175" t="e">
        <f t="shared" si="355"/>
        <v>#REF!</v>
      </c>
      <c r="KL123" s="175" t="e">
        <f t="shared" si="355"/>
        <v>#REF!</v>
      </c>
      <c r="KM123" s="175" t="e">
        <f t="shared" si="355"/>
        <v>#REF!</v>
      </c>
      <c r="KN123" s="175" t="e">
        <f t="shared" si="355"/>
        <v>#REF!</v>
      </c>
      <c r="KO123" s="175" t="e">
        <f t="shared" si="355"/>
        <v>#REF!</v>
      </c>
      <c r="KP123" s="175" t="e">
        <f>KJ123+KP121</f>
        <v>#REF!</v>
      </c>
      <c r="KQ123" s="175" t="e">
        <f t="shared" si="355"/>
        <v>#REF!</v>
      </c>
      <c r="KR123" s="175" t="e">
        <f t="shared" si="355"/>
        <v>#REF!</v>
      </c>
      <c r="KS123" s="175" t="e">
        <f t="shared" si="355"/>
        <v>#REF!</v>
      </c>
      <c r="KT123" s="175" t="e">
        <f t="shared" si="355"/>
        <v>#REF!</v>
      </c>
      <c r="KU123" s="175" t="e">
        <f t="shared" si="355"/>
        <v>#REF!</v>
      </c>
      <c r="KV123" s="175" t="e">
        <f>KP123+KV121</f>
        <v>#REF!</v>
      </c>
      <c r="KW123" s="175" t="e">
        <f t="shared" si="355"/>
        <v>#REF!</v>
      </c>
      <c r="KX123" s="175" t="e">
        <f t="shared" si="355"/>
        <v>#REF!</v>
      </c>
      <c r="KY123" s="175" t="e">
        <f t="shared" si="355"/>
        <v>#REF!</v>
      </c>
      <c r="KZ123" s="175" t="e">
        <f t="shared" si="355"/>
        <v>#REF!</v>
      </c>
      <c r="LA123" s="175" t="e">
        <f t="shared" si="355"/>
        <v>#REF!</v>
      </c>
      <c r="LB123" s="175" t="e">
        <f>KV123+LB121</f>
        <v>#REF!</v>
      </c>
      <c r="LC123" s="175" t="e">
        <f t="shared" si="355"/>
        <v>#REF!</v>
      </c>
      <c r="LD123" s="175" t="e">
        <f t="shared" si="355"/>
        <v>#REF!</v>
      </c>
      <c r="LE123" s="175" t="e">
        <f t="shared" si="355"/>
        <v>#REF!</v>
      </c>
      <c r="LF123" s="175" t="e">
        <f>LB123+LF121</f>
        <v>#REF!</v>
      </c>
      <c r="LG123" s="175" t="e">
        <f>KD123+LG121</f>
        <v>#REF!</v>
      </c>
    </row>
    <row r="124" spans="2:321" s="91" customFormat="1" ht="15.75" thickBot="1">
      <c r="D124" s="201"/>
      <c r="J124" s="201"/>
      <c r="O124" s="201"/>
      <c r="U124" s="201"/>
      <c r="AA124" s="201"/>
      <c r="BA124" s="201"/>
      <c r="BB124" s="201"/>
      <c r="BC124" s="201"/>
      <c r="BD124" s="201"/>
      <c r="BE124" s="201"/>
      <c r="BF124" s="201"/>
      <c r="BG124" s="201"/>
      <c r="BH124" s="201"/>
      <c r="BI124" s="201"/>
      <c r="BJ124" s="201"/>
      <c r="BK124" s="201"/>
      <c r="BL124" s="201"/>
      <c r="BM124" s="201"/>
      <c r="BN124" s="201"/>
      <c r="BO124" s="201"/>
      <c r="BP124" s="201"/>
      <c r="BQ124" s="201"/>
      <c r="BR124" s="201"/>
      <c r="BS124" s="201"/>
      <c r="BT124" s="201"/>
      <c r="BU124" s="201"/>
      <c r="BV124" s="201"/>
      <c r="BW124" s="201"/>
      <c r="BX124" s="201"/>
      <c r="BY124" s="201"/>
      <c r="BZ124" s="201"/>
      <c r="CA124" s="201"/>
      <c r="CB124" s="201"/>
      <c r="CC124" s="201"/>
      <c r="CD124" s="201"/>
      <c r="CE124" s="201"/>
      <c r="CF124" s="201"/>
      <c r="CG124" s="201"/>
      <c r="CH124" s="201"/>
      <c r="CI124" s="201"/>
      <c r="CJ124" s="201"/>
      <c r="CK124" s="201"/>
      <c r="CL124" s="201"/>
      <c r="CM124" s="201"/>
      <c r="CN124" s="201"/>
      <c r="CO124" s="201"/>
      <c r="CP124" s="201"/>
      <c r="CQ124" s="201"/>
      <c r="CR124" s="201"/>
      <c r="CS124" s="201"/>
      <c r="CT124" s="201"/>
      <c r="CU124" s="201"/>
      <c r="CV124" s="201"/>
      <c r="CW124" s="201"/>
      <c r="CX124" s="201"/>
      <c r="CY124" s="201"/>
      <c r="CZ124" s="201"/>
      <c r="DA124" s="201"/>
      <c r="DB124" s="201"/>
      <c r="DC124" s="201"/>
      <c r="DD124" s="201"/>
      <c r="DE124" s="201"/>
      <c r="DF124" s="201"/>
      <c r="DG124" s="201"/>
      <c r="DH124" s="201"/>
      <c r="DI124" s="201"/>
      <c r="DJ124" s="201"/>
      <c r="DK124" s="201"/>
      <c r="DL124" s="201"/>
      <c r="DM124" s="201"/>
      <c r="DN124" s="201"/>
      <c r="DO124" s="201"/>
      <c r="DP124" s="201"/>
      <c r="DQ124" s="201"/>
      <c r="DR124" s="201"/>
      <c r="DS124" s="201"/>
      <c r="DT124" s="201"/>
      <c r="DU124" s="201"/>
      <c r="DV124" s="201"/>
      <c r="DW124" s="201"/>
      <c r="DX124" s="201"/>
      <c r="DY124" s="201"/>
      <c r="DZ124" s="201"/>
      <c r="EA124" s="201"/>
      <c r="EB124" s="201"/>
      <c r="EC124" s="201"/>
      <c r="ED124" s="201"/>
      <c r="EE124" s="201"/>
      <c r="EF124" s="201"/>
      <c r="EG124" s="201"/>
      <c r="EH124" s="201"/>
      <c r="EI124" s="201"/>
      <c r="EJ124" s="201"/>
      <c r="EK124" s="201"/>
      <c r="EL124" s="201"/>
      <c r="EM124" s="201"/>
      <c r="EN124" s="201"/>
      <c r="EO124" s="201"/>
      <c r="EP124" s="201"/>
      <c r="EQ124" s="201"/>
      <c r="ER124" s="201"/>
      <c r="ES124" s="201"/>
      <c r="ET124" s="201"/>
      <c r="EU124" s="201"/>
      <c r="EV124" s="201"/>
      <c r="EW124" s="201"/>
      <c r="EX124" s="201"/>
      <c r="EY124" s="201"/>
      <c r="EZ124" s="201"/>
      <c r="FA124" s="201"/>
      <c r="FB124" s="201"/>
      <c r="FC124" s="201"/>
      <c r="FD124" s="201"/>
      <c r="FE124" s="201"/>
      <c r="FF124" s="201"/>
      <c r="FG124" s="201"/>
      <c r="FH124" s="201"/>
      <c r="FI124" s="201"/>
      <c r="FJ124" s="201"/>
      <c r="FK124" s="201"/>
      <c r="FL124" s="201"/>
      <c r="FM124" s="201"/>
      <c r="FN124" s="201"/>
      <c r="FO124" s="201"/>
      <c r="FP124" s="201"/>
      <c r="FQ124" s="201"/>
      <c r="FR124" s="201"/>
      <c r="FS124" s="201"/>
      <c r="FT124" s="201"/>
      <c r="FU124" s="201"/>
      <c r="FV124" s="201"/>
      <c r="FW124" s="201"/>
      <c r="FX124" s="201"/>
      <c r="FY124" s="201"/>
      <c r="FZ124" s="201"/>
      <c r="GA124" s="201"/>
      <c r="GB124" s="201"/>
      <c r="GC124" s="201"/>
      <c r="GD124" s="201"/>
      <c r="GE124" s="201"/>
      <c r="GF124" s="201"/>
      <c r="GG124" s="201"/>
      <c r="GH124" s="201"/>
      <c r="GI124" s="201"/>
      <c r="GJ124" s="201"/>
      <c r="GK124" s="201"/>
      <c r="GL124" s="201"/>
      <c r="GM124" s="201"/>
      <c r="GN124" s="201"/>
      <c r="GO124" s="201"/>
      <c r="GP124" s="201"/>
      <c r="GQ124" s="201"/>
      <c r="GR124" s="201"/>
      <c r="GS124" s="201"/>
      <c r="GT124" s="201"/>
      <c r="GU124" s="201"/>
      <c r="GV124" s="201"/>
      <c r="GW124" s="201"/>
      <c r="GX124" s="201"/>
      <c r="GY124" s="201"/>
      <c r="GZ124" s="201"/>
      <c r="HA124" s="201"/>
      <c r="HB124" s="201"/>
      <c r="HC124" s="201"/>
      <c r="HD124" s="201"/>
      <c r="HE124" s="201"/>
      <c r="HF124" s="201"/>
      <c r="HG124" s="201"/>
      <c r="HH124" s="201"/>
      <c r="HI124" s="201"/>
      <c r="HJ124" s="201"/>
      <c r="HK124" s="201"/>
      <c r="HL124" s="201"/>
      <c r="HM124" s="201"/>
      <c r="HN124" s="201"/>
      <c r="HO124" s="201"/>
      <c r="HP124" s="201"/>
      <c r="HQ124" s="201"/>
      <c r="HR124" s="201"/>
      <c r="HS124" s="201"/>
      <c r="HT124" s="201"/>
      <c r="HU124" s="201"/>
      <c r="HV124" s="201"/>
      <c r="HW124" s="201"/>
      <c r="HX124" s="201"/>
      <c r="HY124" s="201"/>
      <c r="HZ124" s="201"/>
      <c r="IA124" s="201"/>
      <c r="IB124" s="201"/>
      <c r="IC124" s="201"/>
      <c r="ID124" s="201"/>
      <c r="IE124" s="201"/>
      <c r="IF124" s="201"/>
      <c r="IG124" s="201"/>
      <c r="IH124" s="201"/>
      <c r="II124" s="201"/>
      <c r="IJ124" s="201"/>
      <c r="IK124" s="201"/>
      <c r="IL124" s="201"/>
      <c r="IM124" s="201"/>
      <c r="IN124" s="201"/>
      <c r="IO124" s="201"/>
      <c r="IP124" s="201"/>
      <c r="IQ124" s="201"/>
      <c r="IR124" s="201"/>
      <c r="IS124" s="201"/>
      <c r="IT124" s="201"/>
      <c r="IU124" s="201"/>
      <c r="IV124" s="201"/>
      <c r="IW124" s="201"/>
      <c r="IX124" s="201"/>
      <c r="IY124" s="201"/>
      <c r="IZ124" s="201"/>
      <c r="JA124" s="201"/>
      <c r="JB124" s="201"/>
      <c r="JC124" s="201"/>
      <c r="JD124" s="201"/>
      <c r="JE124" s="201"/>
      <c r="JF124" s="201"/>
      <c r="JG124" s="201"/>
      <c r="JH124" s="201"/>
      <c r="JI124" s="201"/>
      <c r="JJ124" s="201"/>
      <c r="JK124" s="201"/>
      <c r="JL124" s="201"/>
      <c r="JM124" s="201"/>
      <c r="JN124" s="201"/>
      <c r="JO124" s="201"/>
      <c r="JP124" s="201"/>
      <c r="JQ124" s="201"/>
      <c r="JR124" s="201"/>
      <c r="JS124" s="201"/>
      <c r="JT124" s="201"/>
      <c r="JU124" s="201"/>
      <c r="JV124" s="201"/>
      <c r="JW124" s="201"/>
      <c r="JX124" s="201"/>
      <c r="JY124" s="201"/>
      <c r="JZ124" s="201"/>
      <c r="KA124" s="201"/>
      <c r="KB124" s="201"/>
      <c r="KC124" s="201"/>
      <c r="KD124" s="201"/>
      <c r="KE124" s="201"/>
      <c r="KF124" s="201"/>
      <c r="KG124" s="201"/>
      <c r="KH124" s="201"/>
      <c r="KI124" s="201"/>
      <c r="KJ124" s="201"/>
      <c r="KK124" s="201"/>
      <c r="KL124" s="201"/>
      <c r="KM124" s="201"/>
      <c r="KN124" s="201"/>
      <c r="KO124" s="201"/>
      <c r="KP124" s="201"/>
      <c r="KQ124" s="201"/>
      <c r="KR124" s="201"/>
      <c r="KS124" s="201"/>
      <c r="KT124" s="201"/>
      <c r="KU124" s="201"/>
      <c r="KV124" s="201"/>
      <c r="KW124" s="201"/>
      <c r="KX124" s="201"/>
      <c r="KY124" s="201"/>
      <c r="KZ124" s="201"/>
      <c r="LA124" s="201"/>
      <c r="LB124" s="201"/>
      <c r="LC124" s="201"/>
      <c r="LD124" s="201"/>
      <c r="LE124" s="201"/>
      <c r="LF124" s="201"/>
      <c r="LG124" s="201"/>
    </row>
    <row r="125" spans="2:321" s="91" customFormat="1" ht="16.5" thickBot="1">
      <c r="B125" s="971" t="s">
        <v>176</v>
      </c>
      <c r="C125" s="972"/>
      <c r="D125" s="972"/>
      <c r="E125" s="972"/>
      <c r="F125" s="972"/>
      <c r="G125" s="972"/>
      <c r="H125" s="972"/>
      <c r="I125" s="972"/>
      <c r="J125" s="972"/>
      <c r="K125" s="972"/>
      <c r="L125" s="972"/>
      <c r="M125" s="972"/>
      <c r="N125" s="972"/>
      <c r="O125" s="972"/>
      <c r="P125" s="972"/>
      <c r="Q125" s="972"/>
      <c r="R125" s="972"/>
      <c r="S125" s="972"/>
      <c r="T125" s="972"/>
      <c r="U125" s="972"/>
      <c r="V125" s="972"/>
      <c r="W125" s="972"/>
      <c r="X125" s="972"/>
      <c r="Y125" s="972"/>
      <c r="Z125" s="972"/>
      <c r="AA125" s="972"/>
      <c r="AB125" s="972"/>
      <c r="AC125" s="972"/>
      <c r="AD125" s="972"/>
      <c r="AE125" s="972"/>
      <c r="AF125" s="972"/>
      <c r="AG125" s="972"/>
      <c r="AH125" s="972"/>
      <c r="AI125" s="972"/>
      <c r="AJ125" s="972"/>
      <c r="AK125" s="972"/>
      <c r="AL125" s="972"/>
      <c r="AM125" s="972"/>
      <c r="AN125" s="972"/>
      <c r="AO125" s="972"/>
      <c r="AP125" s="972"/>
      <c r="AQ125" s="972"/>
      <c r="AR125" s="972"/>
      <c r="AS125" s="972"/>
      <c r="AT125" s="972"/>
      <c r="AU125" s="972"/>
      <c r="AV125" s="972"/>
      <c r="AW125" s="972"/>
      <c r="AX125" s="972"/>
      <c r="AY125" s="972"/>
      <c r="AZ125" s="972"/>
      <c r="BA125" s="972"/>
      <c r="BB125" s="972"/>
      <c r="BC125" s="972"/>
      <c r="BD125" s="972"/>
      <c r="BE125" s="972"/>
      <c r="BF125" s="972"/>
      <c r="BG125" s="972"/>
      <c r="BH125" s="972"/>
      <c r="BI125" s="972"/>
      <c r="BJ125" s="972"/>
      <c r="BK125" s="972"/>
      <c r="BL125" s="972"/>
      <c r="BM125" s="972"/>
      <c r="BN125" s="972"/>
      <c r="BO125" s="972"/>
      <c r="BP125" s="972"/>
      <c r="BQ125" s="972"/>
      <c r="BR125" s="972"/>
      <c r="BS125" s="972"/>
      <c r="BT125" s="972"/>
      <c r="BU125" s="972"/>
      <c r="BV125" s="972"/>
      <c r="BW125" s="972"/>
      <c r="BX125" s="972"/>
      <c r="BY125" s="972"/>
      <c r="BZ125" s="972"/>
      <c r="CA125" s="972"/>
      <c r="CB125" s="972"/>
      <c r="CC125" s="972"/>
      <c r="CD125" s="972"/>
      <c r="CE125" s="972"/>
      <c r="CF125" s="972"/>
      <c r="CG125" s="972"/>
      <c r="CH125" s="972"/>
      <c r="CI125" s="972"/>
      <c r="CJ125" s="972"/>
      <c r="CK125" s="972"/>
      <c r="CL125" s="972"/>
      <c r="CM125" s="972"/>
      <c r="CN125" s="972"/>
      <c r="CO125" s="972"/>
      <c r="CP125" s="972"/>
      <c r="CQ125" s="972"/>
      <c r="CR125" s="972"/>
      <c r="CS125" s="972"/>
      <c r="CT125" s="972"/>
      <c r="CU125" s="972"/>
      <c r="CV125" s="972"/>
      <c r="CW125" s="972"/>
      <c r="CX125" s="972"/>
      <c r="CY125" s="972"/>
      <c r="CZ125" s="972"/>
      <c r="DA125" s="972"/>
      <c r="DB125" s="972"/>
      <c r="DC125" s="972"/>
      <c r="DD125" s="972"/>
      <c r="DE125" s="972"/>
      <c r="DF125" s="972"/>
      <c r="DG125" s="972"/>
      <c r="DH125" s="972"/>
      <c r="DI125" s="972"/>
      <c r="DJ125" s="972"/>
      <c r="DK125" s="972"/>
      <c r="DL125" s="972"/>
      <c r="DM125" s="972"/>
      <c r="DN125" s="972"/>
      <c r="DO125" s="972"/>
      <c r="DP125" s="972"/>
      <c r="DQ125" s="972"/>
      <c r="DR125" s="972"/>
      <c r="DS125" s="972"/>
      <c r="DT125" s="972"/>
      <c r="DU125" s="972"/>
      <c r="DV125" s="972"/>
      <c r="DW125" s="972"/>
      <c r="DX125" s="972"/>
      <c r="DY125" s="972"/>
      <c r="DZ125" s="972"/>
      <c r="EA125" s="972"/>
      <c r="EB125" s="972"/>
      <c r="EC125" s="972"/>
      <c r="ED125" s="972"/>
      <c r="EE125" s="972"/>
      <c r="EF125" s="972"/>
      <c r="EG125" s="972"/>
      <c r="EH125" s="972"/>
      <c r="EI125" s="972"/>
      <c r="EJ125" s="972"/>
      <c r="EK125" s="972"/>
      <c r="EL125" s="972"/>
      <c r="EM125" s="972"/>
      <c r="EN125" s="972"/>
      <c r="EO125" s="972"/>
      <c r="EP125" s="972"/>
      <c r="EQ125" s="972"/>
      <c r="ER125" s="972"/>
      <c r="ES125" s="972"/>
      <c r="ET125" s="972"/>
      <c r="EU125" s="972"/>
      <c r="EV125" s="972"/>
      <c r="EW125" s="972"/>
      <c r="EX125" s="972"/>
      <c r="EY125" s="972"/>
      <c r="EZ125" s="972"/>
      <c r="FA125" s="972"/>
      <c r="FB125" s="972"/>
      <c r="FC125" s="972"/>
      <c r="FD125" s="972"/>
      <c r="FE125" s="972"/>
      <c r="FF125" s="972"/>
      <c r="FG125" s="972"/>
      <c r="FH125" s="972"/>
      <c r="FI125" s="972"/>
      <c r="FJ125" s="972"/>
      <c r="FK125" s="972"/>
      <c r="FL125" s="972"/>
      <c r="FM125" s="972"/>
      <c r="FN125" s="972"/>
      <c r="FO125" s="972"/>
      <c r="FP125" s="972"/>
      <c r="FQ125" s="972"/>
      <c r="FR125" s="972"/>
      <c r="FS125" s="972"/>
      <c r="FT125" s="972"/>
      <c r="FU125" s="972"/>
      <c r="FV125" s="972"/>
      <c r="FW125" s="972"/>
      <c r="FX125" s="972"/>
      <c r="FY125" s="972"/>
      <c r="FZ125" s="972"/>
      <c r="GA125" s="972"/>
      <c r="GB125" s="972"/>
      <c r="GC125" s="972"/>
      <c r="GD125" s="972"/>
      <c r="GE125" s="972"/>
      <c r="GF125" s="972"/>
      <c r="GG125" s="972"/>
      <c r="GH125" s="972"/>
      <c r="GI125" s="972"/>
      <c r="GJ125" s="972"/>
      <c r="GK125" s="972"/>
      <c r="GL125" s="972"/>
      <c r="GM125" s="972"/>
      <c r="GN125" s="972"/>
      <c r="GO125" s="972"/>
      <c r="GP125" s="972"/>
      <c r="GQ125" s="972"/>
      <c r="GR125" s="972"/>
      <c r="GS125" s="972"/>
      <c r="GT125" s="972"/>
      <c r="GU125" s="972"/>
      <c r="GV125" s="972"/>
      <c r="GW125" s="972"/>
      <c r="GX125" s="972"/>
      <c r="GY125" s="972"/>
      <c r="GZ125" s="972"/>
      <c r="HA125" s="972"/>
      <c r="HB125" s="972"/>
      <c r="HC125" s="972"/>
      <c r="HD125" s="972"/>
      <c r="HE125" s="972"/>
      <c r="HF125" s="972"/>
      <c r="HG125" s="972"/>
      <c r="HH125" s="972"/>
      <c r="HI125" s="972"/>
      <c r="HJ125" s="972"/>
      <c r="HK125" s="972"/>
      <c r="HL125" s="972"/>
      <c r="HM125" s="972"/>
      <c r="HN125" s="972"/>
      <c r="HO125" s="972"/>
      <c r="HP125" s="972"/>
      <c r="HQ125" s="972"/>
      <c r="HR125" s="972"/>
      <c r="HS125" s="972"/>
      <c r="HT125" s="972"/>
      <c r="HU125" s="972"/>
      <c r="HV125" s="972"/>
      <c r="HW125" s="972"/>
      <c r="HX125" s="972"/>
      <c r="HY125" s="972"/>
      <c r="HZ125" s="972"/>
      <c r="IA125" s="972"/>
      <c r="IB125" s="972"/>
      <c r="IC125" s="972"/>
      <c r="ID125" s="972"/>
      <c r="IE125" s="972"/>
      <c r="IF125" s="972"/>
      <c r="IG125" s="972"/>
      <c r="IH125" s="972"/>
      <c r="II125" s="972"/>
      <c r="IJ125" s="972"/>
      <c r="IK125" s="972"/>
      <c r="IL125" s="972"/>
      <c r="IM125" s="972"/>
      <c r="IN125" s="972"/>
      <c r="IO125" s="972"/>
      <c r="IP125" s="972"/>
      <c r="IQ125" s="972"/>
      <c r="IR125" s="972"/>
      <c r="IS125" s="972"/>
      <c r="IT125" s="972"/>
      <c r="IU125" s="972"/>
      <c r="IV125" s="972"/>
      <c r="IW125" s="972"/>
      <c r="IX125" s="972"/>
      <c r="IY125" s="972"/>
      <c r="IZ125" s="972"/>
      <c r="JA125" s="972"/>
      <c r="JB125" s="972"/>
      <c r="JC125" s="972"/>
      <c r="JD125" s="972"/>
      <c r="JE125" s="972"/>
      <c r="JF125" s="972"/>
      <c r="JG125" s="972"/>
      <c r="JH125" s="972"/>
      <c r="JI125" s="972"/>
      <c r="JJ125" s="972"/>
      <c r="JK125" s="972"/>
      <c r="JL125" s="972"/>
      <c r="JM125" s="972"/>
      <c r="JN125" s="972"/>
      <c r="JO125" s="972"/>
      <c r="JP125" s="972"/>
      <c r="JQ125" s="972"/>
      <c r="JR125" s="972"/>
      <c r="JS125" s="972"/>
      <c r="JT125" s="972"/>
      <c r="JU125" s="972"/>
      <c r="JV125" s="972"/>
      <c r="JW125" s="972"/>
      <c r="JX125" s="972"/>
      <c r="JY125" s="972"/>
      <c r="JZ125" s="972"/>
      <c r="KA125" s="972"/>
      <c r="KB125" s="972"/>
      <c r="KC125" s="972"/>
      <c r="KD125" s="972"/>
      <c r="KE125" s="972"/>
      <c r="KF125" s="972"/>
      <c r="KG125" s="972"/>
      <c r="KH125" s="972"/>
      <c r="KI125" s="972"/>
      <c r="KJ125" s="972"/>
      <c r="KK125" s="972"/>
      <c r="KL125" s="972"/>
      <c r="KM125" s="972"/>
      <c r="KN125" s="972"/>
      <c r="KO125" s="972"/>
      <c r="KP125" s="972"/>
      <c r="KQ125" s="972"/>
      <c r="KR125" s="972"/>
      <c r="KS125" s="972"/>
      <c r="KT125" s="972"/>
      <c r="KU125" s="972"/>
      <c r="KV125" s="972"/>
      <c r="KW125" s="972"/>
      <c r="KX125" s="972"/>
      <c r="KY125" s="972"/>
      <c r="KZ125" s="972"/>
      <c r="LA125" s="972"/>
      <c r="LB125" s="972"/>
      <c r="LC125" s="972"/>
      <c r="LD125" s="972"/>
      <c r="LE125" s="972"/>
      <c r="LF125" s="972"/>
      <c r="LG125" s="973"/>
    </row>
    <row r="126" spans="2:321" s="91" customFormat="1">
      <c r="B126" s="171" t="s">
        <v>77</v>
      </c>
      <c r="C126" s="171">
        <f>SUM(C127:C130)</f>
        <v>0</v>
      </c>
      <c r="D126" s="171">
        <f t="shared" ref="D126:AA126" si="356">SUM(D127:D130)</f>
        <v>0</v>
      </c>
      <c r="E126" s="171">
        <f t="shared" si="356"/>
        <v>0</v>
      </c>
      <c r="F126" s="171">
        <f t="shared" si="356"/>
        <v>0</v>
      </c>
      <c r="G126" s="171">
        <f t="shared" si="356"/>
        <v>0</v>
      </c>
      <c r="H126" s="171">
        <f t="shared" si="356"/>
        <v>0</v>
      </c>
      <c r="I126" s="171">
        <f t="shared" si="356"/>
        <v>0</v>
      </c>
      <c r="J126" s="171">
        <f t="shared" si="356"/>
        <v>0</v>
      </c>
      <c r="K126" s="171">
        <f t="shared" si="356"/>
        <v>0</v>
      </c>
      <c r="L126" s="240">
        <f>SUM(L127:L130)</f>
        <v>0</v>
      </c>
      <c r="M126" s="240">
        <f t="shared" si="356"/>
        <v>6.34</v>
      </c>
      <c r="N126" s="171">
        <f t="shared" si="356"/>
        <v>0</v>
      </c>
      <c r="O126" s="171">
        <f t="shared" si="356"/>
        <v>6.34</v>
      </c>
      <c r="P126" s="171">
        <f t="shared" si="356"/>
        <v>0</v>
      </c>
      <c r="Q126" s="171">
        <f t="shared" si="356"/>
        <v>0</v>
      </c>
      <c r="R126" s="171">
        <f t="shared" si="356"/>
        <v>0</v>
      </c>
      <c r="S126" s="171">
        <f t="shared" si="356"/>
        <v>0</v>
      </c>
      <c r="T126" s="171">
        <f t="shared" si="356"/>
        <v>0</v>
      </c>
      <c r="U126" s="171">
        <f t="shared" si="356"/>
        <v>0</v>
      </c>
      <c r="V126" s="171">
        <f t="shared" si="356"/>
        <v>-161700</v>
      </c>
      <c r="W126" s="171">
        <f t="shared" si="356"/>
        <v>233554.31</v>
      </c>
      <c r="X126" s="171">
        <f t="shared" si="356"/>
        <v>0</v>
      </c>
      <c r="Y126" s="171">
        <f t="shared" si="356"/>
        <v>0</v>
      </c>
      <c r="Z126" s="171">
        <f t="shared" si="356"/>
        <v>0</v>
      </c>
      <c r="AA126" s="171">
        <f t="shared" si="356"/>
        <v>71854.31</v>
      </c>
      <c r="AB126" s="233">
        <f t="shared" ref="AB126:AM126" si="357">SUM(AB127:AB130)</f>
        <v>71860.649999999994</v>
      </c>
      <c r="AC126" s="171">
        <f t="shared" si="357"/>
        <v>0</v>
      </c>
      <c r="AD126" s="240">
        <f t="shared" si="357"/>
        <v>0</v>
      </c>
      <c r="AE126" s="240">
        <f t="shared" si="357"/>
        <v>0</v>
      </c>
      <c r="AF126" s="240">
        <f t="shared" si="357"/>
        <v>0</v>
      </c>
      <c r="AG126" s="498">
        <f t="shared" si="357"/>
        <v>0</v>
      </c>
      <c r="AH126" s="197">
        <f t="shared" si="357"/>
        <v>0</v>
      </c>
      <c r="AI126" s="171">
        <f t="shared" si="357"/>
        <v>0</v>
      </c>
      <c r="AJ126" s="240">
        <f t="shared" si="357"/>
        <v>0</v>
      </c>
      <c r="AK126" s="240">
        <f t="shared" si="357"/>
        <v>0</v>
      </c>
      <c r="AL126" s="240">
        <f t="shared" si="357"/>
        <v>0</v>
      </c>
      <c r="AM126" s="498">
        <f t="shared" si="357"/>
        <v>0</v>
      </c>
      <c r="AN126" s="197">
        <f t="shared" ref="AN126:AZ126" si="358">SUM(AN127:AN130)</f>
        <v>0</v>
      </c>
      <c r="AO126" s="171">
        <f t="shared" si="358"/>
        <v>0</v>
      </c>
      <c r="AP126" s="240">
        <f t="shared" si="358"/>
        <v>0</v>
      </c>
      <c r="AQ126" s="240">
        <f t="shared" si="358"/>
        <v>0</v>
      </c>
      <c r="AR126" s="240">
        <f t="shared" si="358"/>
        <v>0</v>
      </c>
      <c r="AS126" s="498">
        <f t="shared" si="358"/>
        <v>0</v>
      </c>
      <c r="AT126" s="197">
        <f t="shared" si="358"/>
        <v>0</v>
      </c>
      <c r="AU126" s="171">
        <f t="shared" si="358"/>
        <v>0</v>
      </c>
      <c r="AV126" s="240">
        <f t="shared" si="358"/>
        <v>0</v>
      </c>
      <c r="AW126" s="240">
        <f t="shared" si="358"/>
        <v>0</v>
      </c>
      <c r="AX126" s="240">
        <f t="shared" si="358"/>
        <v>0</v>
      </c>
      <c r="AY126" s="498">
        <f>SUM(AY127:AY130)</f>
        <v>0</v>
      </c>
      <c r="AZ126" s="197">
        <f t="shared" si="358"/>
        <v>0</v>
      </c>
      <c r="BA126" s="233">
        <f t="shared" ref="BA126:LG126" si="359">SUM(BA127:BA131)</f>
        <v>0</v>
      </c>
      <c r="BB126" s="171">
        <f t="shared" si="359"/>
        <v>0</v>
      </c>
      <c r="BC126" s="240">
        <f t="shared" si="359"/>
        <v>0</v>
      </c>
      <c r="BD126" s="240">
        <f t="shared" si="359"/>
        <v>0</v>
      </c>
      <c r="BE126" s="240">
        <f t="shared" si="359"/>
        <v>-111650</v>
      </c>
      <c r="BF126" s="498">
        <f t="shared" si="359"/>
        <v>99314</v>
      </c>
      <c r="BG126" s="197">
        <f t="shared" si="359"/>
        <v>-12336</v>
      </c>
      <c r="BH126" s="171">
        <f t="shared" si="359"/>
        <v>0</v>
      </c>
      <c r="BI126" s="240">
        <f t="shared" si="359"/>
        <v>0</v>
      </c>
      <c r="BJ126" s="240">
        <f t="shared" si="359"/>
        <v>0</v>
      </c>
      <c r="BK126" s="240">
        <f t="shared" si="359"/>
        <v>-215100</v>
      </c>
      <c r="BL126" s="498">
        <f t="shared" si="359"/>
        <v>0</v>
      </c>
      <c r="BM126" s="197">
        <f t="shared" si="359"/>
        <v>-215100</v>
      </c>
      <c r="BN126" s="171">
        <f t="shared" si="359"/>
        <v>0</v>
      </c>
      <c r="BO126" s="240">
        <f t="shared" si="359"/>
        <v>0</v>
      </c>
      <c r="BP126" s="240">
        <f t="shared" si="359"/>
        <v>0</v>
      </c>
      <c r="BQ126" s="498">
        <f t="shared" si="359"/>
        <v>0</v>
      </c>
      <c r="BR126" s="197">
        <f t="shared" si="359"/>
        <v>0</v>
      </c>
      <c r="BS126" s="171">
        <f t="shared" si="359"/>
        <v>0</v>
      </c>
      <c r="BT126" s="240">
        <f t="shared" si="359"/>
        <v>0</v>
      </c>
      <c r="BU126" s="240">
        <f t="shared" si="359"/>
        <v>0</v>
      </c>
      <c r="BV126" s="240">
        <f t="shared" si="359"/>
        <v>0</v>
      </c>
      <c r="BW126" s="498">
        <f t="shared" si="359"/>
        <v>0</v>
      </c>
      <c r="BX126" s="197">
        <f t="shared" si="359"/>
        <v>0</v>
      </c>
      <c r="BY126" s="171">
        <f>SUM(BY127:BY131)</f>
        <v>0</v>
      </c>
      <c r="BZ126" s="240">
        <f>SUM(BZ127:BZ131)</f>
        <v>0</v>
      </c>
      <c r="CA126" s="197">
        <f t="shared" si="359"/>
        <v>0</v>
      </c>
      <c r="CB126" s="233">
        <f t="shared" si="359"/>
        <v>-227436</v>
      </c>
      <c r="CC126" s="171">
        <f t="shared" si="359"/>
        <v>0</v>
      </c>
      <c r="CD126" s="240">
        <f t="shared" si="359"/>
        <v>6.18</v>
      </c>
      <c r="CE126" s="240">
        <f t="shared" si="359"/>
        <v>0</v>
      </c>
      <c r="CF126" s="197">
        <f t="shared" si="359"/>
        <v>6.18</v>
      </c>
      <c r="CG126" s="171">
        <f t="shared" si="359"/>
        <v>0</v>
      </c>
      <c r="CH126" s="240">
        <f t="shared" si="359"/>
        <v>0</v>
      </c>
      <c r="CI126" s="240">
        <f t="shared" si="359"/>
        <v>201330.72</v>
      </c>
      <c r="CJ126" s="498">
        <f t="shared" si="359"/>
        <v>0</v>
      </c>
      <c r="CK126" s="197">
        <f t="shared" si="359"/>
        <v>201330.72</v>
      </c>
      <c r="CL126" s="171">
        <f t="shared" si="359"/>
        <v>0</v>
      </c>
      <c r="CM126" s="240">
        <f t="shared" si="359"/>
        <v>0</v>
      </c>
      <c r="CN126" s="240">
        <f t="shared" si="359"/>
        <v>14</v>
      </c>
      <c r="CO126" s="240">
        <f t="shared" si="359"/>
        <v>0</v>
      </c>
      <c r="CP126" s="498">
        <f t="shared" si="359"/>
        <v>0</v>
      </c>
      <c r="CQ126" s="197">
        <f t="shared" si="359"/>
        <v>14</v>
      </c>
      <c r="CR126" s="171">
        <f t="shared" si="359"/>
        <v>0</v>
      </c>
      <c r="CS126" s="240">
        <f t="shared" si="359"/>
        <v>0</v>
      </c>
      <c r="CT126" s="240">
        <f t="shared" si="359"/>
        <v>120000</v>
      </c>
      <c r="CU126" s="240">
        <f t="shared" si="359"/>
        <v>0</v>
      </c>
      <c r="CV126" s="498">
        <f t="shared" si="359"/>
        <v>0</v>
      </c>
      <c r="CW126" s="197">
        <f t="shared" si="359"/>
        <v>120000</v>
      </c>
      <c r="CX126" s="171">
        <f t="shared" si="359"/>
        <v>0</v>
      </c>
      <c r="CY126" s="240">
        <f t="shared" si="359"/>
        <v>0</v>
      </c>
      <c r="CZ126" s="240">
        <f t="shared" si="359"/>
        <v>0</v>
      </c>
      <c r="DA126" s="498">
        <f t="shared" si="359"/>
        <v>0</v>
      </c>
      <c r="DB126" s="197">
        <f t="shared" si="359"/>
        <v>0</v>
      </c>
      <c r="DC126" s="233">
        <f t="shared" si="359"/>
        <v>321350.89999999997</v>
      </c>
      <c r="DD126" s="171">
        <f t="shared" si="359"/>
        <v>0</v>
      </c>
      <c r="DE126" s="240">
        <f t="shared" si="359"/>
        <v>0</v>
      </c>
      <c r="DF126" s="240">
        <f t="shared" si="359"/>
        <v>140000</v>
      </c>
      <c r="DG126" s="240">
        <f t="shared" si="359"/>
        <v>0</v>
      </c>
      <c r="DH126" s="240">
        <f t="shared" si="359"/>
        <v>0</v>
      </c>
      <c r="DI126" s="197">
        <f t="shared" si="359"/>
        <v>140000</v>
      </c>
      <c r="DJ126" s="171">
        <f t="shared" si="359"/>
        <v>0</v>
      </c>
      <c r="DK126" s="240">
        <f t="shared" si="359"/>
        <v>12</v>
      </c>
      <c r="DL126" s="240">
        <f t="shared" si="359"/>
        <v>0</v>
      </c>
      <c r="DM126" s="240">
        <f t="shared" si="359"/>
        <v>0</v>
      </c>
      <c r="DN126" s="498">
        <f t="shared" si="359"/>
        <v>0</v>
      </c>
      <c r="DO126" s="171">
        <f t="shared" si="359"/>
        <v>12</v>
      </c>
      <c r="DP126" s="171">
        <f t="shared" si="359"/>
        <v>0</v>
      </c>
      <c r="DQ126" s="240">
        <f t="shared" si="359"/>
        <v>0</v>
      </c>
      <c r="DR126" s="240">
        <f t="shared" si="359"/>
        <v>120000</v>
      </c>
      <c r="DS126" s="240">
        <f t="shared" si="359"/>
        <v>30</v>
      </c>
      <c r="DT126" s="498">
        <f t="shared" si="359"/>
        <v>0</v>
      </c>
      <c r="DU126" s="197">
        <f t="shared" si="359"/>
        <v>120030</v>
      </c>
      <c r="DV126" s="171">
        <f t="shared" si="359"/>
        <v>0</v>
      </c>
      <c r="DW126" s="240">
        <f t="shared" si="359"/>
        <v>0</v>
      </c>
      <c r="DX126" s="240">
        <f t="shared" si="359"/>
        <v>0</v>
      </c>
      <c r="DY126" s="240">
        <f t="shared" si="359"/>
        <v>0</v>
      </c>
      <c r="DZ126" s="498">
        <f t="shared" si="359"/>
        <v>0</v>
      </c>
      <c r="EA126" s="197">
        <f t="shared" si="359"/>
        <v>0</v>
      </c>
      <c r="EB126" s="233">
        <f t="shared" si="359"/>
        <v>260042</v>
      </c>
      <c r="EC126" s="171">
        <f t="shared" si="359"/>
        <v>0</v>
      </c>
      <c r="ED126" s="240">
        <f t="shared" si="359"/>
        <v>0</v>
      </c>
      <c r="EE126" s="240">
        <f t="shared" si="359"/>
        <v>0</v>
      </c>
      <c r="EF126" s="240">
        <f t="shared" si="359"/>
        <v>0</v>
      </c>
      <c r="EG126" s="498">
        <f t="shared" si="359"/>
        <v>0</v>
      </c>
      <c r="EH126" s="197">
        <f t="shared" si="359"/>
        <v>0</v>
      </c>
      <c r="EI126" s="171">
        <f t="shared" si="359"/>
        <v>0</v>
      </c>
      <c r="EJ126" s="240">
        <f t="shared" si="359"/>
        <v>0</v>
      </c>
      <c r="EK126" s="240">
        <f t="shared" si="359"/>
        <v>0</v>
      </c>
      <c r="EL126" s="240">
        <f t="shared" si="359"/>
        <v>0</v>
      </c>
      <c r="EM126" s="498">
        <f t="shared" si="359"/>
        <v>0</v>
      </c>
      <c r="EN126" s="197">
        <f t="shared" si="359"/>
        <v>0</v>
      </c>
      <c r="EO126" s="171">
        <f t="shared" si="359"/>
        <v>0</v>
      </c>
      <c r="EP126" s="240">
        <f t="shared" si="359"/>
        <v>0</v>
      </c>
      <c r="EQ126" s="240">
        <f t="shared" si="359"/>
        <v>0</v>
      </c>
      <c r="ER126" s="240">
        <f t="shared" si="359"/>
        <v>0</v>
      </c>
      <c r="ES126" s="498">
        <f t="shared" si="359"/>
        <v>0</v>
      </c>
      <c r="ET126" s="498">
        <f t="shared" si="359"/>
        <v>0</v>
      </c>
      <c r="EU126" s="171">
        <f t="shared" si="359"/>
        <v>0</v>
      </c>
      <c r="EV126" s="240">
        <f t="shared" si="359"/>
        <v>0</v>
      </c>
      <c r="EW126" s="240">
        <f t="shared" si="359"/>
        <v>0</v>
      </c>
      <c r="EX126" s="240">
        <f t="shared" si="359"/>
        <v>0</v>
      </c>
      <c r="EY126" s="240">
        <f t="shared" si="359"/>
        <v>0</v>
      </c>
      <c r="EZ126" s="240">
        <f t="shared" si="359"/>
        <v>0</v>
      </c>
      <c r="FA126" s="498">
        <f t="shared" si="359"/>
        <v>0</v>
      </c>
      <c r="FB126" s="197">
        <f t="shared" si="359"/>
        <v>0</v>
      </c>
      <c r="FC126" s="233">
        <f t="shared" si="359"/>
        <v>0</v>
      </c>
      <c r="FD126" s="171">
        <f t="shared" si="359"/>
        <v>0</v>
      </c>
      <c r="FE126" s="240">
        <f t="shared" si="359"/>
        <v>0</v>
      </c>
      <c r="FF126" s="498">
        <f t="shared" si="359"/>
        <v>6.2</v>
      </c>
      <c r="FG126" s="197">
        <f t="shared" si="359"/>
        <v>6.2</v>
      </c>
      <c r="FH126" s="171">
        <f t="shared" si="359"/>
        <v>0</v>
      </c>
      <c r="FI126" s="240">
        <f t="shared" si="359"/>
        <v>0</v>
      </c>
      <c r="FJ126" s="240">
        <f t="shared" si="359"/>
        <v>0</v>
      </c>
      <c r="FK126" s="240">
        <f t="shared" si="359"/>
        <v>0</v>
      </c>
      <c r="FL126" s="498">
        <f t="shared" si="359"/>
        <v>0</v>
      </c>
      <c r="FM126" s="197">
        <f t="shared" si="359"/>
        <v>0</v>
      </c>
      <c r="FN126" s="171">
        <f t="shared" si="359"/>
        <v>0</v>
      </c>
      <c r="FO126" s="240">
        <f t="shared" si="359"/>
        <v>0</v>
      </c>
      <c r="FP126" s="240">
        <f t="shared" si="359"/>
        <v>0</v>
      </c>
      <c r="FQ126" s="240">
        <f t="shared" si="359"/>
        <v>0</v>
      </c>
      <c r="FR126" s="197">
        <f t="shared" si="359"/>
        <v>0</v>
      </c>
      <c r="FS126" s="171">
        <f t="shared" si="359"/>
        <v>0</v>
      </c>
      <c r="FT126" s="240">
        <f t="shared" si="359"/>
        <v>0</v>
      </c>
      <c r="FU126" s="240">
        <f t="shared" si="359"/>
        <v>0</v>
      </c>
      <c r="FV126" s="240">
        <f t="shared" si="359"/>
        <v>0</v>
      </c>
      <c r="FW126" s="498">
        <f t="shared" si="359"/>
        <v>0</v>
      </c>
      <c r="FX126" s="197">
        <f t="shared" si="359"/>
        <v>0</v>
      </c>
      <c r="FY126" s="171">
        <f t="shared" ref="FY126:GD126" si="360">SUM(FY127:FY131)</f>
        <v>0</v>
      </c>
      <c r="FZ126" s="240">
        <f t="shared" si="360"/>
        <v>0</v>
      </c>
      <c r="GA126" s="240">
        <f t="shared" si="360"/>
        <v>0</v>
      </c>
      <c r="GB126" s="240">
        <f t="shared" si="360"/>
        <v>0</v>
      </c>
      <c r="GC126" s="498">
        <f t="shared" si="360"/>
        <v>0</v>
      </c>
      <c r="GD126" s="197">
        <f t="shared" si="360"/>
        <v>0</v>
      </c>
      <c r="GE126" s="233">
        <f t="shared" si="359"/>
        <v>6.2</v>
      </c>
      <c r="GF126" s="171">
        <f t="shared" si="359"/>
        <v>62000</v>
      </c>
      <c r="GG126" s="240">
        <f t="shared" si="359"/>
        <v>0</v>
      </c>
      <c r="GH126" s="240">
        <f t="shared" si="359"/>
        <v>0</v>
      </c>
      <c r="GI126" s="240">
        <f t="shared" si="359"/>
        <v>0</v>
      </c>
      <c r="GJ126" s="240">
        <f t="shared" si="359"/>
        <v>0</v>
      </c>
      <c r="GK126" s="197">
        <f t="shared" si="359"/>
        <v>62000</v>
      </c>
      <c r="GL126" s="171">
        <f t="shared" si="359"/>
        <v>0</v>
      </c>
      <c r="GM126" s="240">
        <f t="shared" si="359"/>
        <v>0</v>
      </c>
      <c r="GN126" s="240">
        <f t="shared" si="359"/>
        <v>0</v>
      </c>
      <c r="GO126" s="498">
        <f t="shared" si="359"/>
        <v>0</v>
      </c>
      <c r="GP126" s="197">
        <f t="shared" si="359"/>
        <v>0</v>
      </c>
      <c r="GQ126" s="171">
        <f t="shared" si="359"/>
        <v>0</v>
      </c>
      <c r="GR126" s="240">
        <f t="shared" si="359"/>
        <v>0</v>
      </c>
      <c r="GS126" s="240">
        <f t="shared" si="359"/>
        <v>0</v>
      </c>
      <c r="GT126" s="240">
        <f t="shared" si="359"/>
        <v>0</v>
      </c>
      <c r="GU126" s="498">
        <f t="shared" si="359"/>
        <v>0</v>
      </c>
      <c r="GV126" s="197">
        <f t="shared" si="359"/>
        <v>0</v>
      </c>
      <c r="GW126" s="171">
        <f t="shared" si="359"/>
        <v>0</v>
      </c>
      <c r="GX126" s="240">
        <f t="shared" si="359"/>
        <v>0</v>
      </c>
      <c r="GY126" s="240">
        <f t="shared" si="359"/>
        <v>0</v>
      </c>
      <c r="GZ126" s="240">
        <f>SUM(GZ127:GZ131)</f>
        <v>0</v>
      </c>
      <c r="HA126" s="240">
        <f>SUM(HA127:HA131)</f>
        <v>0</v>
      </c>
      <c r="HB126" s="498">
        <f t="shared" si="359"/>
        <v>0</v>
      </c>
      <c r="HC126" s="197">
        <f t="shared" si="359"/>
        <v>0</v>
      </c>
      <c r="HD126" s="233">
        <f t="shared" si="359"/>
        <v>62000</v>
      </c>
      <c r="HE126" s="171">
        <f t="shared" si="359"/>
        <v>0</v>
      </c>
      <c r="HF126" s="240">
        <f t="shared" si="359"/>
        <v>0</v>
      </c>
      <c r="HG126" s="240">
        <f t="shared" si="359"/>
        <v>0</v>
      </c>
      <c r="HH126" s="240">
        <f t="shared" si="359"/>
        <v>0</v>
      </c>
      <c r="HI126" s="197">
        <f t="shared" si="359"/>
        <v>0</v>
      </c>
      <c r="HJ126" s="171">
        <f t="shared" si="359"/>
        <v>0</v>
      </c>
      <c r="HK126" s="240">
        <f t="shared" si="359"/>
        <v>0</v>
      </c>
      <c r="HL126" s="240">
        <f t="shared" si="359"/>
        <v>0</v>
      </c>
      <c r="HM126" s="240">
        <f t="shared" si="359"/>
        <v>34030</v>
      </c>
      <c r="HN126" s="498">
        <f t="shared" si="359"/>
        <v>0</v>
      </c>
      <c r="HO126" s="197">
        <f t="shared" si="359"/>
        <v>34030</v>
      </c>
      <c r="HP126" s="171">
        <f t="shared" si="359"/>
        <v>0</v>
      </c>
      <c r="HQ126" s="240">
        <f t="shared" si="359"/>
        <v>0</v>
      </c>
      <c r="HR126" s="240">
        <f t="shared" si="359"/>
        <v>0</v>
      </c>
      <c r="HS126" s="240">
        <f t="shared" si="359"/>
        <v>12</v>
      </c>
      <c r="HT126" s="498">
        <f t="shared" si="359"/>
        <v>0</v>
      </c>
      <c r="HU126" s="197">
        <f t="shared" si="359"/>
        <v>12</v>
      </c>
      <c r="HV126" s="171">
        <f t="shared" si="359"/>
        <v>0</v>
      </c>
      <c r="HW126" s="240">
        <f t="shared" si="359"/>
        <v>0</v>
      </c>
      <c r="HX126" s="240">
        <f t="shared" si="359"/>
        <v>0</v>
      </c>
      <c r="HY126" s="197">
        <f t="shared" si="359"/>
        <v>0</v>
      </c>
      <c r="HZ126" s="171">
        <f t="shared" si="359"/>
        <v>0</v>
      </c>
      <c r="IA126" s="240">
        <f>SUM(IA127:IA131)</f>
        <v>0</v>
      </c>
      <c r="IB126" s="240">
        <f>SUM(IB127:IB131)</f>
        <v>0</v>
      </c>
      <c r="IC126" s="197">
        <f t="shared" si="359"/>
        <v>0</v>
      </c>
      <c r="ID126" s="233">
        <f t="shared" si="359"/>
        <v>34042</v>
      </c>
      <c r="IE126" s="171">
        <f t="shared" si="359"/>
        <v>0</v>
      </c>
      <c r="IF126" s="498">
        <f t="shared" si="359"/>
        <v>6.12</v>
      </c>
      <c r="IG126" s="197">
        <f t="shared" si="359"/>
        <v>6.12</v>
      </c>
      <c r="IH126" s="171">
        <f t="shared" si="359"/>
        <v>0</v>
      </c>
      <c r="II126" s="240">
        <f t="shared" si="359"/>
        <v>0</v>
      </c>
      <c r="IJ126" s="240">
        <f t="shared" si="359"/>
        <v>0</v>
      </c>
      <c r="IK126" s="240">
        <f t="shared" si="359"/>
        <v>0</v>
      </c>
      <c r="IL126" s="498">
        <f t="shared" si="359"/>
        <v>0</v>
      </c>
      <c r="IM126" s="197">
        <f t="shared" si="359"/>
        <v>0</v>
      </c>
      <c r="IN126" s="171">
        <f t="shared" si="359"/>
        <v>0</v>
      </c>
      <c r="IO126" s="240">
        <f t="shared" si="359"/>
        <v>0</v>
      </c>
      <c r="IP126" s="498">
        <f t="shared" si="359"/>
        <v>0</v>
      </c>
      <c r="IQ126" s="197">
        <f t="shared" si="359"/>
        <v>0</v>
      </c>
      <c r="IR126" s="171">
        <f t="shared" si="359"/>
        <v>0</v>
      </c>
      <c r="IS126" s="240">
        <f t="shared" si="359"/>
        <v>0</v>
      </c>
      <c r="IT126" s="240">
        <f t="shared" si="359"/>
        <v>0</v>
      </c>
      <c r="IU126" s="240">
        <f t="shared" si="359"/>
        <v>0</v>
      </c>
      <c r="IV126" s="498">
        <f t="shared" si="359"/>
        <v>0</v>
      </c>
      <c r="IW126" s="197">
        <f t="shared" si="359"/>
        <v>0</v>
      </c>
      <c r="IX126" s="171">
        <f t="shared" si="359"/>
        <v>0</v>
      </c>
      <c r="IY126" s="240">
        <f t="shared" si="359"/>
        <v>0</v>
      </c>
      <c r="IZ126" s="240">
        <f t="shared" si="359"/>
        <v>0</v>
      </c>
      <c r="JA126" s="240">
        <f t="shared" si="359"/>
        <v>-160140.5</v>
      </c>
      <c r="JB126" s="498">
        <f t="shared" si="359"/>
        <v>0</v>
      </c>
      <c r="JC126" s="197">
        <f t="shared" si="359"/>
        <v>-160140.5</v>
      </c>
      <c r="JD126" s="233">
        <f t="shared" si="359"/>
        <v>-160134.38</v>
      </c>
      <c r="JE126" s="171">
        <f t="shared" si="359"/>
        <v>0</v>
      </c>
      <c r="JF126" s="240">
        <f t="shared" si="359"/>
        <v>0</v>
      </c>
      <c r="JG126" s="240">
        <f t="shared" si="359"/>
        <v>0</v>
      </c>
      <c r="JH126" s="240">
        <f t="shared" si="359"/>
        <v>0</v>
      </c>
      <c r="JI126" s="498">
        <f t="shared" si="359"/>
        <v>185297.15</v>
      </c>
      <c r="JJ126" s="197">
        <f t="shared" si="359"/>
        <v>185297.15</v>
      </c>
      <c r="JK126" s="428">
        <f t="shared" si="359"/>
        <v>0</v>
      </c>
      <c r="JL126" s="429">
        <f t="shared" si="359"/>
        <v>0</v>
      </c>
      <c r="JM126" s="429">
        <f t="shared" si="359"/>
        <v>0</v>
      </c>
      <c r="JN126" s="429">
        <f t="shared" si="359"/>
        <v>0</v>
      </c>
      <c r="JO126" s="430">
        <f t="shared" si="359"/>
        <v>0</v>
      </c>
      <c r="JP126" s="147">
        <f t="shared" si="359"/>
        <v>0</v>
      </c>
      <c r="JQ126" s="428">
        <f t="shared" si="359"/>
        <v>0</v>
      </c>
      <c r="JR126" s="429">
        <f t="shared" si="359"/>
        <v>0</v>
      </c>
      <c r="JS126" s="429">
        <f t="shared" si="359"/>
        <v>0</v>
      </c>
      <c r="JT126" s="429">
        <f t="shared" si="359"/>
        <v>0</v>
      </c>
      <c r="JU126" s="430">
        <f t="shared" si="359"/>
        <v>0</v>
      </c>
      <c r="JV126" s="147">
        <f t="shared" si="359"/>
        <v>0</v>
      </c>
      <c r="JW126" s="428">
        <f t="shared" si="359"/>
        <v>0</v>
      </c>
      <c r="JX126" s="429">
        <f t="shared" si="359"/>
        <v>0</v>
      </c>
      <c r="JY126" s="429">
        <f t="shared" si="359"/>
        <v>0</v>
      </c>
      <c r="JZ126" s="429">
        <f t="shared" si="359"/>
        <v>0</v>
      </c>
      <c r="KA126" s="429"/>
      <c r="KB126" s="430">
        <f t="shared" si="359"/>
        <v>0</v>
      </c>
      <c r="KC126" s="147">
        <f t="shared" si="359"/>
        <v>0</v>
      </c>
      <c r="KD126" s="147">
        <f t="shared" si="359"/>
        <v>190000</v>
      </c>
      <c r="KE126" s="428">
        <f t="shared" si="359"/>
        <v>0</v>
      </c>
      <c r="KF126" s="429">
        <f t="shared" si="359"/>
        <v>0</v>
      </c>
      <c r="KG126" s="429">
        <f t="shared" si="359"/>
        <v>0</v>
      </c>
      <c r="KH126" s="429">
        <f t="shared" si="359"/>
        <v>0</v>
      </c>
      <c r="KI126" s="430">
        <f t="shared" si="359"/>
        <v>0</v>
      </c>
      <c r="KJ126" s="147">
        <f t="shared" si="359"/>
        <v>0</v>
      </c>
      <c r="KK126" s="428">
        <f t="shared" si="359"/>
        <v>0</v>
      </c>
      <c r="KL126" s="429">
        <f t="shared" si="359"/>
        <v>0</v>
      </c>
      <c r="KM126" s="429">
        <f t="shared" si="359"/>
        <v>0</v>
      </c>
      <c r="KN126" s="429">
        <f t="shared" si="359"/>
        <v>0</v>
      </c>
      <c r="KO126" s="430">
        <f t="shared" si="359"/>
        <v>0</v>
      </c>
      <c r="KP126" s="147">
        <f t="shared" si="359"/>
        <v>0</v>
      </c>
      <c r="KQ126" s="428">
        <f t="shared" si="359"/>
        <v>0</v>
      </c>
      <c r="KR126" s="429">
        <f t="shared" ref="KR126:LF126" si="361">SUM(KR127:KR131)</f>
        <v>0</v>
      </c>
      <c r="KS126" s="429">
        <f t="shared" si="361"/>
        <v>0</v>
      </c>
      <c r="KT126" s="429">
        <f t="shared" si="361"/>
        <v>0</v>
      </c>
      <c r="KU126" s="430">
        <f t="shared" si="361"/>
        <v>0</v>
      </c>
      <c r="KV126" s="147">
        <f t="shared" si="361"/>
        <v>0</v>
      </c>
      <c r="KW126" s="428">
        <f t="shared" si="361"/>
        <v>0</v>
      </c>
      <c r="KX126" s="429">
        <f t="shared" si="361"/>
        <v>0</v>
      </c>
      <c r="KY126" s="429">
        <f t="shared" si="361"/>
        <v>0</v>
      </c>
      <c r="KZ126" s="429">
        <f t="shared" si="361"/>
        <v>0</v>
      </c>
      <c r="LA126" s="430">
        <f t="shared" si="361"/>
        <v>0</v>
      </c>
      <c r="LB126" s="147">
        <f t="shared" si="361"/>
        <v>0</v>
      </c>
      <c r="LC126" s="428">
        <f t="shared" si="361"/>
        <v>0</v>
      </c>
      <c r="LD126" s="429">
        <f t="shared" si="361"/>
        <v>0</v>
      </c>
      <c r="LE126" s="430">
        <f t="shared" si="361"/>
        <v>0</v>
      </c>
      <c r="LF126" s="147">
        <f t="shared" si="361"/>
        <v>0</v>
      </c>
      <c r="LG126" s="147">
        <f t="shared" si="359"/>
        <v>272000</v>
      </c>
    </row>
    <row r="127" spans="2:321" s="206" customFormat="1">
      <c r="B127" s="203" t="s">
        <v>222</v>
      </c>
      <c r="C127" s="203"/>
      <c r="D127" s="202">
        <f>SUM(C127)</f>
        <v>0</v>
      </c>
      <c r="E127" s="203"/>
      <c r="F127" s="205"/>
      <c r="G127" s="205"/>
      <c r="H127" s="205"/>
      <c r="I127" s="204"/>
      <c r="J127" s="202">
        <f>SUM(E127:I127)</f>
        <v>0</v>
      </c>
      <c r="K127" s="203"/>
      <c r="L127" s="205"/>
      <c r="M127" s="205"/>
      <c r="N127" s="204"/>
      <c r="O127" s="202">
        <f>SUM(K127:N127)</f>
        <v>0</v>
      </c>
      <c r="P127" s="203"/>
      <c r="Q127" s="205"/>
      <c r="R127" s="205"/>
      <c r="S127" s="205"/>
      <c r="T127" s="204"/>
      <c r="U127" s="202">
        <f>SUM(P127:T127)</f>
        <v>0</v>
      </c>
      <c r="V127" s="203"/>
      <c r="W127" s="205">
        <v>233554.31</v>
      </c>
      <c r="X127" s="205"/>
      <c r="Y127" s="205"/>
      <c r="Z127" s="204"/>
      <c r="AA127" s="202">
        <f>SUM(V127:Z127)</f>
        <v>233554.31</v>
      </c>
      <c r="AB127" s="208">
        <f>AA127+U127+O127+J127+D127</f>
        <v>233554.31</v>
      </c>
      <c r="AC127" s="202"/>
      <c r="AD127" s="244"/>
      <c r="AE127" s="244"/>
      <c r="AF127" s="244"/>
      <c r="AG127" s="245"/>
      <c r="AH127" s="208">
        <f>SUM(AC127:AG127)</f>
        <v>0</v>
      </c>
      <c r="AI127" s="202"/>
      <c r="AJ127" s="244"/>
      <c r="AK127" s="244"/>
      <c r="AL127" s="244"/>
      <c r="AM127" s="245"/>
      <c r="AN127" s="208">
        <f>SUM(AI127:AM127)</f>
        <v>0</v>
      </c>
      <c r="AO127" s="203"/>
      <c r="AP127" s="205"/>
      <c r="AQ127" s="205"/>
      <c r="AR127" s="205"/>
      <c r="AS127" s="204"/>
      <c r="AT127" s="208">
        <v>0</v>
      </c>
      <c r="AU127" s="203"/>
      <c r="AV127" s="205"/>
      <c r="AW127" s="205"/>
      <c r="AX127" s="205"/>
      <c r="AY127" s="204"/>
      <c r="AZ127" s="208">
        <f>SUM(AU127:AY127)</f>
        <v>0</v>
      </c>
      <c r="BA127" s="208">
        <f>AZ127+AT127+AN127+AH127</f>
        <v>0</v>
      </c>
      <c r="BB127" s="203"/>
      <c r="BC127" s="205"/>
      <c r="BD127" s="205"/>
      <c r="BE127" s="205"/>
      <c r="BF127" s="204">
        <v>99300</v>
      </c>
      <c r="BG127" s="208">
        <f>SUM(BB127:BF127)</f>
        <v>99300</v>
      </c>
      <c r="BH127" s="203"/>
      <c r="BI127" s="205"/>
      <c r="BJ127" s="205"/>
      <c r="BK127" s="205"/>
      <c r="BL127" s="204"/>
      <c r="BM127" s="208">
        <f>SUM(BH127:BL127)</f>
        <v>0</v>
      </c>
      <c r="BN127" s="203"/>
      <c r="BO127" s="205"/>
      <c r="BP127" s="205"/>
      <c r="BQ127" s="204"/>
      <c r="BR127" s="208">
        <f>SUM(BN127:BQ127)</f>
        <v>0</v>
      </c>
      <c r="BS127" s="203"/>
      <c r="BT127" s="205"/>
      <c r="BU127" s="205"/>
      <c r="BV127" s="205"/>
      <c r="BW127" s="204"/>
      <c r="BX127" s="208">
        <f>SUM(BS127:BW127)</f>
        <v>0</v>
      </c>
      <c r="BY127" s="203"/>
      <c r="BZ127" s="205"/>
      <c r="CA127" s="208">
        <f>SUM(BY127:BZ127)</f>
        <v>0</v>
      </c>
      <c r="CB127" s="208">
        <f>CA127+BX127+BR127+BM127+BG127</f>
        <v>99300</v>
      </c>
      <c r="CC127" s="203"/>
      <c r="CD127" s="205"/>
      <c r="CE127" s="205"/>
      <c r="CF127" s="208">
        <f>SUM(CC127:CE127)</f>
        <v>0</v>
      </c>
      <c r="CG127" s="203"/>
      <c r="CH127" s="205"/>
      <c r="CI127" s="205">
        <f>100702.14+100628.58</f>
        <v>201330.72</v>
      </c>
      <c r="CJ127" s="204"/>
      <c r="CK127" s="208">
        <f>SUM(CG127:CJ127)</f>
        <v>201330.72</v>
      </c>
      <c r="CL127" s="203"/>
      <c r="CM127" s="205"/>
      <c r="CN127" s="205"/>
      <c r="CO127" s="205"/>
      <c r="CP127" s="204"/>
      <c r="CQ127" s="208">
        <f>SUM(CL127:CP127)</f>
        <v>0</v>
      </c>
      <c r="CR127" s="203"/>
      <c r="CS127" s="205"/>
      <c r="CT127" s="205"/>
      <c r="CU127" s="205"/>
      <c r="CV127" s="204"/>
      <c r="CW127" s="208">
        <f>SUM(CR127:CV127)</f>
        <v>0</v>
      </c>
      <c r="CX127" s="203"/>
      <c r="CY127" s="205"/>
      <c r="CZ127" s="205"/>
      <c r="DA127" s="204"/>
      <c r="DB127" s="208">
        <f>SUM(CX127:DA127)</f>
        <v>0</v>
      </c>
      <c r="DC127" s="208">
        <f>DB127+CW127+CQ127+CK127+CF127</f>
        <v>201330.72</v>
      </c>
      <c r="DD127" s="203"/>
      <c r="DE127" s="205"/>
      <c r="DF127" s="205"/>
      <c r="DG127" s="205"/>
      <c r="DH127" s="205"/>
      <c r="DI127" s="208">
        <f>SUM(DD127:DH127)</f>
        <v>0</v>
      </c>
      <c r="DJ127" s="203"/>
      <c r="DK127" s="205"/>
      <c r="DL127" s="205"/>
      <c r="DM127" s="205"/>
      <c r="DN127" s="204"/>
      <c r="DO127" s="202">
        <f>SUM(DJ127:DN127)</f>
        <v>0</v>
      </c>
      <c r="DP127" s="203"/>
      <c r="DQ127" s="205"/>
      <c r="DR127" s="205"/>
      <c r="DS127" s="205"/>
      <c r="DT127" s="204"/>
      <c r="DU127" s="208">
        <f>SUM(DP127:DT127)</f>
        <v>0</v>
      </c>
      <c r="DV127" s="203"/>
      <c r="DW127" s="205"/>
      <c r="DX127" s="205"/>
      <c r="DY127" s="205"/>
      <c r="DZ127" s="204"/>
      <c r="EA127" s="208">
        <f>SUM(DV127:DZ127)</f>
        <v>0</v>
      </c>
      <c r="EB127" s="208">
        <f>EA127+DU127+DO127+DI127</f>
        <v>0</v>
      </c>
      <c r="EC127" s="203"/>
      <c r="ED127" s="205"/>
      <c r="EE127" s="205"/>
      <c r="EF127" s="205"/>
      <c r="EG127" s="204"/>
      <c r="EH127" s="208">
        <f>SUM(EC127:EG127)</f>
        <v>0</v>
      </c>
      <c r="EI127" s="203"/>
      <c r="EJ127" s="205"/>
      <c r="EK127" s="205"/>
      <c r="EL127" s="205"/>
      <c r="EM127" s="204"/>
      <c r="EN127" s="208">
        <f>SUM(EI127:EM127)</f>
        <v>0</v>
      </c>
      <c r="EO127" s="202"/>
      <c r="EP127" s="244"/>
      <c r="EQ127" s="244"/>
      <c r="ER127" s="244"/>
      <c r="ES127" s="245"/>
      <c r="ET127" s="245">
        <f>SUM(EO127:ES127)</f>
        <v>0</v>
      </c>
      <c r="EU127" s="203"/>
      <c r="EV127" s="205"/>
      <c r="EW127" s="205"/>
      <c r="EX127" s="205"/>
      <c r="EY127" s="205"/>
      <c r="EZ127" s="205"/>
      <c r="FA127" s="204"/>
      <c r="FB127" s="208">
        <f>SUM(EU127:FA127)</f>
        <v>0</v>
      </c>
      <c r="FC127" s="208">
        <f>FB127+ET127+EN127+EH127</f>
        <v>0</v>
      </c>
      <c r="FD127" s="203"/>
      <c r="FE127" s="205"/>
      <c r="FF127" s="204"/>
      <c r="FG127" s="208">
        <f>SUM(FD127:FF127)</f>
        <v>0</v>
      </c>
      <c r="FH127" s="203"/>
      <c r="FI127" s="205"/>
      <c r="FJ127" s="205"/>
      <c r="FK127" s="205"/>
      <c r="FL127" s="204"/>
      <c r="FM127" s="208">
        <f>SUM(FH127:FL127)</f>
        <v>0</v>
      </c>
      <c r="FN127" s="203"/>
      <c r="FO127" s="205"/>
      <c r="FP127" s="205"/>
      <c r="FQ127" s="205"/>
      <c r="FR127" s="208">
        <f>SUM(FN127:FQ127)</f>
        <v>0</v>
      </c>
      <c r="FS127" s="203"/>
      <c r="FT127" s="205"/>
      <c r="FU127" s="205"/>
      <c r="FV127" s="205"/>
      <c r="FW127" s="204"/>
      <c r="FX127" s="208">
        <f>SUM(FS127:FW127)</f>
        <v>0</v>
      </c>
      <c r="FY127" s="203"/>
      <c r="FZ127" s="205"/>
      <c r="GA127" s="205"/>
      <c r="GB127" s="205"/>
      <c r="GC127" s="204"/>
      <c r="GD127" s="208">
        <f>SUM(FY127:GC127)</f>
        <v>0</v>
      </c>
      <c r="GE127" s="208">
        <f>FG127+FM127+FR127+FX127+GD127</f>
        <v>0</v>
      </c>
      <c r="GF127" s="203">
        <v>62000</v>
      </c>
      <c r="GG127" s="205"/>
      <c r="GH127" s="205"/>
      <c r="GI127" s="205"/>
      <c r="GJ127" s="205"/>
      <c r="GK127" s="208">
        <f>SUM(GF127:GJ127)</f>
        <v>62000</v>
      </c>
      <c r="GL127" s="203"/>
      <c r="GM127" s="205"/>
      <c r="GN127" s="205"/>
      <c r="GO127" s="204"/>
      <c r="GP127" s="208">
        <f>SUM(GL127:GO127)</f>
        <v>0</v>
      </c>
      <c r="GQ127" s="203"/>
      <c r="GR127" s="205"/>
      <c r="GS127" s="205"/>
      <c r="GT127" s="205"/>
      <c r="GU127" s="204"/>
      <c r="GV127" s="208">
        <f>SUM(GQ127:GU127)</f>
        <v>0</v>
      </c>
      <c r="GW127" s="202"/>
      <c r="GX127" s="244"/>
      <c r="GY127" s="244"/>
      <c r="GZ127" s="244"/>
      <c r="HA127" s="244"/>
      <c r="HB127" s="245"/>
      <c r="HC127" s="208">
        <f>SUM(GW127:HB127)</f>
        <v>0</v>
      </c>
      <c r="HD127" s="208">
        <f>GK127+GP127+GV127+HC127</f>
        <v>62000</v>
      </c>
      <c r="HE127" s="202"/>
      <c r="HF127" s="244"/>
      <c r="HG127" s="244"/>
      <c r="HH127" s="244"/>
      <c r="HI127" s="208">
        <f>SUM(HE127:HH127)</f>
        <v>0</v>
      </c>
      <c r="HJ127" s="203"/>
      <c r="HK127" s="205"/>
      <c r="HL127" s="205"/>
      <c r="HM127" s="205"/>
      <c r="HN127" s="204"/>
      <c r="HO127" s="208">
        <f>SUM(HJ127:HN127)</f>
        <v>0</v>
      </c>
      <c r="HP127" s="203"/>
      <c r="HQ127" s="205"/>
      <c r="HR127" s="205"/>
      <c r="HS127" s="205"/>
      <c r="HT127" s="204"/>
      <c r="HU127" s="208">
        <f>SUM(HP127:HT127)</f>
        <v>0</v>
      </c>
      <c r="HV127" s="203"/>
      <c r="HW127" s="205"/>
      <c r="HX127" s="205"/>
      <c r="HY127" s="208">
        <f>SUM(HV127:HX127)</f>
        <v>0</v>
      </c>
      <c r="HZ127" s="203"/>
      <c r="IA127" s="205"/>
      <c r="IB127" s="205"/>
      <c r="IC127" s="208">
        <f>SUM(HZ127:IB127)</f>
        <v>0</v>
      </c>
      <c r="ID127" s="208">
        <f>HI127+HO127+HU127+HY127+IC127</f>
        <v>0</v>
      </c>
      <c r="IE127" s="203"/>
      <c r="IF127" s="204"/>
      <c r="IG127" s="208">
        <f>SUM(IE127:IF127)</f>
        <v>0</v>
      </c>
      <c r="IH127" s="203"/>
      <c r="II127" s="205"/>
      <c r="IJ127" s="205"/>
      <c r="IK127" s="205"/>
      <c r="IL127" s="204"/>
      <c r="IM127" s="208">
        <f>SUM(IH127:IL127)</f>
        <v>0</v>
      </c>
      <c r="IN127" s="202"/>
      <c r="IO127" s="244"/>
      <c r="IP127" s="245"/>
      <c r="IQ127" s="208">
        <f>SUM(IN127:IP127)</f>
        <v>0</v>
      </c>
      <c r="IR127" s="202"/>
      <c r="IS127" s="244"/>
      <c r="IT127" s="244"/>
      <c r="IU127" s="244"/>
      <c r="IV127" s="245"/>
      <c r="IW127" s="208">
        <f>SUM(IR127:IV127)</f>
        <v>0</v>
      </c>
      <c r="IX127" s="203"/>
      <c r="IY127" s="205"/>
      <c r="IZ127" s="205"/>
      <c r="JA127" s="205"/>
      <c r="JB127" s="204"/>
      <c r="JC127" s="208">
        <f>SUM(IX127:JB127)</f>
        <v>0</v>
      </c>
      <c r="JD127" s="208">
        <f>JC127+IW127+IQ127+IM127+IG127</f>
        <v>0</v>
      </c>
      <c r="JE127" s="203"/>
      <c r="JF127" s="205"/>
      <c r="JG127" s="205"/>
      <c r="JH127" s="205"/>
      <c r="JI127" s="204">
        <f>90622.5+94674.65</f>
        <v>185297.15</v>
      </c>
      <c r="JJ127" s="208">
        <f>SUM(JE127:JI127)</f>
        <v>185297.15</v>
      </c>
      <c r="JK127" s="203"/>
      <c r="JL127" s="205"/>
      <c r="JM127" s="205"/>
      <c r="JN127" s="205"/>
      <c r="JO127" s="204"/>
      <c r="JP127" s="208">
        <f>SUM(JK127:JO127)</f>
        <v>0</v>
      </c>
      <c r="JQ127" s="202"/>
      <c r="JR127" s="244"/>
      <c r="JS127" s="244"/>
      <c r="JT127" s="244"/>
      <c r="JU127" s="245"/>
      <c r="JV127" s="208">
        <f>SUM(JQ127:JU127)</f>
        <v>0</v>
      </c>
      <c r="JW127" s="202"/>
      <c r="JX127" s="244"/>
      <c r="JY127" s="244"/>
      <c r="JZ127" s="244"/>
      <c r="KA127" s="244"/>
      <c r="KB127" s="245"/>
      <c r="KC127" s="208">
        <f>SUM(JW127:KB127)</f>
        <v>0</v>
      </c>
      <c r="KD127" s="208">
        <v>190000</v>
      </c>
      <c r="KE127" s="203"/>
      <c r="KF127" s="205"/>
      <c r="KG127" s="205"/>
      <c r="KH127" s="205"/>
      <c r="KI127" s="204"/>
      <c r="KJ127" s="208">
        <f>SUM(KE127:KI127)</f>
        <v>0</v>
      </c>
      <c r="KK127" s="203"/>
      <c r="KL127" s="205"/>
      <c r="KM127" s="205"/>
      <c r="KN127" s="205"/>
      <c r="KO127" s="204"/>
      <c r="KP127" s="208">
        <f>SUM(KK127:KO127)</f>
        <v>0</v>
      </c>
      <c r="KQ127" s="203"/>
      <c r="KR127" s="205"/>
      <c r="KS127" s="205"/>
      <c r="KT127" s="205"/>
      <c r="KU127" s="204"/>
      <c r="KV127" s="208">
        <f>SUM(KQ127:KU127)</f>
        <v>0</v>
      </c>
      <c r="KW127" s="202"/>
      <c r="KX127" s="244"/>
      <c r="KY127" s="244"/>
      <c r="KZ127" s="244"/>
      <c r="LA127" s="245"/>
      <c r="LB127" s="208">
        <f>SUM(KW127:LA127)</f>
        <v>0</v>
      </c>
      <c r="LC127" s="202"/>
      <c r="LD127" s="244"/>
      <c r="LE127" s="245"/>
      <c r="LF127" s="208">
        <f>SUM(LC127:LE127)</f>
        <v>0</v>
      </c>
      <c r="LG127" s="208">
        <f>LF127+LB127+KV127+KP127+KJ127</f>
        <v>0</v>
      </c>
    </row>
    <row r="128" spans="2:321" s="91" customFormat="1">
      <c r="B128" s="167" t="s">
        <v>78</v>
      </c>
      <c r="C128" s="167"/>
      <c r="D128" s="202">
        <f>SUM(C128)</f>
        <v>0</v>
      </c>
      <c r="E128" s="167"/>
      <c r="F128" s="177"/>
      <c r="G128" s="177"/>
      <c r="H128" s="177"/>
      <c r="I128" s="178"/>
      <c r="J128" s="202">
        <f>SUM(E128:I128)</f>
        <v>0</v>
      </c>
      <c r="K128" s="167"/>
      <c r="L128" s="177"/>
      <c r="M128" s="177"/>
      <c r="N128" s="178"/>
      <c r="O128" s="202">
        <f>SUM(K128:N128)</f>
        <v>0</v>
      </c>
      <c r="P128" s="167"/>
      <c r="Q128" s="177"/>
      <c r="R128" s="177"/>
      <c r="S128" s="177"/>
      <c r="T128" s="178"/>
      <c r="U128" s="202">
        <f>SUM(P128:T128)</f>
        <v>0</v>
      </c>
      <c r="V128" s="167"/>
      <c r="W128" s="177"/>
      <c r="X128" s="177"/>
      <c r="Y128" s="177"/>
      <c r="Z128" s="178"/>
      <c r="AA128" s="202">
        <f>SUM(V128:Z128)</f>
        <v>0</v>
      </c>
      <c r="AB128" s="208">
        <f>AA128+U128+O128+J128+D128</f>
        <v>0</v>
      </c>
      <c r="AC128" s="202"/>
      <c r="AD128" s="244"/>
      <c r="AE128" s="244"/>
      <c r="AF128" s="244"/>
      <c r="AG128" s="245"/>
      <c r="AH128" s="208">
        <f>SUM(AC128:AG128)</f>
        <v>0</v>
      </c>
      <c r="AI128" s="202"/>
      <c r="AJ128" s="244"/>
      <c r="AK128" s="244"/>
      <c r="AL128" s="244"/>
      <c r="AM128" s="245"/>
      <c r="AN128" s="208">
        <f>SUM(AI128:AM128)</f>
        <v>0</v>
      </c>
      <c r="AO128" s="203"/>
      <c r="AP128" s="205"/>
      <c r="AQ128" s="205"/>
      <c r="AR128" s="205"/>
      <c r="AS128" s="204"/>
      <c r="AT128" s="208">
        <f>SUM(AO128:AS128)</f>
        <v>0</v>
      </c>
      <c r="AU128" s="203"/>
      <c r="AV128" s="205"/>
      <c r="AW128" s="205"/>
      <c r="AX128" s="205"/>
      <c r="AY128" s="204"/>
      <c r="AZ128" s="208">
        <f>SUM(AU128:AY128)</f>
        <v>0</v>
      </c>
      <c r="BA128" s="208">
        <f>AZ128+AT128+AN128+AH128</f>
        <v>0</v>
      </c>
      <c r="BB128" s="203"/>
      <c r="BC128" s="205"/>
      <c r="BD128" s="205"/>
      <c r="BE128" s="205"/>
      <c r="BF128" s="204"/>
      <c r="BG128" s="208">
        <f>SUM(BB128:BF128)</f>
        <v>0</v>
      </c>
      <c r="BH128" s="203"/>
      <c r="BI128" s="205"/>
      <c r="BJ128" s="205"/>
      <c r="BK128" s="205"/>
      <c r="BL128" s="204"/>
      <c r="BM128" s="208">
        <f>SUM(BH128:BL128)</f>
        <v>0</v>
      </c>
      <c r="BN128" s="203"/>
      <c r="BO128" s="205"/>
      <c r="BP128" s="205"/>
      <c r="BQ128" s="204"/>
      <c r="BR128" s="208">
        <f>SUM(BN128:BQ128)</f>
        <v>0</v>
      </c>
      <c r="BS128" s="203"/>
      <c r="BT128" s="205"/>
      <c r="BU128" s="205"/>
      <c r="BV128" s="205"/>
      <c r="BW128" s="204"/>
      <c r="BX128" s="208">
        <f>SUM(BS128:BW128)</f>
        <v>0</v>
      </c>
      <c r="BY128" s="203"/>
      <c r="BZ128" s="205"/>
      <c r="CA128" s="208">
        <f>SUM(BY128:BZ128)</f>
        <v>0</v>
      </c>
      <c r="CB128" s="208">
        <f>CA128+BX128+BR128+BM128+BG128</f>
        <v>0</v>
      </c>
      <c r="CC128" s="203"/>
      <c r="CD128" s="205"/>
      <c r="CE128" s="205"/>
      <c r="CF128" s="208">
        <f>SUM(CC128:CE128)</f>
        <v>0</v>
      </c>
      <c r="CG128" s="203"/>
      <c r="CH128" s="205"/>
      <c r="CI128" s="205"/>
      <c r="CJ128" s="204"/>
      <c r="CK128" s="208">
        <f>SUM(CG128:CJ128)</f>
        <v>0</v>
      </c>
      <c r="CL128" s="203"/>
      <c r="CM128" s="205"/>
      <c r="CN128" s="205"/>
      <c r="CO128" s="205"/>
      <c r="CP128" s="204"/>
      <c r="CQ128" s="208">
        <f>SUM(CL128:CP128)</f>
        <v>0</v>
      </c>
      <c r="CR128" s="203"/>
      <c r="CS128" s="205"/>
      <c r="CT128" s="205"/>
      <c r="CU128" s="205"/>
      <c r="CV128" s="204"/>
      <c r="CW128" s="208">
        <f>SUM(CR128:CV128)</f>
        <v>0</v>
      </c>
      <c r="CX128" s="203"/>
      <c r="CY128" s="205"/>
      <c r="CZ128" s="205"/>
      <c r="DA128" s="204"/>
      <c r="DB128" s="208">
        <f>SUM(CX128:DA128)</f>
        <v>0</v>
      </c>
      <c r="DC128" s="208">
        <f>DB128+CW128+CQ128+CK128+CF128</f>
        <v>0</v>
      </c>
      <c r="DD128" s="203"/>
      <c r="DE128" s="205"/>
      <c r="DF128" s="205"/>
      <c r="DG128" s="205"/>
      <c r="DH128" s="205"/>
      <c r="DI128" s="208">
        <f>SUM(DD128:DH128)</f>
        <v>0</v>
      </c>
      <c r="DJ128" s="203"/>
      <c r="DK128" s="205"/>
      <c r="DL128" s="205"/>
      <c r="DM128" s="205"/>
      <c r="DN128" s="204"/>
      <c r="DO128" s="202">
        <f>SUM(DJ128:DN128)</f>
        <v>0</v>
      </c>
      <c r="DP128" s="203"/>
      <c r="DQ128" s="205"/>
      <c r="DR128" s="205"/>
      <c r="DS128" s="205"/>
      <c r="DT128" s="204"/>
      <c r="DU128" s="208">
        <f>SUM(DP128:DT128)</f>
        <v>0</v>
      </c>
      <c r="DV128" s="203"/>
      <c r="DW128" s="205"/>
      <c r="DX128" s="205"/>
      <c r="DY128" s="205"/>
      <c r="DZ128" s="204"/>
      <c r="EA128" s="208">
        <f>SUM(DV128:DZ128)</f>
        <v>0</v>
      </c>
      <c r="EB128" s="208">
        <f>EA128+DU128+DO128+DI128</f>
        <v>0</v>
      </c>
      <c r="EC128" s="203"/>
      <c r="ED128" s="205"/>
      <c r="EE128" s="205"/>
      <c r="EF128" s="205"/>
      <c r="EG128" s="204"/>
      <c r="EH128" s="208">
        <f>SUM(EC128:EG128)</f>
        <v>0</v>
      </c>
      <c r="EI128" s="203"/>
      <c r="EJ128" s="205"/>
      <c r="EK128" s="205"/>
      <c r="EL128" s="205"/>
      <c r="EM128" s="204"/>
      <c r="EN128" s="208">
        <f>SUM(EI128:EM128)</f>
        <v>0</v>
      </c>
      <c r="EO128" s="202"/>
      <c r="EP128" s="244"/>
      <c r="EQ128" s="244"/>
      <c r="ER128" s="244"/>
      <c r="ES128" s="245"/>
      <c r="ET128" s="245">
        <f>SUM(EO128:ES128)</f>
        <v>0</v>
      </c>
      <c r="EU128" s="203"/>
      <c r="EV128" s="205"/>
      <c r="EW128" s="205"/>
      <c r="EX128" s="205"/>
      <c r="EY128" s="205"/>
      <c r="EZ128" s="205"/>
      <c r="FA128" s="204"/>
      <c r="FB128" s="208">
        <f>SUM(EU128:FA128)</f>
        <v>0</v>
      </c>
      <c r="FC128" s="208">
        <f>FB128+ET128+EN128+EH128</f>
        <v>0</v>
      </c>
      <c r="FD128" s="203"/>
      <c r="FE128" s="205"/>
      <c r="FF128" s="204"/>
      <c r="FG128" s="208">
        <f>SUM(FD128:FF128)</f>
        <v>0</v>
      </c>
      <c r="FH128" s="203"/>
      <c r="FI128" s="205"/>
      <c r="FJ128" s="205"/>
      <c r="FK128" s="205"/>
      <c r="FL128" s="204"/>
      <c r="FM128" s="208">
        <f>SUM(FH128:FL128)</f>
        <v>0</v>
      </c>
      <c r="FN128" s="203"/>
      <c r="FO128" s="205"/>
      <c r="FP128" s="205"/>
      <c r="FQ128" s="205"/>
      <c r="FR128" s="208">
        <f>SUM(FN128:FQ128)</f>
        <v>0</v>
      </c>
      <c r="FS128" s="203"/>
      <c r="FT128" s="205"/>
      <c r="FU128" s="205"/>
      <c r="FV128" s="205"/>
      <c r="FW128" s="204"/>
      <c r="FX128" s="208">
        <f>SUM(FS128:FW128)</f>
        <v>0</v>
      </c>
      <c r="FY128" s="203"/>
      <c r="FZ128" s="205"/>
      <c r="GA128" s="205"/>
      <c r="GB128" s="205"/>
      <c r="GC128" s="204"/>
      <c r="GD128" s="208">
        <f>SUM(FY128:GC128)</f>
        <v>0</v>
      </c>
      <c r="GE128" s="208">
        <f>FG128+FM128+FR128+FX128+GD128</f>
        <v>0</v>
      </c>
      <c r="GF128" s="203"/>
      <c r="GG128" s="205"/>
      <c r="GH128" s="205"/>
      <c r="GI128" s="205"/>
      <c r="GJ128" s="205"/>
      <c r="GK128" s="208">
        <f>SUM(GF128:GJ128)</f>
        <v>0</v>
      </c>
      <c r="GL128" s="203"/>
      <c r="GM128" s="205"/>
      <c r="GN128" s="205"/>
      <c r="GO128" s="204"/>
      <c r="GP128" s="208">
        <f>SUM(GL128:GO128)</f>
        <v>0</v>
      </c>
      <c r="GQ128" s="203"/>
      <c r="GR128" s="205"/>
      <c r="GS128" s="205"/>
      <c r="GT128" s="205"/>
      <c r="GU128" s="204"/>
      <c r="GV128" s="208">
        <f>SUM(GQ128:GU128)</f>
        <v>0</v>
      </c>
      <c r="GW128" s="202"/>
      <c r="GX128" s="244"/>
      <c r="GY128" s="244"/>
      <c r="GZ128" s="244"/>
      <c r="HA128" s="244"/>
      <c r="HB128" s="245"/>
      <c r="HC128" s="208">
        <f>SUM(GW128:HB128)</f>
        <v>0</v>
      </c>
      <c r="HD128" s="208">
        <f>GK128+GP128+GV128+HC128</f>
        <v>0</v>
      </c>
      <c r="HE128" s="202"/>
      <c r="HF128" s="244"/>
      <c r="HG128" s="244"/>
      <c r="HH128" s="244"/>
      <c r="HI128" s="208">
        <f>SUM(HE128:HH128)</f>
        <v>0</v>
      </c>
      <c r="HJ128" s="203"/>
      <c r="HK128" s="205"/>
      <c r="HL128" s="205"/>
      <c r="HM128" s="205"/>
      <c r="HN128" s="204"/>
      <c r="HO128" s="208">
        <f>SUM(HJ128:HN128)</f>
        <v>0</v>
      </c>
      <c r="HP128" s="203"/>
      <c r="HQ128" s="205"/>
      <c r="HR128" s="205"/>
      <c r="HS128" s="205"/>
      <c r="HT128" s="204"/>
      <c r="HU128" s="208">
        <f>SUM(HP128:HT128)</f>
        <v>0</v>
      </c>
      <c r="HV128" s="203"/>
      <c r="HW128" s="205"/>
      <c r="HX128" s="205"/>
      <c r="HY128" s="208">
        <f>SUM(HV128:HX128)</f>
        <v>0</v>
      </c>
      <c r="HZ128" s="203"/>
      <c r="IA128" s="205"/>
      <c r="IB128" s="205"/>
      <c r="IC128" s="208">
        <f t="shared" ref="IC128:IC130" si="362">SUM(HZ128:IB128)</f>
        <v>0</v>
      </c>
      <c r="ID128" s="208">
        <f>HI128+HO128+HU128+HY128+IC128</f>
        <v>0</v>
      </c>
      <c r="IE128" s="203"/>
      <c r="IF128" s="204"/>
      <c r="IG128" s="208">
        <f>SUM(IE128:IF128)</f>
        <v>0</v>
      </c>
      <c r="IH128" s="203"/>
      <c r="II128" s="205"/>
      <c r="IJ128" s="205"/>
      <c r="IK128" s="205"/>
      <c r="IL128" s="204"/>
      <c r="IM128" s="208">
        <f>SUM(IH128:IL128)</f>
        <v>0</v>
      </c>
      <c r="IN128" s="202"/>
      <c r="IO128" s="244"/>
      <c r="IP128" s="245"/>
      <c r="IQ128" s="208">
        <f>SUM(IN128:IP128)</f>
        <v>0</v>
      </c>
      <c r="IR128" s="202"/>
      <c r="IS128" s="244"/>
      <c r="IT128" s="244"/>
      <c r="IU128" s="244"/>
      <c r="IV128" s="245"/>
      <c r="IW128" s="208">
        <f>SUM(IR128:IV128)</f>
        <v>0</v>
      </c>
      <c r="IX128" s="203"/>
      <c r="IY128" s="205"/>
      <c r="IZ128" s="205"/>
      <c r="JA128" s="205"/>
      <c r="JB128" s="204"/>
      <c r="JC128" s="208">
        <f>SUM(IX128:JB128)</f>
        <v>0</v>
      </c>
      <c r="JD128" s="208">
        <f t="shared" ref="JD128:JD130" si="363">JC128+IW128+IQ128+IM128+IG128</f>
        <v>0</v>
      </c>
      <c r="JE128" s="203"/>
      <c r="JF128" s="205"/>
      <c r="JG128" s="205"/>
      <c r="JH128" s="205"/>
      <c r="JI128" s="204"/>
      <c r="JJ128" s="208">
        <f t="shared" ref="JJ128:JJ130" si="364">SUM(JE128:JI128)</f>
        <v>0</v>
      </c>
      <c r="JK128" s="203"/>
      <c r="JL128" s="205"/>
      <c r="JM128" s="205"/>
      <c r="JN128" s="205"/>
      <c r="JO128" s="204"/>
      <c r="JP128" s="208">
        <f>SUM(JK128:JO128)</f>
        <v>0</v>
      </c>
      <c r="JQ128" s="202"/>
      <c r="JR128" s="244"/>
      <c r="JS128" s="244"/>
      <c r="JT128" s="244"/>
      <c r="JU128" s="245"/>
      <c r="JV128" s="208">
        <f>SUM(JQ128:JU128)</f>
        <v>0</v>
      </c>
      <c r="JW128" s="202"/>
      <c r="JX128" s="244"/>
      <c r="JY128" s="244"/>
      <c r="JZ128" s="244"/>
      <c r="KA128" s="244"/>
      <c r="KB128" s="245"/>
      <c r="KC128" s="208">
        <f>SUM(JW128:KB128)</f>
        <v>0</v>
      </c>
      <c r="KD128" s="208">
        <f>JJ128+JP128+JV128+KC128</f>
        <v>0</v>
      </c>
      <c r="KE128" s="203"/>
      <c r="KF128" s="205"/>
      <c r="KG128" s="205"/>
      <c r="KH128" s="205"/>
      <c r="KI128" s="204"/>
      <c r="KJ128" s="208">
        <f>SUM(KE128:KI128)</f>
        <v>0</v>
      </c>
      <c r="KK128" s="203"/>
      <c r="KL128" s="205"/>
      <c r="KM128" s="205"/>
      <c r="KN128" s="205"/>
      <c r="KO128" s="204"/>
      <c r="KP128" s="208">
        <f>SUM(KK128:KO128)</f>
        <v>0</v>
      </c>
      <c r="KQ128" s="203"/>
      <c r="KR128" s="205"/>
      <c r="KS128" s="205"/>
      <c r="KT128" s="205"/>
      <c r="KU128" s="204"/>
      <c r="KV128" s="208">
        <f>SUM(KQ128:KU128)</f>
        <v>0</v>
      </c>
      <c r="KW128" s="202"/>
      <c r="KX128" s="244"/>
      <c r="KY128" s="244"/>
      <c r="KZ128" s="244"/>
      <c r="LA128" s="245"/>
      <c r="LB128" s="208">
        <f>SUM(KW128:LA128)</f>
        <v>0</v>
      </c>
      <c r="LC128" s="202"/>
      <c r="LD128" s="244"/>
      <c r="LE128" s="245"/>
      <c r="LF128" s="208">
        <f>SUM(LC128:LE128)</f>
        <v>0</v>
      </c>
      <c r="LG128" s="208">
        <f>LF128+LB128+KV128+KP128+KJ128</f>
        <v>0</v>
      </c>
    </row>
    <row r="129" spans="2:325" s="91" customFormat="1">
      <c r="B129" s="167" t="s">
        <v>198</v>
      </c>
      <c r="C129" s="167"/>
      <c r="D129" s="202">
        <f>SUM(C129)</f>
        <v>0</v>
      </c>
      <c r="E129" s="167"/>
      <c r="F129" s="177"/>
      <c r="G129" s="177"/>
      <c r="H129" s="177"/>
      <c r="I129" s="178"/>
      <c r="J129" s="202">
        <f>SUM(E129:I129)</f>
        <v>0</v>
      </c>
      <c r="K129" s="167"/>
      <c r="L129" s="177"/>
      <c r="M129" s="177"/>
      <c r="N129" s="178"/>
      <c r="O129" s="202">
        <f>SUM(K129:N129)</f>
        <v>0</v>
      </c>
      <c r="P129" s="167"/>
      <c r="Q129" s="177"/>
      <c r="R129" s="177"/>
      <c r="S129" s="177"/>
      <c r="T129" s="178"/>
      <c r="U129" s="202">
        <f>SUM(P129:T129)</f>
        <v>0</v>
      </c>
      <c r="V129" s="167">
        <f>-V115*1.155</f>
        <v>-161700</v>
      </c>
      <c r="W129" s="177"/>
      <c r="X129" s="177"/>
      <c r="Y129" s="177"/>
      <c r="Z129" s="178"/>
      <c r="AA129" s="202">
        <f>SUM(V129:Z129)</f>
        <v>-161700</v>
      </c>
      <c r="AB129" s="208">
        <f>AA129+U129+O129+J129+D129</f>
        <v>-161700</v>
      </c>
      <c r="AC129" s="202"/>
      <c r="AD129" s="244"/>
      <c r="AE129" s="244"/>
      <c r="AF129" s="244"/>
      <c r="AG129" s="245"/>
      <c r="AH129" s="208">
        <f>SUM(AC129:AG129)</f>
        <v>0</v>
      </c>
      <c r="AI129" s="202"/>
      <c r="AJ129" s="244"/>
      <c r="AL129" s="244"/>
      <c r="AM129" s="245"/>
      <c r="AN129" s="208">
        <f>SUM(AI129:AM129)</f>
        <v>0</v>
      </c>
      <c r="AO129" s="203"/>
      <c r="AP129" s="205"/>
      <c r="AQ129" s="205"/>
      <c r="AR129" s="205"/>
      <c r="AS129" s="204"/>
      <c r="AT129" s="208">
        <v>0</v>
      </c>
      <c r="AU129" s="203"/>
      <c r="AV129" s="205"/>
      <c r="AW129" s="205"/>
      <c r="AX129" s="205"/>
      <c r="AY129" s="204"/>
      <c r="AZ129" s="208">
        <f>SUM(AU129:AY129)</f>
        <v>0</v>
      </c>
      <c r="BA129" s="208">
        <f>AZ129+AT129+AN129+AH129</f>
        <v>0</v>
      </c>
      <c r="BB129" s="203"/>
      <c r="BC129" s="205"/>
      <c r="BD129" s="205"/>
      <c r="BE129" s="205">
        <f>-BD115*1.1165</f>
        <v>-111650</v>
      </c>
      <c r="BF129" s="204"/>
      <c r="BG129" s="208">
        <f>SUM(BB129:BF129)</f>
        <v>-111650</v>
      </c>
      <c r="BH129" s="203"/>
      <c r="BI129" s="205"/>
      <c r="BJ129" s="205"/>
      <c r="BK129" s="205">
        <f>-215100</f>
        <v>-215100</v>
      </c>
      <c r="BL129" s="204"/>
      <c r="BM129" s="208">
        <f>SUM(BH129:BL129)</f>
        <v>-215100</v>
      </c>
      <c r="BN129" s="203"/>
      <c r="BO129" s="205"/>
      <c r="BP129" s="205"/>
      <c r="BQ129" s="204"/>
      <c r="BR129" s="208">
        <f>SUM(BN129:BQ129)</f>
        <v>0</v>
      </c>
      <c r="BS129" s="203"/>
      <c r="BT129" s="205"/>
      <c r="BU129" s="205"/>
      <c r="BV129" s="205"/>
      <c r="BW129" s="204"/>
      <c r="BX129" s="208">
        <f>SUM(BS129:BW129)</f>
        <v>0</v>
      </c>
      <c r="BY129" s="203"/>
      <c r="BZ129" s="205"/>
      <c r="CA129" s="208">
        <f>SUM(BY129:BZ129)</f>
        <v>0</v>
      </c>
      <c r="CB129" s="208">
        <f>CA129+BX129+BR129+BM129+BG129</f>
        <v>-326750</v>
      </c>
      <c r="CC129" s="203"/>
      <c r="CD129" s="205"/>
      <c r="CE129" s="205"/>
      <c r="CF129" s="208">
        <f>SUM(CC129:CE129)</f>
        <v>0</v>
      </c>
      <c r="CG129" s="203"/>
      <c r="CH129" s="205"/>
      <c r="CI129" s="205"/>
      <c r="CJ129" s="204"/>
      <c r="CK129" s="208">
        <f>SUM(CG129:CJ129)</f>
        <v>0</v>
      </c>
      <c r="CL129" s="203"/>
      <c r="CM129" s="205"/>
      <c r="CN129" s="205"/>
      <c r="CO129" s="205"/>
      <c r="CP129" s="204"/>
      <c r="CQ129" s="208">
        <f>SUM(CL129:CP129)</f>
        <v>0</v>
      </c>
      <c r="CR129" s="203"/>
      <c r="CS129" s="205"/>
      <c r="CT129" s="205">
        <v>120000</v>
      </c>
      <c r="CU129" s="205"/>
      <c r="CV129" s="204"/>
      <c r="CW129" s="208">
        <f>SUM(CR129:CV129)</f>
        <v>120000</v>
      </c>
      <c r="CX129" s="203"/>
      <c r="CY129" s="205"/>
      <c r="CZ129" s="205"/>
      <c r="DA129" s="204"/>
      <c r="DB129" s="208">
        <f>SUM(CX129:DA129)</f>
        <v>0</v>
      </c>
      <c r="DC129" s="208">
        <f>DB129+CW129+CQ129+CK129+CF129</f>
        <v>120000</v>
      </c>
      <c r="DD129" s="203"/>
      <c r="DE129" s="205"/>
      <c r="DF129" s="205">
        <v>140000</v>
      </c>
      <c r="DG129" s="205"/>
      <c r="DH129" s="205"/>
      <c r="DI129" s="208">
        <f>SUM(DD129:DH129)</f>
        <v>140000</v>
      </c>
      <c r="DJ129" s="203"/>
      <c r="DK129" s="205"/>
      <c r="DL129" s="205"/>
      <c r="DM129" s="205"/>
      <c r="DN129" s="204"/>
      <c r="DO129" s="202">
        <f>SUM(DJ129:DN129)</f>
        <v>0</v>
      </c>
      <c r="DP129" s="203"/>
      <c r="DQ129" s="205"/>
      <c r="DR129" s="205">
        <v>120000</v>
      </c>
      <c r="DS129" s="205"/>
      <c r="DT129" s="204"/>
      <c r="DU129" s="208">
        <f>SUM(DP129:DT129)</f>
        <v>120000</v>
      </c>
      <c r="DV129" s="203"/>
      <c r="DW129" s="205"/>
      <c r="DX129" s="205"/>
      <c r="DY129" s="205"/>
      <c r="DZ129" s="204"/>
      <c r="EA129" s="208">
        <f>SUM(DV129:DZ129)</f>
        <v>0</v>
      </c>
      <c r="EB129" s="208">
        <f>EA129+DU129+DO129+DI129</f>
        <v>260000</v>
      </c>
      <c r="EC129" s="203"/>
      <c r="ED129" s="205"/>
      <c r="EE129" s="205"/>
      <c r="EF129" s="205"/>
      <c r="EG129" s="204"/>
      <c r="EH129" s="208">
        <f>SUM(EC129:EG129)</f>
        <v>0</v>
      </c>
      <c r="EI129" s="203"/>
      <c r="EJ129" s="205"/>
      <c r="EK129" s="205"/>
      <c r="EL129" s="205"/>
      <c r="EM129" s="204"/>
      <c r="EN129" s="208">
        <f>SUM(EI129:EM129)</f>
        <v>0</v>
      </c>
      <c r="EO129" s="202"/>
      <c r="EP129" s="244"/>
      <c r="EQ129" s="244"/>
      <c r="ER129" s="244"/>
      <c r="ES129" s="245"/>
      <c r="ET129" s="245">
        <f>SUM(EO129:ES129)</f>
        <v>0</v>
      </c>
      <c r="EU129" s="203"/>
      <c r="EV129" s="205"/>
      <c r="EW129" s="205"/>
      <c r="EX129" s="205"/>
      <c r="EY129" s="205"/>
      <c r="EZ129" s="205"/>
      <c r="FA129" s="204"/>
      <c r="FB129" s="208">
        <f>SUM(EU129:FA129)</f>
        <v>0</v>
      </c>
      <c r="FC129" s="208">
        <f>FB129+ET129+EN129+EH129</f>
        <v>0</v>
      </c>
      <c r="FD129" s="203"/>
      <c r="FE129" s="205"/>
      <c r="FF129" s="204"/>
      <c r="FG129" s="208">
        <f>SUM(FD129:FF129)</f>
        <v>0</v>
      </c>
      <c r="FH129" s="203"/>
      <c r="FI129" s="205"/>
      <c r="FJ129" s="205"/>
      <c r="FK129" s="205"/>
      <c r="FL129" s="204"/>
      <c r="FM129" s="208">
        <f>SUM(FH129:FL129)</f>
        <v>0</v>
      </c>
      <c r="FN129" s="203"/>
      <c r="FO129" s="205"/>
      <c r="FP129" s="205"/>
      <c r="FQ129" s="205"/>
      <c r="FR129" s="208">
        <f>SUM(FN129:FQ129)</f>
        <v>0</v>
      </c>
      <c r="FS129" s="203"/>
      <c r="FT129" s="205"/>
      <c r="FU129" s="205"/>
      <c r="FV129" s="205"/>
      <c r="FW129" s="204"/>
      <c r="FX129" s="208">
        <f>SUM(FS129:FW129)</f>
        <v>0</v>
      </c>
      <c r="FY129" s="203"/>
      <c r="FZ129" s="205"/>
      <c r="GA129" s="205"/>
      <c r="GB129" s="205"/>
      <c r="GC129" s="204"/>
      <c r="GD129" s="208">
        <f>SUM(FY129:GC129)</f>
        <v>0</v>
      </c>
      <c r="GE129" s="208">
        <f>FG129+FM129+FR129+FX129+GD129</f>
        <v>0</v>
      </c>
      <c r="GF129" s="203"/>
      <c r="GG129" s="205"/>
      <c r="GH129" s="205"/>
      <c r="GI129" s="205"/>
      <c r="GJ129" s="205"/>
      <c r="GK129" s="208">
        <f>SUM(GF129:GJ129)</f>
        <v>0</v>
      </c>
      <c r="GL129" s="203"/>
      <c r="GM129" s="205"/>
      <c r="GN129" s="205"/>
      <c r="GO129" s="204"/>
      <c r="GP129" s="208">
        <f>SUM(GL129:GO129)</f>
        <v>0</v>
      </c>
      <c r="GQ129" s="203"/>
      <c r="GR129" s="205"/>
      <c r="GS129" s="205"/>
      <c r="GT129" s="205"/>
      <c r="GU129" s="204"/>
      <c r="GV129" s="208">
        <f>SUM(GQ129:GU129)</f>
        <v>0</v>
      </c>
      <c r="GW129" s="202"/>
      <c r="GX129" s="244"/>
      <c r="GY129" s="244"/>
      <c r="GZ129" s="244"/>
      <c r="HA129" s="244"/>
      <c r="HB129" s="245"/>
      <c r="HC129" s="208">
        <f>SUM(GW129:HB129)</f>
        <v>0</v>
      </c>
      <c r="HD129" s="208">
        <f>GK129+GP129+GV129+HC129</f>
        <v>0</v>
      </c>
      <c r="HE129" s="202"/>
      <c r="HF129" s="244"/>
      <c r="HG129" s="244"/>
      <c r="HH129" s="244"/>
      <c r="HI129" s="208">
        <f>SUM(HE129:HH129)</f>
        <v>0</v>
      </c>
      <c r="HJ129" s="203"/>
      <c r="HK129" s="205"/>
      <c r="HL129" s="205"/>
      <c r="HM129" s="205">
        <v>34000</v>
      </c>
      <c r="HN129" s="204"/>
      <c r="HO129" s="208">
        <f>SUM(HJ129:HN129)</f>
        <v>34000</v>
      </c>
      <c r="HP129" s="203"/>
      <c r="HQ129" s="205"/>
      <c r="HR129" s="205"/>
      <c r="HS129" s="205"/>
      <c r="HT129" s="204"/>
      <c r="HU129" s="208">
        <f>SUM(HP129:HT129)</f>
        <v>0</v>
      </c>
      <c r="HV129" s="203"/>
      <c r="HW129" s="205"/>
      <c r="HX129" s="205"/>
      <c r="HY129" s="208">
        <f>SUM(HV129:HX129)</f>
        <v>0</v>
      </c>
      <c r="HZ129" s="203"/>
      <c r="IA129" s="205"/>
      <c r="IB129" s="205"/>
      <c r="IC129" s="208">
        <f t="shared" si="362"/>
        <v>0</v>
      </c>
      <c r="ID129" s="208">
        <f>HI129+HO129+HU129+HY129+IC129</f>
        <v>34000</v>
      </c>
      <c r="IE129" s="203"/>
      <c r="IF129" s="204"/>
      <c r="IG129" s="208">
        <f>SUM(IE129:IF129)</f>
        <v>0</v>
      </c>
      <c r="IH129" s="203"/>
      <c r="II129" s="205"/>
      <c r="IJ129" s="205"/>
      <c r="IK129" s="205"/>
      <c r="IL129" s="204"/>
      <c r="IM129" s="208">
        <f>SUM(IH129:IL129)</f>
        <v>0</v>
      </c>
      <c r="IN129" s="202"/>
      <c r="IO129" s="244"/>
      <c r="IP129" s="245"/>
      <c r="IQ129" s="208">
        <f>SUM(IN129:IP129)</f>
        <v>0</v>
      </c>
      <c r="IR129" s="202"/>
      <c r="IS129" s="244"/>
      <c r="IT129" s="244"/>
      <c r="IU129" s="244"/>
      <c r="IV129" s="245"/>
      <c r="IW129" s="208">
        <f>SUM(IR129:IV129)</f>
        <v>0</v>
      </c>
      <c r="IX129" s="203"/>
      <c r="IY129" s="205"/>
      <c r="IZ129" s="205"/>
      <c r="JA129" s="205">
        <f>-JA115*1.1045</f>
        <v>-160152.5</v>
      </c>
      <c r="JB129" s="204"/>
      <c r="JC129" s="208">
        <f>SUM(IX129:JB129)</f>
        <v>-160152.5</v>
      </c>
      <c r="JD129" s="208">
        <f t="shared" si="363"/>
        <v>-160152.5</v>
      </c>
      <c r="JE129" s="203"/>
      <c r="JF129" s="205"/>
      <c r="JG129" s="205"/>
      <c r="JH129" s="205"/>
      <c r="JI129" s="204"/>
      <c r="JJ129" s="208">
        <f t="shared" si="364"/>
        <v>0</v>
      </c>
      <c r="JK129" s="203"/>
      <c r="JL129" s="205"/>
      <c r="JM129" s="205"/>
      <c r="JN129" s="205"/>
      <c r="JO129" s="204"/>
      <c r="JP129" s="208">
        <f>SUM(JK129:JO129)</f>
        <v>0</v>
      </c>
      <c r="JQ129" s="202"/>
      <c r="JR129" s="244"/>
      <c r="JS129" s="244"/>
      <c r="JT129" s="244"/>
      <c r="JU129" s="245"/>
      <c r="JV129" s="208">
        <f>SUM(JQ129:JU129)</f>
        <v>0</v>
      </c>
      <c r="JW129" s="202"/>
      <c r="JX129" s="244"/>
      <c r="JY129" s="244"/>
      <c r="JZ129" s="244"/>
      <c r="KA129" s="244"/>
      <c r="KB129" s="245"/>
      <c r="KC129" s="208">
        <f>SUM(JW129:KB129)</f>
        <v>0</v>
      </c>
      <c r="KD129" s="208">
        <v>0</v>
      </c>
      <c r="KE129" s="203"/>
      <c r="KF129" s="205"/>
      <c r="KG129" s="205"/>
      <c r="KH129" s="205"/>
      <c r="KI129" s="204"/>
      <c r="KJ129" s="208">
        <f>SUM(KE129:KI129)</f>
        <v>0</v>
      </c>
      <c r="KK129" s="203"/>
      <c r="KL129" s="205"/>
      <c r="KM129" s="205"/>
      <c r="KN129" s="205"/>
      <c r="KO129" s="204"/>
      <c r="KP129" s="208">
        <f>SUM(KK129:KO129)</f>
        <v>0</v>
      </c>
      <c r="KQ129" s="203"/>
      <c r="KR129" s="205"/>
      <c r="KS129" s="205"/>
      <c r="KT129" s="205"/>
      <c r="KU129" s="204"/>
      <c r="KV129" s="208">
        <f>SUM(KQ129:KU129)</f>
        <v>0</v>
      </c>
      <c r="KW129" s="202"/>
      <c r="KX129" s="244"/>
      <c r="KY129" s="244"/>
      <c r="KZ129" s="244"/>
      <c r="LA129" s="245"/>
      <c r="LB129" s="208">
        <f>SUM(KW129:LA129)</f>
        <v>0</v>
      </c>
      <c r="LC129" s="202"/>
      <c r="LD129" s="244"/>
      <c r="LE129" s="245"/>
      <c r="LF129" s="208">
        <f>SUM(LC129:LE129)</f>
        <v>0</v>
      </c>
      <c r="LG129" s="208">
        <v>272000</v>
      </c>
    </row>
    <row r="130" spans="2:325" s="91" customFormat="1">
      <c r="B130" s="167" t="s">
        <v>115</v>
      </c>
      <c r="C130" s="167"/>
      <c r="D130" s="202">
        <f>SUM(C130)</f>
        <v>0</v>
      </c>
      <c r="E130" s="167"/>
      <c r="F130" s="177"/>
      <c r="G130" s="177"/>
      <c r="H130" s="177"/>
      <c r="I130" s="178"/>
      <c r="J130" s="202">
        <f>SUM(E130:I130)</f>
        <v>0</v>
      </c>
      <c r="K130" s="167"/>
      <c r="L130" s="177"/>
      <c r="M130" s="177">
        <v>6.34</v>
      </c>
      <c r="N130" s="178"/>
      <c r="O130" s="202">
        <f>SUM(K130:N130)</f>
        <v>6.34</v>
      </c>
      <c r="P130" s="167"/>
      <c r="Q130" s="177"/>
      <c r="R130" s="177"/>
      <c r="S130" s="177"/>
      <c r="T130" s="178"/>
      <c r="U130" s="202">
        <f>SUM(P130:T130)</f>
        <v>0</v>
      </c>
      <c r="V130" s="167"/>
      <c r="W130" s="177"/>
      <c r="X130" s="177"/>
      <c r="Y130" s="177"/>
      <c r="Z130" s="178"/>
      <c r="AA130" s="202">
        <f>SUM(V130:Z130)</f>
        <v>0</v>
      </c>
      <c r="AB130" s="208">
        <f>AA130+U130+O130+J130+D130</f>
        <v>6.34</v>
      </c>
      <c r="AC130" s="202"/>
      <c r="AD130" s="244"/>
      <c r="AE130" s="244"/>
      <c r="AF130" s="244"/>
      <c r="AG130" s="245"/>
      <c r="AH130" s="208">
        <f>SUM(AC130:AG130)</f>
        <v>0</v>
      </c>
      <c r="AI130" s="202"/>
      <c r="AJ130" s="244"/>
      <c r="AK130" s="244"/>
      <c r="AL130" s="244"/>
      <c r="AM130" s="245"/>
      <c r="AN130" s="208">
        <f>SUM(AI130:AM130)</f>
        <v>0</v>
      </c>
      <c r="AO130" s="203"/>
      <c r="AP130" s="205"/>
      <c r="AQ130" s="205"/>
      <c r="AR130" s="205"/>
      <c r="AS130" s="204"/>
      <c r="AT130" s="208">
        <f>SUM(AO130:AS130)</f>
        <v>0</v>
      </c>
      <c r="AU130" s="203"/>
      <c r="AV130" s="205"/>
      <c r="AW130" s="205"/>
      <c r="AX130" s="205"/>
      <c r="AY130" s="204"/>
      <c r="AZ130" s="208">
        <f>SUM(AU130:AY130)</f>
        <v>0</v>
      </c>
      <c r="BA130" s="208">
        <f>AZ130+AT130+AN130+AH130</f>
        <v>0</v>
      </c>
      <c r="BB130" s="203"/>
      <c r="BC130" s="205"/>
      <c r="BD130" s="205"/>
      <c r="BE130" s="205"/>
      <c r="BF130" s="204">
        <v>14</v>
      </c>
      <c r="BG130" s="208">
        <f>SUM(BB130:BF130)</f>
        <v>14</v>
      </c>
      <c r="BH130" s="203"/>
      <c r="BI130" s="205"/>
      <c r="BJ130" s="205"/>
      <c r="BK130" s="205"/>
      <c r="BL130" s="204"/>
      <c r="BM130" s="208">
        <f>SUM(BH130:BL130)</f>
        <v>0</v>
      </c>
      <c r="BN130" s="203"/>
      <c r="BO130" s="205"/>
      <c r="BP130" s="205"/>
      <c r="BQ130" s="204"/>
      <c r="BR130" s="208">
        <f>SUM(BN130:BQ130)</f>
        <v>0</v>
      </c>
      <c r="BS130" s="203"/>
      <c r="BT130" s="205"/>
      <c r="BU130" s="205"/>
      <c r="BV130" s="205"/>
      <c r="BW130" s="204"/>
      <c r="BX130" s="208">
        <f>SUM(BS130:BW130)</f>
        <v>0</v>
      </c>
      <c r="BY130" s="203"/>
      <c r="BZ130" s="205"/>
      <c r="CA130" s="208">
        <f>SUM(BY130:BZ130)</f>
        <v>0</v>
      </c>
      <c r="CB130" s="208">
        <f>CA130+BX130+BR130+BM130+BG130</f>
        <v>14</v>
      </c>
      <c r="CC130" s="203"/>
      <c r="CD130" s="205">
        <v>6.18</v>
      </c>
      <c r="CE130" s="205"/>
      <c r="CF130" s="208">
        <f>SUM(CC130:CE130)</f>
        <v>6.18</v>
      </c>
      <c r="CG130" s="203"/>
      <c r="CH130" s="205"/>
      <c r="CI130" s="205"/>
      <c r="CJ130" s="204"/>
      <c r="CK130" s="208">
        <f>SUM(CG130:CJ130)</f>
        <v>0</v>
      </c>
      <c r="CL130" s="203"/>
      <c r="CM130" s="205"/>
      <c r="CN130" s="205">
        <v>14</v>
      </c>
      <c r="CO130" s="205"/>
      <c r="CP130" s="204"/>
      <c r="CQ130" s="208">
        <f>SUM(CL130:CP130)</f>
        <v>14</v>
      </c>
      <c r="CR130" s="203"/>
      <c r="CS130" s="205"/>
      <c r="CT130" s="205"/>
      <c r="CU130" s="205"/>
      <c r="CV130" s="204"/>
      <c r="CW130" s="208">
        <f>SUM(CR130:CV130)</f>
        <v>0</v>
      </c>
      <c r="CX130" s="203"/>
      <c r="CY130" s="205"/>
      <c r="CZ130" s="205"/>
      <c r="DA130" s="204"/>
      <c r="DB130" s="208">
        <f>SUM(CX130:DA130)</f>
        <v>0</v>
      </c>
      <c r="DC130" s="208">
        <f>DB130+CW130+CQ130+CK130+CF130</f>
        <v>20.18</v>
      </c>
      <c r="DD130" s="203"/>
      <c r="DE130" s="205"/>
      <c r="DF130" s="205"/>
      <c r="DG130" s="205"/>
      <c r="DH130" s="205"/>
      <c r="DI130" s="208">
        <f>SUM(DD130:DH130)</f>
        <v>0</v>
      </c>
      <c r="DJ130" s="203"/>
      <c r="DK130" s="205">
        <v>12</v>
      </c>
      <c r="DL130" s="205"/>
      <c r="DM130" s="205"/>
      <c r="DN130" s="204"/>
      <c r="DO130" s="202">
        <f>SUM(DJ130:DN130)</f>
        <v>12</v>
      </c>
      <c r="DP130" s="203"/>
      <c r="DQ130" s="205"/>
      <c r="DR130" s="205"/>
      <c r="DS130" s="205">
        <v>30</v>
      </c>
      <c r="DT130" s="204"/>
      <c r="DU130" s="208">
        <f>SUM(DP130:DT130)</f>
        <v>30</v>
      </c>
      <c r="DV130" s="203"/>
      <c r="DW130" s="205"/>
      <c r="DX130" s="205"/>
      <c r="DY130" s="205"/>
      <c r="DZ130" s="204"/>
      <c r="EA130" s="208">
        <f>SUM(DV130:DZ130)</f>
        <v>0</v>
      </c>
      <c r="EB130" s="208">
        <f>EA130+DU130+DO130+DI130</f>
        <v>42</v>
      </c>
      <c r="EC130" s="203"/>
      <c r="ED130" s="205"/>
      <c r="EE130" s="205"/>
      <c r="EF130" s="205"/>
      <c r="EG130" s="204"/>
      <c r="EH130" s="208">
        <f>SUM(EC130:EG130)</f>
        <v>0</v>
      </c>
      <c r="EI130" s="203"/>
      <c r="EJ130" s="205"/>
      <c r="EK130" s="205"/>
      <c r="EL130" s="205"/>
      <c r="EM130" s="204"/>
      <c r="EN130" s="208">
        <f>SUM(EI130:EM130)</f>
        <v>0</v>
      </c>
      <c r="EO130" s="202"/>
      <c r="EP130" s="244"/>
      <c r="EQ130" s="244"/>
      <c r="ER130" s="244"/>
      <c r="ES130" s="245"/>
      <c r="ET130" s="245">
        <f>SUM(EO130:ES130)</f>
        <v>0</v>
      </c>
      <c r="EU130" s="203"/>
      <c r="EV130" s="205"/>
      <c r="EW130" s="205"/>
      <c r="EX130" s="205"/>
      <c r="EY130" s="205"/>
      <c r="EZ130" s="205"/>
      <c r="FA130" s="204"/>
      <c r="FB130" s="208">
        <f>SUM(EU130:FA130)</f>
        <v>0</v>
      </c>
      <c r="FC130" s="208">
        <f>FB130+ET130+EN130+EH130</f>
        <v>0</v>
      </c>
      <c r="FD130" s="203"/>
      <c r="FE130" s="205"/>
      <c r="FF130" s="204">
        <v>6.2</v>
      </c>
      <c r="FG130" s="208">
        <f>SUM(FD130:FF130)</f>
        <v>6.2</v>
      </c>
      <c r="FH130" s="203"/>
      <c r="FI130" s="205"/>
      <c r="FJ130" s="205"/>
      <c r="FK130" s="205"/>
      <c r="FL130" s="204"/>
      <c r="FM130" s="208">
        <f>SUM(FH130:FL130)</f>
        <v>0</v>
      </c>
      <c r="FN130" s="203"/>
      <c r="FO130" s="205"/>
      <c r="FP130" s="205"/>
      <c r="FQ130" s="205"/>
      <c r="FR130" s="208">
        <f>SUM(FN130:FQ130)</f>
        <v>0</v>
      </c>
      <c r="FS130" s="203"/>
      <c r="FT130" s="205"/>
      <c r="FU130" s="205"/>
      <c r="FV130" s="205"/>
      <c r="FW130" s="204"/>
      <c r="FX130" s="208">
        <f>SUM(FS130:FW130)</f>
        <v>0</v>
      </c>
      <c r="FY130" s="203"/>
      <c r="FZ130" s="205"/>
      <c r="GA130" s="205"/>
      <c r="GB130" s="205"/>
      <c r="GC130" s="204"/>
      <c r="GD130" s="208">
        <f>SUM(FY130:GC130)</f>
        <v>0</v>
      </c>
      <c r="GE130" s="208">
        <f>FG130+FM130+FR130+FX130+GD130</f>
        <v>6.2</v>
      </c>
      <c r="GF130" s="203"/>
      <c r="GG130" s="205"/>
      <c r="GH130" s="205"/>
      <c r="GI130" s="205"/>
      <c r="GJ130" s="205"/>
      <c r="GK130" s="208">
        <f>SUM(GF130:GJ130)</f>
        <v>0</v>
      </c>
      <c r="GL130" s="203"/>
      <c r="GM130" s="205"/>
      <c r="GN130" s="205"/>
      <c r="GO130" s="204"/>
      <c r="GP130" s="208">
        <f>SUM(GL130:GO130)</f>
        <v>0</v>
      </c>
      <c r="GQ130" s="203"/>
      <c r="GR130" s="205"/>
      <c r="GS130" s="205"/>
      <c r="GT130" s="205"/>
      <c r="GU130" s="204"/>
      <c r="GV130" s="208">
        <f>SUM(GQ130:GU130)</f>
        <v>0</v>
      </c>
      <c r="GW130" s="202"/>
      <c r="GX130" s="244"/>
      <c r="GY130" s="244"/>
      <c r="GZ130" s="244"/>
      <c r="HA130" s="244"/>
      <c r="HB130" s="245"/>
      <c r="HC130" s="208">
        <f>SUM(GW130:HB130)</f>
        <v>0</v>
      </c>
      <c r="HD130" s="208">
        <f>GK130+GP130+GV130+HC130</f>
        <v>0</v>
      </c>
      <c r="HE130" s="202"/>
      <c r="HF130" s="244"/>
      <c r="HG130" s="244"/>
      <c r="HH130" s="244"/>
      <c r="HI130" s="208">
        <f>SUM(HE130:HH130)</f>
        <v>0</v>
      </c>
      <c r="HJ130" s="203"/>
      <c r="HK130" s="205"/>
      <c r="HL130" s="205"/>
      <c r="HM130" s="205">
        <v>30</v>
      </c>
      <c r="HN130" s="204"/>
      <c r="HO130" s="208">
        <f>SUM(HJ130:HN130)</f>
        <v>30</v>
      </c>
      <c r="HP130" s="203"/>
      <c r="HQ130" s="205"/>
      <c r="HR130" s="205"/>
      <c r="HS130" s="205">
        <v>12</v>
      </c>
      <c r="HT130" s="204"/>
      <c r="HU130" s="208">
        <f>SUM(HP130:HT130)</f>
        <v>12</v>
      </c>
      <c r="HV130" s="203"/>
      <c r="HW130" s="205"/>
      <c r="HX130" s="205"/>
      <c r="HY130" s="208">
        <f>SUM(HV130:HX130)</f>
        <v>0</v>
      </c>
      <c r="HZ130" s="203"/>
      <c r="IA130" s="205"/>
      <c r="IB130" s="205"/>
      <c r="IC130" s="208">
        <f t="shared" si="362"/>
        <v>0</v>
      </c>
      <c r="ID130" s="208">
        <f>HI130+HO130+HU130+HY130+IC130</f>
        <v>42</v>
      </c>
      <c r="IE130" s="203"/>
      <c r="IF130" s="204">
        <v>6.12</v>
      </c>
      <c r="IG130" s="208">
        <f>SUM(IE130:IF130)</f>
        <v>6.12</v>
      </c>
      <c r="IH130" s="203"/>
      <c r="II130" s="205"/>
      <c r="IJ130" s="205"/>
      <c r="IK130" s="205"/>
      <c r="IL130" s="204"/>
      <c r="IM130" s="208">
        <f>SUM(IH130:IL130)</f>
        <v>0</v>
      </c>
      <c r="IN130" s="202"/>
      <c r="IO130" s="244"/>
      <c r="IP130" s="245"/>
      <c r="IQ130" s="208">
        <f>SUM(IN130:IP130)</f>
        <v>0</v>
      </c>
      <c r="IR130" s="202"/>
      <c r="IS130" s="244"/>
      <c r="IT130" s="244"/>
      <c r="IU130" s="244"/>
      <c r="IV130" s="245"/>
      <c r="IW130" s="208">
        <f>SUM(IR130:IV130)</f>
        <v>0</v>
      </c>
      <c r="IX130" s="203"/>
      <c r="IY130" s="205"/>
      <c r="IZ130" s="205"/>
      <c r="JA130" s="205">
        <v>12</v>
      </c>
      <c r="JB130" s="204"/>
      <c r="JC130" s="208">
        <f>SUM(IX130:JB130)</f>
        <v>12</v>
      </c>
      <c r="JD130" s="208">
        <f t="shared" si="363"/>
        <v>18.12</v>
      </c>
      <c r="JE130" s="203"/>
      <c r="JF130" s="205"/>
      <c r="JG130" s="205"/>
      <c r="JH130" s="205"/>
      <c r="JI130" s="204"/>
      <c r="JJ130" s="208">
        <f t="shared" si="364"/>
        <v>0</v>
      </c>
      <c r="JK130" s="203"/>
      <c r="JL130" s="205"/>
      <c r="JM130" s="205"/>
      <c r="JN130" s="205"/>
      <c r="JO130" s="204"/>
      <c r="JP130" s="208">
        <f>SUM(JK130:JO130)</f>
        <v>0</v>
      </c>
      <c r="JQ130" s="202"/>
      <c r="JR130" s="244"/>
      <c r="JS130" s="244"/>
      <c r="JT130" s="244"/>
      <c r="JU130" s="245"/>
      <c r="JV130" s="208">
        <f>SUM(JQ130:JU130)</f>
        <v>0</v>
      </c>
      <c r="JW130" s="202"/>
      <c r="JX130" s="244"/>
      <c r="JY130" s="244"/>
      <c r="JZ130" s="244"/>
      <c r="KA130" s="244"/>
      <c r="KB130" s="245"/>
      <c r="KC130" s="208">
        <f>SUM(JW130:KB130)</f>
        <v>0</v>
      </c>
      <c r="KD130" s="208">
        <f>JJ130+JP130+JV130+KC130</f>
        <v>0</v>
      </c>
      <c r="KE130" s="203"/>
      <c r="KF130" s="205"/>
      <c r="KG130" s="205"/>
      <c r="KH130" s="205"/>
      <c r="KI130" s="204"/>
      <c r="KJ130" s="208">
        <f>SUM(KE130:KI130)</f>
        <v>0</v>
      </c>
      <c r="KK130" s="203"/>
      <c r="KL130" s="205"/>
      <c r="KM130" s="205"/>
      <c r="KN130" s="205"/>
      <c r="KO130" s="204"/>
      <c r="KP130" s="208">
        <f>SUM(KK130:KO130)</f>
        <v>0</v>
      </c>
      <c r="KQ130" s="203"/>
      <c r="KR130" s="205"/>
      <c r="KS130" s="205"/>
      <c r="KT130" s="205"/>
      <c r="KU130" s="204"/>
      <c r="KV130" s="208">
        <f>SUM(KQ130:KU130)</f>
        <v>0</v>
      </c>
      <c r="KW130" s="202"/>
      <c r="KX130" s="244"/>
      <c r="KY130" s="244"/>
      <c r="KZ130" s="244"/>
      <c r="LA130" s="245"/>
      <c r="LB130" s="208">
        <f>SUM(KW130:LA130)</f>
        <v>0</v>
      </c>
      <c r="LC130" s="202"/>
      <c r="LD130" s="244"/>
      <c r="LE130" s="245"/>
      <c r="LF130" s="208">
        <f>SUM(LC130:LE130)</f>
        <v>0</v>
      </c>
      <c r="LG130" s="208">
        <f>LF130+LB130+KV130+KP130+KJ130</f>
        <v>0</v>
      </c>
    </row>
    <row r="131" spans="2:325" s="91" customFormat="1">
      <c r="B131" s="167"/>
      <c r="C131" s="167"/>
      <c r="D131" s="181"/>
      <c r="E131" s="167"/>
      <c r="F131" s="177"/>
      <c r="G131" s="177"/>
      <c r="H131" s="177"/>
      <c r="I131" s="178"/>
      <c r="J131" s="181"/>
      <c r="K131" s="167"/>
      <c r="L131" s="177"/>
      <c r="M131" s="177"/>
      <c r="N131" s="178"/>
      <c r="O131" s="181"/>
      <c r="P131" s="167"/>
      <c r="Q131" s="177"/>
      <c r="R131" s="177"/>
      <c r="S131" s="177"/>
      <c r="T131" s="178"/>
      <c r="U131" s="181"/>
      <c r="V131" s="167"/>
      <c r="W131" s="177"/>
      <c r="X131" s="177"/>
      <c r="Y131" s="177"/>
      <c r="Z131" s="178"/>
      <c r="AA131" s="181"/>
      <c r="AB131" s="146"/>
      <c r="AC131" s="167"/>
      <c r="AD131" s="177"/>
      <c r="AE131" s="177"/>
      <c r="AF131" s="177"/>
      <c r="AG131" s="178"/>
      <c r="AH131" s="146"/>
      <c r="AI131" s="181"/>
      <c r="AJ131" s="238"/>
      <c r="AK131" s="238"/>
      <c r="AL131" s="238"/>
      <c r="AM131" s="239"/>
      <c r="AN131" s="146"/>
      <c r="AO131" s="167"/>
      <c r="AP131" s="177"/>
      <c r="AQ131" s="177"/>
      <c r="AR131" s="177"/>
      <c r="AS131" s="178"/>
      <c r="AT131" s="146"/>
      <c r="AU131" s="167"/>
      <c r="AV131" s="177"/>
      <c r="AW131" s="177"/>
      <c r="AX131" s="177"/>
      <c r="AY131" s="178"/>
      <c r="AZ131" s="146"/>
      <c r="BA131" s="168"/>
      <c r="BB131" s="181"/>
      <c r="BC131" s="238"/>
      <c r="BD131" s="238"/>
      <c r="BE131" s="238"/>
      <c r="BF131" s="239"/>
      <c r="BG131" s="168"/>
      <c r="BH131" s="181"/>
      <c r="BI131" s="238"/>
      <c r="BJ131" s="238"/>
      <c r="BK131" s="238"/>
      <c r="BL131" s="239"/>
      <c r="BM131" s="168"/>
      <c r="BN131" s="181"/>
      <c r="BO131" s="238"/>
      <c r="BP131" s="238"/>
      <c r="BQ131" s="239"/>
      <c r="BR131" s="208"/>
      <c r="BS131" s="203"/>
      <c r="BT131" s="205"/>
      <c r="BU131" s="205"/>
      <c r="BV131" s="205"/>
      <c r="BW131" s="204"/>
      <c r="BX131" s="168"/>
      <c r="BY131" s="203"/>
      <c r="BZ131" s="205"/>
      <c r="CA131" s="168"/>
      <c r="CB131" s="168"/>
      <c r="CC131" s="242"/>
      <c r="CD131" s="224"/>
      <c r="CE131" s="224"/>
      <c r="CF131" s="168"/>
      <c r="CG131" s="242"/>
      <c r="CH131" s="224"/>
      <c r="CI131" s="224"/>
      <c r="CJ131" s="243"/>
      <c r="CK131" s="168"/>
      <c r="CL131" s="242"/>
      <c r="CM131" s="224"/>
      <c r="CN131" s="224"/>
      <c r="CO131" s="224"/>
      <c r="CP131" s="243"/>
      <c r="CQ131" s="168"/>
      <c r="CR131" s="242"/>
      <c r="CS131" s="224"/>
      <c r="CT131" s="224"/>
      <c r="CU131" s="224"/>
      <c r="CV131" s="243"/>
      <c r="CW131" s="168"/>
      <c r="CX131" s="181"/>
      <c r="CY131" s="238"/>
      <c r="CZ131" s="238"/>
      <c r="DA131" s="239"/>
      <c r="DB131" s="168"/>
      <c r="DC131" s="168"/>
      <c r="DD131" s="242"/>
      <c r="DE131" s="224"/>
      <c r="DF131" s="224"/>
      <c r="DG131" s="224"/>
      <c r="DH131" s="224"/>
      <c r="DI131" s="168"/>
      <c r="DJ131" s="242"/>
      <c r="DK131" s="224"/>
      <c r="DL131" s="224"/>
      <c r="DM131" s="224"/>
      <c r="DN131" s="243"/>
      <c r="DO131" s="181"/>
      <c r="DP131" s="242"/>
      <c r="DQ131" s="224"/>
      <c r="DR131" s="224"/>
      <c r="DS131" s="224"/>
      <c r="DT131" s="243"/>
      <c r="DU131" s="168"/>
      <c r="DV131" s="242"/>
      <c r="DW131" s="224"/>
      <c r="DX131" s="224"/>
      <c r="DY131" s="224"/>
      <c r="DZ131" s="243"/>
      <c r="EA131" s="168"/>
      <c r="EB131" s="168"/>
      <c r="EC131" s="242"/>
      <c r="ED131" s="224"/>
      <c r="EE131" s="224"/>
      <c r="EF131" s="224"/>
      <c r="EG131" s="243"/>
      <c r="EH131" s="168"/>
      <c r="EI131" s="242"/>
      <c r="EJ131" s="224"/>
      <c r="EK131" s="224"/>
      <c r="EL131" s="224"/>
      <c r="EM131" s="243"/>
      <c r="EN131" s="168"/>
      <c r="EO131" s="181"/>
      <c r="EP131" s="238"/>
      <c r="EQ131" s="238"/>
      <c r="ER131" s="238"/>
      <c r="ES131" s="239"/>
      <c r="ET131" s="239"/>
      <c r="EU131" s="181"/>
      <c r="EV131" s="238"/>
      <c r="EW131" s="238"/>
      <c r="EX131" s="238"/>
      <c r="EY131" s="238"/>
      <c r="EZ131" s="238"/>
      <c r="FA131" s="239"/>
      <c r="FB131" s="168"/>
      <c r="FC131" s="168"/>
      <c r="FD131" s="242"/>
      <c r="FE131" s="224"/>
      <c r="FF131" s="243"/>
      <c r="FG131" s="168"/>
      <c r="FH131" s="242"/>
      <c r="FI131" s="224"/>
      <c r="FJ131" s="224"/>
      <c r="FK131" s="224"/>
      <c r="FL131" s="243"/>
      <c r="FM131" s="168"/>
      <c r="FN131" s="242"/>
      <c r="FO131" s="224"/>
      <c r="FP131" s="224"/>
      <c r="FQ131" s="224"/>
      <c r="FR131" s="168"/>
      <c r="FS131" s="181"/>
      <c r="FT131" s="238"/>
      <c r="FU131" s="238"/>
      <c r="FV131" s="238"/>
      <c r="FW131" s="239"/>
      <c r="FX131" s="168"/>
      <c r="FY131" s="181"/>
      <c r="FZ131" s="238"/>
      <c r="GA131" s="238"/>
      <c r="GB131" s="238"/>
      <c r="GC131" s="239"/>
      <c r="GD131" s="168"/>
      <c r="GE131" s="208"/>
      <c r="GF131" s="202"/>
      <c r="GG131" s="244"/>
      <c r="GH131" s="244"/>
      <c r="GI131" s="244"/>
      <c r="GJ131" s="244"/>
      <c r="GK131" s="208"/>
      <c r="GL131" s="202"/>
      <c r="GM131" s="244"/>
      <c r="GN131" s="244"/>
      <c r="GO131" s="245"/>
      <c r="GP131" s="208"/>
      <c r="GQ131" s="202"/>
      <c r="GR131" s="244"/>
      <c r="GS131" s="244"/>
      <c r="GT131" s="244"/>
      <c r="GU131" s="245"/>
      <c r="GV131" s="208"/>
      <c r="GW131" s="202"/>
      <c r="GX131" s="244"/>
      <c r="GY131" s="244"/>
      <c r="GZ131" s="244"/>
      <c r="HA131" s="244"/>
      <c r="HB131" s="245"/>
      <c r="HC131" s="208"/>
      <c r="HD131" s="168"/>
      <c r="HE131" s="181"/>
      <c r="HF131" s="238"/>
      <c r="HG131" s="238"/>
      <c r="HH131" s="238"/>
      <c r="HI131" s="168"/>
      <c r="HJ131" s="242"/>
      <c r="HK131" s="224"/>
      <c r="HL131" s="224"/>
      <c r="HM131" s="224"/>
      <c r="HN131" s="243"/>
      <c r="HO131" s="168"/>
      <c r="HP131" s="242"/>
      <c r="HQ131" s="224"/>
      <c r="HR131" s="224"/>
      <c r="HS131" s="224"/>
      <c r="HT131" s="243"/>
      <c r="HU131" s="168"/>
      <c r="HV131" s="242"/>
      <c r="HW131" s="224"/>
      <c r="HX131" s="224"/>
      <c r="HY131" s="168"/>
      <c r="HZ131" s="181"/>
      <c r="IA131" s="238"/>
      <c r="IB131" s="238"/>
      <c r="IC131" s="168"/>
      <c r="ID131" s="168"/>
      <c r="IE131" s="181"/>
      <c r="IF131" s="239"/>
      <c r="IG131" s="168"/>
      <c r="IH131" s="181"/>
      <c r="II131" s="238"/>
      <c r="IJ131" s="238"/>
      <c r="IK131" s="238"/>
      <c r="IL131" s="239"/>
      <c r="IM131" s="168"/>
      <c r="IN131" s="181"/>
      <c r="IO131" s="238"/>
      <c r="IP131" s="239"/>
      <c r="IQ131" s="168"/>
      <c r="IR131" s="181"/>
      <c r="IS131" s="238"/>
      <c r="IT131" s="238"/>
      <c r="IU131" s="238"/>
      <c r="IV131" s="239"/>
      <c r="IW131" s="168"/>
      <c r="IX131" s="181"/>
      <c r="IY131" s="238"/>
      <c r="IZ131" s="238"/>
      <c r="JA131" s="238"/>
      <c r="JB131" s="239"/>
      <c r="JC131" s="168"/>
      <c r="JD131" s="168"/>
      <c r="JE131" s="181"/>
      <c r="JF131" s="238"/>
      <c r="JG131" s="238"/>
      <c r="JH131" s="238"/>
      <c r="JI131" s="239"/>
      <c r="JJ131" s="208"/>
      <c r="JK131" s="181"/>
      <c r="JL131" s="238"/>
      <c r="JM131" s="238"/>
      <c r="JN131" s="238"/>
      <c r="JO131" s="239"/>
      <c r="JP131" s="168"/>
      <c r="JQ131" s="181"/>
      <c r="JR131" s="238"/>
      <c r="JS131" s="238"/>
      <c r="JT131" s="238"/>
      <c r="JU131" s="239"/>
      <c r="JV131" s="208"/>
      <c r="JW131" s="181"/>
      <c r="JX131" s="238"/>
      <c r="JY131" s="238"/>
      <c r="JZ131" s="238"/>
      <c r="KA131" s="238"/>
      <c r="KB131" s="239"/>
      <c r="KC131" s="168"/>
      <c r="KD131" s="168"/>
      <c r="KE131" s="242"/>
      <c r="KF131" s="224"/>
      <c r="KG131" s="224"/>
      <c r="KH131" s="224"/>
      <c r="KI131" s="243"/>
      <c r="KJ131" s="168"/>
      <c r="KK131" s="181"/>
      <c r="KL131" s="238"/>
      <c r="KM131" s="238"/>
      <c r="KN131" s="238"/>
      <c r="KO131" s="239"/>
      <c r="KP131" s="168"/>
      <c r="KQ131" s="242"/>
      <c r="KR131" s="224"/>
      <c r="KS131" s="224"/>
      <c r="KT131" s="224"/>
      <c r="KU131" s="243"/>
      <c r="KV131" s="168"/>
      <c r="KW131" s="181"/>
      <c r="KX131" s="238"/>
      <c r="KY131" s="238"/>
      <c r="KZ131" s="238"/>
      <c r="LA131" s="239"/>
      <c r="LB131" s="168"/>
      <c r="LC131" s="181"/>
      <c r="LD131" s="238"/>
      <c r="LE131" s="239"/>
      <c r="LF131" s="168"/>
      <c r="LG131" s="168"/>
    </row>
    <row r="132" spans="2:325" s="91" customFormat="1">
      <c r="B132" s="172" t="s">
        <v>90</v>
      </c>
      <c r="C132" s="172">
        <f>SUM(C133)</f>
        <v>0</v>
      </c>
      <c r="D132" s="172">
        <f t="shared" ref="D132:AA132" si="365">SUM(D133)</f>
        <v>0</v>
      </c>
      <c r="E132" s="172">
        <f t="shared" si="365"/>
        <v>0</v>
      </c>
      <c r="F132" s="172">
        <f t="shared" si="365"/>
        <v>0</v>
      </c>
      <c r="G132" s="172">
        <f t="shared" si="365"/>
        <v>0</v>
      </c>
      <c r="H132" s="172">
        <f t="shared" si="365"/>
        <v>0</v>
      </c>
      <c r="I132" s="172">
        <f t="shared" si="365"/>
        <v>0</v>
      </c>
      <c r="J132" s="172">
        <f t="shared" si="365"/>
        <v>0</v>
      </c>
      <c r="K132" s="172">
        <f t="shared" si="365"/>
        <v>0</v>
      </c>
      <c r="L132" s="179">
        <f t="shared" si="365"/>
        <v>0</v>
      </c>
      <c r="M132" s="179">
        <f t="shared" si="365"/>
        <v>0</v>
      </c>
      <c r="N132" s="172">
        <f t="shared" si="365"/>
        <v>0</v>
      </c>
      <c r="O132" s="172">
        <f t="shared" si="365"/>
        <v>0</v>
      </c>
      <c r="P132" s="172">
        <f t="shared" si="365"/>
        <v>0</v>
      </c>
      <c r="Q132" s="172">
        <f t="shared" si="365"/>
        <v>0</v>
      </c>
      <c r="R132" s="172">
        <f t="shared" si="365"/>
        <v>0</v>
      </c>
      <c r="S132" s="172">
        <f t="shared" si="365"/>
        <v>0</v>
      </c>
      <c r="T132" s="172">
        <f t="shared" si="365"/>
        <v>0</v>
      </c>
      <c r="U132" s="172">
        <f t="shared" si="365"/>
        <v>0</v>
      </c>
      <c r="V132" s="172">
        <f t="shared" si="365"/>
        <v>67280</v>
      </c>
      <c r="W132" s="172">
        <f t="shared" si="365"/>
        <v>0</v>
      </c>
      <c r="X132" s="172">
        <f t="shared" si="365"/>
        <v>0</v>
      </c>
      <c r="Y132" s="172">
        <f t="shared" si="365"/>
        <v>0</v>
      </c>
      <c r="Z132" s="172">
        <f t="shared" si="365"/>
        <v>0</v>
      </c>
      <c r="AA132" s="172">
        <f t="shared" si="365"/>
        <v>67280</v>
      </c>
      <c r="AB132" s="234">
        <f>SUM(AB133:AB133)</f>
        <v>67280</v>
      </c>
      <c r="AC132" s="172">
        <f t="shared" ref="AC132:AM132" si="366">SUM(AC133)</f>
        <v>0</v>
      </c>
      <c r="AD132" s="179">
        <f t="shared" si="366"/>
        <v>0</v>
      </c>
      <c r="AE132" s="179">
        <f t="shared" si="366"/>
        <v>0</v>
      </c>
      <c r="AF132" s="179">
        <f t="shared" si="366"/>
        <v>0</v>
      </c>
      <c r="AG132" s="180">
        <f t="shared" si="366"/>
        <v>0</v>
      </c>
      <c r="AH132" s="198">
        <f t="shared" si="366"/>
        <v>0</v>
      </c>
      <c r="AI132" s="172">
        <f t="shared" si="366"/>
        <v>0</v>
      </c>
      <c r="AJ132" s="179">
        <f t="shared" si="366"/>
        <v>0</v>
      </c>
      <c r="AK132" s="179">
        <f t="shared" si="366"/>
        <v>0</v>
      </c>
      <c r="AL132" s="179">
        <f t="shared" si="366"/>
        <v>0</v>
      </c>
      <c r="AM132" s="180">
        <f t="shared" si="366"/>
        <v>0</v>
      </c>
      <c r="AN132" s="198">
        <f t="shared" ref="AN132:AZ132" si="367">SUM(AN133)</f>
        <v>0</v>
      </c>
      <c r="AO132" s="172">
        <f t="shared" si="367"/>
        <v>0</v>
      </c>
      <c r="AP132" s="179">
        <f t="shared" si="367"/>
        <v>0</v>
      </c>
      <c r="AQ132" s="179">
        <f t="shared" si="367"/>
        <v>0</v>
      </c>
      <c r="AR132" s="179">
        <f t="shared" si="367"/>
        <v>0</v>
      </c>
      <c r="AS132" s="180">
        <f t="shared" si="367"/>
        <v>0</v>
      </c>
      <c r="AT132" s="198">
        <f t="shared" si="367"/>
        <v>0</v>
      </c>
      <c r="AU132" s="172">
        <f t="shared" si="367"/>
        <v>0</v>
      </c>
      <c r="AV132" s="179">
        <f t="shared" si="367"/>
        <v>0</v>
      </c>
      <c r="AW132" s="179">
        <f t="shared" si="367"/>
        <v>0</v>
      </c>
      <c r="AX132" s="179">
        <f t="shared" si="367"/>
        <v>0</v>
      </c>
      <c r="AY132" s="180">
        <f t="shared" si="367"/>
        <v>0</v>
      </c>
      <c r="AZ132" s="198">
        <f t="shared" si="367"/>
        <v>0</v>
      </c>
      <c r="BA132" s="234">
        <f t="shared" ref="BA132:KS132" si="368">SUM(BA133:BA134)</f>
        <v>0</v>
      </c>
      <c r="BB132" s="172">
        <f t="shared" si="368"/>
        <v>0</v>
      </c>
      <c r="BC132" s="179">
        <f t="shared" si="368"/>
        <v>0</v>
      </c>
      <c r="BD132" s="179">
        <f t="shared" si="368"/>
        <v>0</v>
      </c>
      <c r="BE132" s="179">
        <f t="shared" si="368"/>
        <v>0</v>
      </c>
      <c r="BF132" s="180">
        <f t="shared" si="368"/>
        <v>69969</v>
      </c>
      <c r="BG132" s="198">
        <f t="shared" si="368"/>
        <v>69969</v>
      </c>
      <c r="BH132" s="172">
        <f t="shared" si="368"/>
        <v>0</v>
      </c>
      <c r="BI132" s="179">
        <f t="shared" si="368"/>
        <v>0</v>
      </c>
      <c r="BJ132" s="179">
        <f t="shared" si="368"/>
        <v>0</v>
      </c>
      <c r="BK132" s="179">
        <f t="shared" si="368"/>
        <v>0</v>
      </c>
      <c r="BL132" s="180">
        <f t="shared" si="368"/>
        <v>0</v>
      </c>
      <c r="BM132" s="198">
        <f t="shared" si="368"/>
        <v>0</v>
      </c>
      <c r="BN132" s="172">
        <f t="shared" si="368"/>
        <v>0</v>
      </c>
      <c r="BO132" s="179">
        <f t="shared" si="368"/>
        <v>0</v>
      </c>
      <c r="BP132" s="179">
        <f t="shared" si="368"/>
        <v>0</v>
      </c>
      <c r="BQ132" s="180">
        <f t="shared" si="368"/>
        <v>0</v>
      </c>
      <c r="BR132" s="198">
        <f t="shared" si="368"/>
        <v>0</v>
      </c>
      <c r="BS132" s="172">
        <f t="shared" si="368"/>
        <v>0</v>
      </c>
      <c r="BT132" s="179">
        <f t="shared" si="368"/>
        <v>0</v>
      </c>
      <c r="BU132" s="179">
        <f t="shared" si="368"/>
        <v>0</v>
      </c>
      <c r="BV132" s="179">
        <f t="shared" si="368"/>
        <v>69688.740000000005</v>
      </c>
      <c r="BW132" s="180">
        <f t="shared" si="368"/>
        <v>0</v>
      </c>
      <c r="BX132" s="198">
        <f t="shared" si="368"/>
        <v>69688.740000000005</v>
      </c>
      <c r="BY132" s="172">
        <f>SUM(BY133:BY134)</f>
        <v>0</v>
      </c>
      <c r="BZ132" s="179">
        <f>SUM(BZ133:BZ134)</f>
        <v>0</v>
      </c>
      <c r="CA132" s="198">
        <f t="shared" si="368"/>
        <v>0</v>
      </c>
      <c r="CB132" s="234">
        <f t="shared" si="368"/>
        <v>139657.74</v>
      </c>
      <c r="CC132" s="172">
        <f t="shared" si="368"/>
        <v>0</v>
      </c>
      <c r="CD132" s="179">
        <f t="shared" si="368"/>
        <v>0</v>
      </c>
      <c r="CE132" s="179">
        <f t="shared" si="368"/>
        <v>0</v>
      </c>
      <c r="CF132" s="198">
        <f t="shared" si="368"/>
        <v>0</v>
      </c>
      <c r="CG132" s="172">
        <f t="shared" si="368"/>
        <v>0</v>
      </c>
      <c r="CH132" s="179">
        <f t="shared" si="368"/>
        <v>0</v>
      </c>
      <c r="CI132" s="179">
        <f t="shared" si="368"/>
        <v>0</v>
      </c>
      <c r="CJ132" s="180">
        <f t="shared" si="368"/>
        <v>0</v>
      </c>
      <c r="CK132" s="198">
        <f t="shared" si="368"/>
        <v>0</v>
      </c>
      <c r="CL132" s="172">
        <f t="shared" si="368"/>
        <v>0</v>
      </c>
      <c r="CM132" s="179">
        <f t="shared" si="368"/>
        <v>0</v>
      </c>
      <c r="CN132" s="179">
        <f t="shared" si="368"/>
        <v>99965</v>
      </c>
      <c r="CO132" s="179">
        <f t="shared" si="368"/>
        <v>0</v>
      </c>
      <c r="CP132" s="180">
        <f t="shared" si="368"/>
        <v>0</v>
      </c>
      <c r="CQ132" s="198">
        <f t="shared" si="368"/>
        <v>99965</v>
      </c>
      <c r="CR132" s="172">
        <f t="shared" si="368"/>
        <v>0</v>
      </c>
      <c r="CS132" s="179">
        <f t="shared" si="368"/>
        <v>0</v>
      </c>
      <c r="CT132" s="179">
        <f t="shared" si="368"/>
        <v>0</v>
      </c>
      <c r="CU132" s="179">
        <f t="shared" si="368"/>
        <v>0</v>
      </c>
      <c r="CV132" s="180">
        <f t="shared" si="368"/>
        <v>0</v>
      </c>
      <c r="CW132" s="198">
        <f t="shared" si="368"/>
        <v>0</v>
      </c>
      <c r="CX132" s="172">
        <f t="shared" si="368"/>
        <v>0</v>
      </c>
      <c r="CY132" s="179">
        <f t="shared" si="368"/>
        <v>0</v>
      </c>
      <c r="CZ132" s="179">
        <f t="shared" si="368"/>
        <v>0</v>
      </c>
      <c r="DA132" s="180">
        <f t="shared" si="368"/>
        <v>0</v>
      </c>
      <c r="DB132" s="198">
        <f t="shared" si="368"/>
        <v>0</v>
      </c>
      <c r="DC132" s="234">
        <f t="shared" si="368"/>
        <v>99965</v>
      </c>
      <c r="DD132" s="172">
        <f t="shared" si="368"/>
        <v>0</v>
      </c>
      <c r="DE132" s="179">
        <f t="shared" si="368"/>
        <v>0</v>
      </c>
      <c r="DF132" s="179">
        <f t="shared" si="368"/>
        <v>0</v>
      </c>
      <c r="DG132" s="179">
        <f t="shared" si="368"/>
        <v>0</v>
      </c>
      <c r="DH132" s="179">
        <f t="shared" si="368"/>
        <v>0</v>
      </c>
      <c r="DI132" s="198">
        <f t="shared" si="368"/>
        <v>0</v>
      </c>
      <c r="DJ132" s="172">
        <f t="shared" si="368"/>
        <v>0</v>
      </c>
      <c r="DK132" s="179">
        <f t="shared" si="368"/>
        <v>72680.399999999994</v>
      </c>
      <c r="DL132" s="179">
        <f t="shared" si="368"/>
        <v>0</v>
      </c>
      <c r="DM132" s="179">
        <f t="shared" si="368"/>
        <v>0</v>
      </c>
      <c r="DN132" s="180">
        <f t="shared" si="368"/>
        <v>0</v>
      </c>
      <c r="DO132" s="172">
        <f t="shared" si="368"/>
        <v>72680.399999999994</v>
      </c>
      <c r="DP132" s="172">
        <f t="shared" si="368"/>
        <v>0</v>
      </c>
      <c r="DQ132" s="179">
        <f t="shared" si="368"/>
        <v>0</v>
      </c>
      <c r="DR132" s="179">
        <f t="shared" si="368"/>
        <v>0</v>
      </c>
      <c r="DS132" s="179">
        <f t="shared" si="368"/>
        <v>41215</v>
      </c>
      <c r="DT132" s="180">
        <f t="shared" si="368"/>
        <v>0</v>
      </c>
      <c r="DU132" s="198">
        <f>SUM(DU133:DU134)</f>
        <v>41215</v>
      </c>
      <c r="DV132" s="172">
        <f t="shared" si="368"/>
        <v>0</v>
      </c>
      <c r="DW132" s="179">
        <f t="shared" si="368"/>
        <v>0</v>
      </c>
      <c r="DX132" s="179">
        <f t="shared" si="368"/>
        <v>0</v>
      </c>
      <c r="DY132" s="179">
        <f t="shared" si="368"/>
        <v>0</v>
      </c>
      <c r="DZ132" s="180">
        <f t="shared" si="368"/>
        <v>0</v>
      </c>
      <c r="EA132" s="198">
        <f t="shared" si="368"/>
        <v>0</v>
      </c>
      <c r="EB132" s="234">
        <f t="shared" si="368"/>
        <v>113895.4</v>
      </c>
      <c r="EC132" s="172">
        <f t="shared" si="368"/>
        <v>0</v>
      </c>
      <c r="ED132" s="179">
        <f t="shared" si="368"/>
        <v>0</v>
      </c>
      <c r="EE132" s="179">
        <f t="shared" si="368"/>
        <v>0</v>
      </c>
      <c r="EF132" s="179">
        <f t="shared" si="368"/>
        <v>0</v>
      </c>
      <c r="EG132" s="180">
        <f t="shared" si="368"/>
        <v>0</v>
      </c>
      <c r="EH132" s="198">
        <f t="shared" si="368"/>
        <v>0</v>
      </c>
      <c r="EI132" s="172">
        <f t="shared" si="368"/>
        <v>0</v>
      </c>
      <c r="EJ132" s="179">
        <f t="shared" si="368"/>
        <v>0</v>
      </c>
      <c r="EK132" s="179">
        <f t="shared" si="368"/>
        <v>0</v>
      </c>
      <c r="EL132" s="179">
        <f t="shared" si="368"/>
        <v>0</v>
      </c>
      <c r="EM132" s="180">
        <f t="shared" si="368"/>
        <v>0</v>
      </c>
      <c r="EN132" s="198">
        <f t="shared" si="368"/>
        <v>0</v>
      </c>
      <c r="EO132" s="172">
        <f t="shared" si="368"/>
        <v>0</v>
      </c>
      <c r="EP132" s="179">
        <f t="shared" si="368"/>
        <v>0</v>
      </c>
      <c r="EQ132" s="179">
        <f t="shared" si="368"/>
        <v>0</v>
      </c>
      <c r="ER132" s="179">
        <f t="shared" si="368"/>
        <v>0</v>
      </c>
      <c r="ES132" s="180">
        <f t="shared" si="368"/>
        <v>0</v>
      </c>
      <c r="ET132" s="180">
        <f t="shared" si="368"/>
        <v>0</v>
      </c>
      <c r="EU132" s="172">
        <f t="shared" si="368"/>
        <v>0</v>
      </c>
      <c r="EV132" s="179">
        <f t="shared" si="368"/>
        <v>0</v>
      </c>
      <c r="EW132" s="179">
        <f t="shared" si="368"/>
        <v>0</v>
      </c>
      <c r="EX132" s="179">
        <f t="shared" si="368"/>
        <v>0</v>
      </c>
      <c r="EY132" s="179">
        <f t="shared" si="368"/>
        <v>0</v>
      </c>
      <c r="EZ132" s="179">
        <f t="shared" si="368"/>
        <v>0</v>
      </c>
      <c r="FA132" s="180">
        <f t="shared" si="368"/>
        <v>0</v>
      </c>
      <c r="FB132" s="198">
        <f t="shared" si="368"/>
        <v>0</v>
      </c>
      <c r="FC132" s="234">
        <f t="shared" si="368"/>
        <v>0</v>
      </c>
      <c r="FD132" s="172">
        <f t="shared" si="368"/>
        <v>0</v>
      </c>
      <c r="FE132" s="179">
        <f t="shared" si="368"/>
        <v>0</v>
      </c>
      <c r="FF132" s="180">
        <f t="shared" si="368"/>
        <v>0</v>
      </c>
      <c r="FG132" s="198">
        <f t="shared" si="368"/>
        <v>0</v>
      </c>
      <c r="FH132" s="172">
        <f t="shared" si="368"/>
        <v>0</v>
      </c>
      <c r="FI132" s="179">
        <f t="shared" si="368"/>
        <v>0</v>
      </c>
      <c r="FJ132" s="179">
        <f t="shared" si="368"/>
        <v>0</v>
      </c>
      <c r="FK132" s="179">
        <f t="shared" si="368"/>
        <v>0</v>
      </c>
      <c r="FL132" s="180">
        <f t="shared" si="368"/>
        <v>0</v>
      </c>
      <c r="FM132" s="198">
        <f t="shared" si="368"/>
        <v>0</v>
      </c>
      <c r="FN132" s="172">
        <f t="shared" si="368"/>
        <v>0</v>
      </c>
      <c r="FO132" s="179">
        <f t="shared" si="368"/>
        <v>0</v>
      </c>
      <c r="FP132" s="179">
        <f t="shared" si="368"/>
        <v>0</v>
      </c>
      <c r="FQ132" s="179">
        <f t="shared" si="368"/>
        <v>0</v>
      </c>
      <c r="FR132" s="198">
        <f t="shared" si="368"/>
        <v>0</v>
      </c>
      <c r="FS132" s="172">
        <f t="shared" si="368"/>
        <v>0</v>
      </c>
      <c r="FT132" s="179">
        <f t="shared" si="368"/>
        <v>0</v>
      </c>
      <c r="FU132" s="179">
        <f t="shared" si="368"/>
        <v>0</v>
      </c>
      <c r="FV132" s="179">
        <f t="shared" si="368"/>
        <v>0</v>
      </c>
      <c r="FW132" s="180">
        <f t="shared" si="368"/>
        <v>0</v>
      </c>
      <c r="FX132" s="198">
        <f t="shared" si="368"/>
        <v>0</v>
      </c>
      <c r="FY132" s="172">
        <f t="shared" ref="FY132:GD132" si="369">SUM(FY133:FY134)</f>
        <v>0</v>
      </c>
      <c r="FZ132" s="179">
        <f t="shared" si="369"/>
        <v>0</v>
      </c>
      <c r="GA132" s="179">
        <f t="shared" si="369"/>
        <v>0</v>
      </c>
      <c r="GB132" s="179">
        <f t="shared" si="369"/>
        <v>60718</v>
      </c>
      <c r="GC132" s="180">
        <f t="shared" si="369"/>
        <v>0</v>
      </c>
      <c r="GD132" s="198">
        <f t="shared" si="369"/>
        <v>60718</v>
      </c>
      <c r="GE132" s="234">
        <f t="shared" si="368"/>
        <v>60718</v>
      </c>
      <c r="GF132" s="172">
        <f t="shared" si="368"/>
        <v>0</v>
      </c>
      <c r="GG132" s="179">
        <f t="shared" si="368"/>
        <v>0</v>
      </c>
      <c r="GH132" s="179">
        <f t="shared" si="368"/>
        <v>0</v>
      </c>
      <c r="GI132" s="179">
        <f t="shared" si="368"/>
        <v>0</v>
      </c>
      <c r="GJ132" s="179">
        <f t="shared" si="368"/>
        <v>0</v>
      </c>
      <c r="GK132" s="198">
        <f t="shared" si="368"/>
        <v>0</v>
      </c>
      <c r="GL132" s="172">
        <f t="shared" si="368"/>
        <v>0</v>
      </c>
      <c r="GM132" s="179">
        <f t="shared" si="368"/>
        <v>0</v>
      </c>
      <c r="GN132" s="179">
        <f t="shared" si="368"/>
        <v>0</v>
      </c>
      <c r="GO132" s="180">
        <f t="shared" si="368"/>
        <v>0</v>
      </c>
      <c r="GP132" s="198">
        <f t="shared" si="368"/>
        <v>0</v>
      </c>
      <c r="GQ132" s="172">
        <f t="shared" si="368"/>
        <v>0</v>
      </c>
      <c r="GR132" s="179">
        <f t="shared" si="368"/>
        <v>0</v>
      </c>
      <c r="GS132" s="179">
        <f t="shared" si="368"/>
        <v>0</v>
      </c>
      <c r="GT132" s="179">
        <f t="shared" si="368"/>
        <v>0</v>
      </c>
      <c r="GU132" s="180">
        <f t="shared" si="368"/>
        <v>0</v>
      </c>
      <c r="GV132" s="198">
        <f t="shared" si="368"/>
        <v>0</v>
      </c>
      <c r="GW132" s="172">
        <f t="shared" si="368"/>
        <v>0</v>
      </c>
      <c r="GX132" s="179">
        <f t="shared" si="368"/>
        <v>0</v>
      </c>
      <c r="GY132" s="179">
        <f t="shared" si="368"/>
        <v>0</v>
      </c>
      <c r="GZ132" s="179">
        <f>SUM(GZ133:GZ134)</f>
        <v>0</v>
      </c>
      <c r="HA132" s="179">
        <f>SUM(HA133:HA134)</f>
        <v>0</v>
      </c>
      <c r="HB132" s="180">
        <f t="shared" si="368"/>
        <v>33634.5</v>
      </c>
      <c r="HC132" s="198">
        <f t="shared" si="368"/>
        <v>33634.5</v>
      </c>
      <c r="HD132" s="234">
        <f t="shared" si="368"/>
        <v>33634.5</v>
      </c>
      <c r="HE132" s="172">
        <f t="shared" si="368"/>
        <v>0</v>
      </c>
      <c r="HF132" s="179">
        <f t="shared" si="368"/>
        <v>0</v>
      </c>
      <c r="HG132" s="179">
        <f t="shared" si="368"/>
        <v>0</v>
      </c>
      <c r="HH132" s="179">
        <f t="shared" si="368"/>
        <v>0</v>
      </c>
      <c r="HI132" s="198">
        <f t="shared" si="368"/>
        <v>0</v>
      </c>
      <c r="HJ132" s="172">
        <f t="shared" si="368"/>
        <v>0</v>
      </c>
      <c r="HK132" s="179">
        <f t="shared" si="368"/>
        <v>0</v>
      </c>
      <c r="HL132" s="179">
        <f t="shared" si="368"/>
        <v>0</v>
      </c>
      <c r="HM132" s="179">
        <f t="shared" si="368"/>
        <v>0</v>
      </c>
      <c r="HN132" s="180">
        <f t="shared" si="368"/>
        <v>0</v>
      </c>
      <c r="HO132" s="198">
        <f t="shared" si="368"/>
        <v>0</v>
      </c>
      <c r="HP132" s="172">
        <f t="shared" si="368"/>
        <v>0</v>
      </c>
      <c r="HQ132" s="179">
        <f t="shared" si="368"/>
        <v>0</v>
      </c>
      <c r="HR132" s="179">
        <f t="shared" si="368"/>
        <v>0</v>
      </c>
      <c r="HS132" s="179">
        <f t="shared" si="368"/>
        <v>31934.16</v>
      </c>
      <c r="HT132" s="180">
        <f t="shared" si="368"/>
        <v>0</v>
      </c>
      <c r="HU132" s="198">
        <f t="shared" si="368"/>
        <v>31934.16</v>
      </c>
      <c r="HV132" s="172">
        <f t="shared" si="368"/>
        <v>0</v>
      </c>
      <c r="HW132" s="179">
        <f t="shared" si="368"/>
        <v>0</v>
      </c>
      <c r="HX132" s="179">
        <f t="shared" si="368"/>
        <v>0</v>
      </c>
      <c r="HY132" s="198">
        <f t="shared" si="368"/>
        <v>0</v>
      </c>
      <c r="HZ132" s="172">
        <f t="shared" si="368"/>
        <v>0</v>
      </c>
      <c r="IA132" s="179">
        <f>SUM(IA133:IA134)</f>
        <v>0</v>
      </c>
      <c r="IB132" s="179">
        <f>SUM(IB133:IB134)</f>
        <v>0</v>
      </c>
      <c r="IC132" s="198">
        <f t="shared" si="368"/>
        <v>0</v>
      </c>
      <c r="ID132" s="234">
        <f t="shared" si="368"/>
        <v>31934.16</v>
      </c>
      <c r="IE132" s="172">
        <f t="shared" si="368"/>
        <v>0</v>
      </c>
      <c r="IF132" s="180">
        <f t="shared" si="368"/>
        <v>0</v>
      </c>
      <c r="IG132" s="198">
        <f t="shared" si="368"/>
        <v>0</v>
      </c>
      <c r="IH132" s="172">
        <f t="shared" si="368"/>
        <v>0</v>
      </c>
      <c r="II132" s="179">
        <f t="shared" si="368"/>
        <v>0</v>
      </c>
      <c r="IJ132" s="179">
        <f t="shared" si="368"/>
        <v>0</v>
      </c>
      <c r="IK132" s="179">
        <f t="shared" si="368"/>
        <v>0</v>
      </c>
      <c r="IL132" s="180">
        <f t="shared" si="368"/>
        <v>0</v>
      </c>
      <c r="IM132" s="198">
        <f t="shared" si="368"/>
        <v>0</v>
      </c>
      <c r="IN132" s="172">
        <f t="shared" si="368"/>
        <v>0</v>
      </c>
      <c r="IO132" s="179">
        <f t="shared" si="368"/>
        <v>0</v>
      </c>
      <c r="IP132" s="180">
        <f t="shared" si="368"/>
        <v>0</v>
      </c>
      <c r="IQ132" s="198">
        <f t="shared" si="368"/>
        <v>0</v>
      </c>
      <c r="IR132" s="172">
        <f t="shared" si="368"/>
        <v>0</v>
      </c>
      <c r="IS132" s="179">
        <f t="shared" si="368"/>
        <v>0</v>
      </c>
      <c r="IT132" s="179">
        <f t="shared" si="368"/>
        <v>0</v>
      </c>
      <c r="IU132" s="179">
        <f t="shared" si="368"/>
        <v>0</v>
      </c>
      <c r="IV132" s="180">
        <f t="shared" si="368"/>
        <v>0</v>
      </c>
      <c r="IW132" s="198">
        <f t="shared" si="368"/>
        <v>0</v>
      </c>
      <c r="IX132" s="172">
        <f t="shared" si="368"/>
        <v>0</v>
      </c>
      <c r="IY132" s="179">
        <f t="shared" si="368"/>
        <v>0</v>
      </c>
      <c r="IZ132" s="179">
        <f t="shared" si="368"/>
        <v>0</v>
      </c>
      <c r="JA132" s="179">
        <f t="shared" si="368"/>
        <v>21528.720000000001</v>
      </c>
      <c r="JB132" s="180">
        <f t="shared" si="368"/>
        <v>0</v>
      </c>
      <c r="JC132" s="198">
        <f t="shared" si="368"/>
        <v>21528.720000000001</v>
      </c>
      <c r="JD132" s="234">
        <f t="shared" si="368"/>
        <v>21528.720000000001</v>
      </c>
      <c r="JE132" s="172">
        <f t="shared" si="368"/>
        <v>0</v>
      </c>
      <c r="JF132" s="179">
        <f t="shared" si="368"/>
        <v>0</v>
      </c>
      <c r="JG132" s="179">
        <f t="shared" si="368"/>
        <v>0</v>
      </c>
      <c r="JH132" s="179">
        <f t="shared" si="368"/>
        <v>0</v>
      </c>
      <c r="JI132" s="180">
        <f t="shared" si="368"/>
        <v>0</v>
      </c>
      <c r="JJ132" s="198">
        <f t="shared" si="368"/>
        <v>0</v>
      </c>
      <c r="JK132" s="431">
        <f t="shared" si="368"/>
        <v>0</v>
      </c>
      <c r="JL132" s="432">
        <f t="shared" si="368"/>
        <v>0</v>
      </c>
      <c r="JM132" s="432">
        <f t="shared" si="368"/>
        <v>0</v>
      </c>
      <c r="JN132" s="432">
        <f t="shared" si="368"/>
        <v>0</v>
      </c>
      <c r="JO132" s="433">
        <f t="shared" si="368"/>
        <v>0</v>
      </c>
      <c r="JP132" s="148">
        <f t="shared" si="368"/>
        <v>0</v>
      </c>
      <c r="JQ132" s="431">
        <f t="shared" si="368"/>
        <v>0</v>
      </c>
      <c r="JR132" s="432">
        <f t="shared" si="368"/>
        <v>0</v>
      </c>
      <c r="JS132" s="432">
        <f t="shared" si="368"/>
        <v>0</v>
      </c>
      <c r="JT132" s="432">
        <f t="shared" si="368"/>
        <v>0</v>
      </c>
      <c r="JU132" s="433">
        <f t="shared" si="368"/>
        <v>0</v>
      </c>
      <c r="JV132" s="148">
        <f t="shared" si="368"/>
        <v>0</v>
      </c>
      <c r="JW132" s="431">
        <f t="shared" si="368"/>
        <v>0</v>
      </c>
      <c r="JX132" s="432">
        <f t="shared" si="368"/>
        <v>0</v>
      </c>
      <c r="JY132" s="432">
        <f t="shared" si="368"/>
        <v>0</v>
      </c>
      <c r="JZ132" s="432">
        <f t="shared" si="368"/>
        <v>0</v>
      </c>
      <c r="KA132" s="432"/>
      <c r="KB132" s="433">
        <f t="shared" si="368"/>
        <v>0</v>
      </c>
      <c r="KC132" s="148">
        <f t="shared" si="368"/>
        <v>0</v>
      </c>
      <c r="KD132" s="148">
        <f t="shared" si="368"/>
        <v>181104.28</v>
      </c>
      <c r="KE132" s="431">
        <f t="shared" si="368"/>
        <v>0</v>
      </c>
      <c r="KF132" s="432">
        <f t="shared" si="368"/>
        <v>0</v>
      </c>
      <c r="KG132" s="432">
        <f t="shared" si="368"/>
        <v>0</v>
      </c>
      <c r="KH132" s="432">
        <f t="shared" si="368"/>
        <v>0</v>
      </c>
      <c r="KI132" s="433">
        <f t="shared" si="368"/>
        <v>0</v>
      </c>
      <c r="KJ132" s="148">
        <f t="shared" si="368"/>
        <v>0</v>
      </c>
      <c r="KK132" s="431">
        <f t="shared" si="368"/>
        <v>0</v>
      </c>
      <c r="KL132" s="432">
        <f t="shared" si="368"/>
        <v>0</v>
      </c>
      <c r="KM132" s="432">
        <f t="shared" si="368"/>
        <v>0</v>
      </c>
      <c r="KN132" s="432">
        <f t="shared" si="368"/>
        <v>0</v>
      </c>
      <c r="KO132" s="433">
        <f t="shared" si="368"/>
        <v>0</v>
      </c>
      <c r="KP132" s="148">
        <f t="shared" si="368"/>
        <v>0</v>
      </c>
      <c r="KQ132" s="431">
        <f t="shared" si="368"/>
        <v>0</v>
      </c>
      <c r="KR132" s="432">
        <f t="shared" si="368"/>
        <v>0</v>
      </c>
      <c r="KS132" s="432">
        <f t="shared" si="368"/>
        <v>0</v>
      </c>
      <c r="KT132" s="432">
        <f t="shared" ref="KT132:LG132" si="370">SUM(KT133:KT134)</f>
        <v>0</v>
      </c>
      <c r="KU132" s="433">
        <f t="shared" si="370"/>
        <v>0</v>
      </c>
      <c r="KV132" s="148">
        <f t="shared" si="370"/>
        <v>0</v>
      </c>
      <c r="KW132" s="431">
        <f t="shared" si="370"/>
        <v>0</v>
      </c>
      <c r="KX132" s="432">
        <f t="shared" si="370"/>
        <v>0</v>
      </c>
      <c r="KY132" s="432">
        <f t="shared" si="370"/>
        <v>0</v>
      </c>
      <c r="KZ132" s="432">
        <f t="shared" si="370"/>
        <v>0</v>
      </c>
      <c r="LA132" s="433">
        <f t="shared" si="370"/>
        <v>0</v>
      </c>
      <c r="LB132" s="148">
        <f t="shared" si="370"/>
        <v>0</v>
      </c>
      <c r="LC132" s="431">
        <f t="shared" si="370"/>
        <v>0</v>
      </c>
      <c r="LD132" s="432">
        <f t="shared" si="370"/>
        <v>0</v>
      </c>
      <c r="LE132" s="433">
        <f t="shared" si="370"/>
        <v>0</v>
      </c>
      <c r="LF132" s="148">
        <f t="shared" si="370"/>
        <v>0</v>
      </c>
      <c r="LG132" s="148">
        <f t="shared" si="370"/>
        <v>326256.08</v>
      </c>
    </row>
    <row r="133" spans="2:325" s="91" customFormat="1">
      <c r="B133" s="167" t="s">
        <v>102</v>
      </c>
      <c r="C133" s="167"/>
      <c r="D133" s="181">
        <f>SUM(C133)</f>
        <v>0</v>
      </c>
      <c r="E133" s="167"/>
      <c r="F133" s="177"/>
      <c r="G133" s="177"/>
      <c r="H133" s="177"/>
      <c r="I133" s="178"/>
      <c r="J133" s="181">
        <f>SUM(E133:I133)</f>
        <v>0</v>
      </c>
      <c r="K133" s="167"/>
      <c r="L133" s="177"/>
      <c r="M133" s="177"/>
      <c r="N133" s="178"/>
      <c r="O133" s="181">
        <f>SUM(K133:N133)</f>
        <v>0</v>
      </c>
      <c r="P133" s="167"/>
      <c r="Q133" s="224"/>
      <c r="R133" s="177"/>
      <c r="S133" s="177"/>
      <c r="T133" s="178"/>
      <c r="U133" s="181">
        <f>SUM(P133:T133)</f>
        <v>0</v>
      </c>
      <c r="V133" s="167">
        <v>67280</v>
      </c>
      <c r="W133" s="177"/>
      <c r="X133" s="177"/>
      <c r="Y133" s="177"/>
      <c r="Z133" s="178"/>
      <c r="AA133" s="181">
        <f>SUM(V133:Z133)</f>
        <v>67280</v>
      </c>
      <c r="AB133" s="168">
        <f>AA133+U133+O133+J133+D133</f>
        <v>67280</v>
      </c>
      <c r="AC133" s="181"/>
      <c r="AD133" s="238"/>
      <c r="AE133" s="238"/>
      <c r="AF133" s="238"/>
      <c r="AG133" s="239"/>
      <c r="AH133" s="168">
        <f>SUM(AC133:AG133)</f>
        <v>0</v>
      </c>
      <c r="AI133" s="181"/>
      <c r="AJ133" s="238"/>
      <c r="AK133" s="244">
        <f>AK115*1.366</f>
        <v>0</v>
      </c>
      <c r="AL133" s="238"/>
      <c r="AM133" s="239"/>
      <c r="AN133" s="499">
        <v>0</v>
      </c>
      <c r="AO133" s="248"/>
      <c r="AP133" s="249"/>
      <c r="AQ133" s="249"/>
      <c r="AR133" s="249"/>
      <c r="AS133" s="250"/>
      <c r="AT133" s="168"/>
      <c r="AU133" s="242"/>
      <c r="AV133" s="224"/>
      <c r="AW133" s="224"/>
      <c r="AX133" s="224"/>
      <c r="AY133" s="243"/>
      <c r="AZ133" s="168">
        <f>SUM(AU133:AY133)</f>
        <v>0</v>
      </c>
      <c r="BA133" s="168">
        <f>AZ133+AT133+AN133+AH133</f>
        <v>0</v>
      </c>
      <c r="BB133" s="242"/>
      <c r="BC133" s="224"/>
      <c r="BD133" s="224"/>
      <c r="BE133" s="224"/>
      <c r="BF133" s="243">
        <v>69969</v>
      </c>
      <c r="BG133" s="168">
        <f>SUM(BB133:BF133)</f>
        <v>69969</v>
      </c>
      <c r="BH133" s="242"/>
      <c r="BI133" s="224"/>
      <c r="BJ133" s="224"/>
      <c r="BK133" s="224"/>
      <c r="BL133" s="243"/>
      <c r="BM133" s="168">
        <f>SUM(BH133:BL133)</f>
        <v>0</v>
      </c>
      <c r="BN133" s="242"/>
      <c r="BO133" s="224"/>
      <c r="BP133" s="224"/>
      <c r="BQ133" s="243"/>
      <c r="BR133" s="168">
        <f>SUM(BN133:BQ133)</f>
        <v>0</v>
      </c>
      <c r="BS133" s="242"/>
      <c r="BT133" s="224"/>
      <c r="BU133" s="224"/>
      <c r="BV133" s="224">
        <v>69688.740000000005</v>
      </c>
      <c r="BW133" s="243"/>
      <c r="BX133" s="168">
        <f>SUM(BS133:BW133)</f>
        <v>69688.740000000005</v>
      </c>
      <c r="BY133" s="242"/>
      <c r="BZ133" s="224"/>
      <c r="CA133" s="168">
        <f>SUM(BY133:BZ133)</f>
        <v>0</v>
      </c>
      <c r="CB133" s="168">
        <f>CA133+BX133+BR133+BM133+BG133</f>
        <v>139657.74</v>
      </c>
      <c r="CC133" s="242"/>
      <c r="CD133" s="224"/>
      <c r="CE133" s="224"/>
      <c r="CF133" s="168">
        <f>SUM(CC133:CE133)</f>
        <v>0</v>
      </c>
      <c r="CG133" s="242"/>
      <c r="CH133" s="224"/>
      <c r="CI133" s="224"/>
      <c r="CJ133" s="243"/>
      <c r="CK133" s="168">
        <f>SUM(CG133:CJ133)</f>
        <v>0</v>
      </c>
      <c r="CL133" s="242"/>
      <c r="CM133" s="224"/>
      <c r="CN133" s="224">
        <v>99965</v>
      </c>
      <c r="CO133" s="224"/>
      <c r="CP133" s="243"/>
      <c r="CQ133" s="168">
        <f>SUM(CL133:CP133)</f>
        <v>99965</v>
      </c>
      <c r="CR133" s="242"/>
      <c r="CS133" s="224"/>
      <c r="CT133" s="224"/>
      <c r="CU133" s="224"/>
      <c r="CV133" s="243"/>
      <c r="CW133" s="168">
        <f>SUM(CR133:CV133)</f>
        <v>0</v>
      </c>
      <c r="CX133" s="242"/>
      <c r="CY133" s="224"/>
      <c r="CZ133" s="224"/>
      <c r="DA133" s="243"/>
      <c r="DB133" s="168">
        <f>SUM(CX133:DA133)</f>
        <v>0</v>
      </c>
      <c r="DC133" s="168">
        <f>DB133+CW133+CQ133+CK133+CF133</f>
        <v>99965</v>
      </c>
      <c r="DD133" s="242"/>
      <c r="DE133" s="224"/>
      <c r="DF133" s="224"/>
      <c r="DG133" s="224"/>
      <c r="DH133" s="224"/>
      <c r="DI133" s="168">
        <f>SUM(DD133:DH133)</f>
        <v>0</v>
      </c>
      <c r="DJ133" s="242"/>
      <c r="DK133" s="224">
        <v>72680.399999999994</v>
      </c>
      <c r="DL133" s="224"/>
      <c r="DM133" s="224"/>
      <c r="DN133" s="243"/>
      <c r="DO133" s="201">
        <f>SUM(DJ133:DN133)</f>
        <v>72680.399999999994</v>
      </c>
      <c r="DP133" s="242"/>
      <c r="DQ133" s="224"/>
      <c r="DR133" s="224"/>
      <c r="DS133" s="224">
        <v>41215</v>
      </c>
      <c r="DT133" s="243"/>
      <c r="DU133" s="168">
        <f>SUM(DP133:DT133)</f>
        <v>41215</v>
      </c>
      <c r="DV133" s="242"/>
      <c r="DW133" s="224"/>
      <c r="DX133" s="224"/>
      <c r="DY133" s="224"/>
      <c r="DZ133" s="243"/>
      <c r="EA133" s="168">
        <f>SUM(DV133:DZ133)</f>
        <v>0</v>
      </c>
      <c r="EB133" s="168">
        <f>EA133+DU133+DO133+DI133</f>
        <v>113895.4</v>
      </c>
      <c r="EC133" s="242"/>
      <c r="ED133" s="224"/>
      <c r="EE133" s="224"/>
      <c r="EF133" s="224"/>
      <c r="EG133" s="243"/>
      <c r="EH133" s="168">
        <f>SUM(EC133:EG133)</f>
        <v>0</v>
      </c>
      <c r="EI133" s="242"/>
      <c r="EJ133" s="224"/>
      <c r="EK133" s="224"/>
      <c r="EL133" s="224"/>
      <c r="EM133" s="243"/>
      <c r="EN133" s="168">
        <f>SUM(EI133:EM133)</f>
        <v>0</v>
      </c>
      <c r="EO133" s="181"/>
      <c r="EP133" s="238"/>
      <c r="EQ133" s="238"/>
      <c r="ER133" s="238"/>
      <c r="ES133" s="239"/>
      <c r="ET133" s="239">
        <f>SUM(EO133:ES133)</f>
        <v>0</v>
      </c>
      <c r="EU133" s="242"/>
      <c r="EV133" s="224"/>
      <c r="EW133" s="224"/>
      <c r="EX133" s="224"/>
      <c r="EY133" s="224"/>
      <c r="EZ133" s="224"/>
      <c r="FA133" s="243"/>
      <c r="FB133" s="168">
        <f>SUM(EU133:FA133)</f>
        <v>0</v>
      </c>
      <c r="FC133" s="168">
        <f>FB133+ET133+EN133+EH133</f>
        <v>0</v>
      </c>
      <c r="FD133" s="242"/>
      <c r="FE133" s="224"/>
      <c r="FF133" s="243"/>
      <c r="FG133" s="168">
        <f>SUM(FD133:FF133)</f>
        <v>0</v>
      </c>
      <c r="FH133" s="242"/>
      <c r="FI133" s="224"/>
      <c r="FJ133" s="224"/>
      <c r="FK133" s="224"/>
      <c r="FL133" s="243"/>
      <c r="FM133" s="168">
        <f>SUM(FH133:FL133)</f>
        <v>0</v>
      </c>
      <c r="FN133" s="242"/>
      <c r="FO133" s="224"/>
      <c r="FP133" s="224"/>
      <c r="FQ133" s="224"/>
      <c r="FR133" s="168">
        <f>SUM(FN133:FQ133)</f>
        <v>0</v>
      </c>
      <c r="FS133" s="242"/>
      <c r="FT133" s="224"/>
      <c r="FU133" s="224"/>
      <c r="FV133" s="224"/>
      <c r="FW133" s="243"/>
      <c r="FX133" s="168">
        <f>SUM(FS133:FW133)</f>
        <v>0</v>
      </c>
      <c r="FY133" s="242"/>
      <c r="FZ133" s="224"/>
      <c r="GA133" s="224"/>
      <c r="GB133" s="224">
        <v>60718</v>
      </c>
      <c r="GC133" s="243"/>
      <c r="GD133" s="168">
        <f>SUM(FY133:GC133)</f>
        <v>60718</v>
      </c>
      <c r="GE133" s="168">
        <f>FG133+FM133+FR133+FX133+GD133</f>
        <v>60718</v>
      </c>
      <c r="GF133" s="242"/>
      <c r="GG133" s="224"/>
      <c r="GH133" s="224"/>
      <c r="GI133" s="224"/>
      <c r="GJ133" s="224"/>
      <c r="GK133" s="168">
        <f>SUM(GF133:GJ133)</f>
        <v>0</v>
      </c>
      <c r="GL133" s="242"/>
      <c r="GM133" s="224"/>
      <c r="GN133" s="224"/>
      <c r="GO133" s="243"/>
      <c r="GP133" s="168">
        <f>SUM(GL133:GO133)</f>
        <v>0</v>
      </c>
      <c r="GQ133" s="242"/>
      <c r="GR133" s="224"/>
      <c r="GS133" s="224"/>
      <c r="GT133" s="224"/>
      <c r="GU133" s="243"/>
      <c r="GV133" s="168">
        <f>SUM(GQ133:GU133)</f>
        <v>0</v>
      </c>
      <c r="GW133" s="181"/>
      <c r="GX133" s="238"/>
      <c r="GY133" s="238"/>
      <c r="GZ133" s="238"/>
      <c r="HA133" s="238"/>
      <c r="HB133" s="243">
        <f>18423.5+15211</f>
        <v>33634.5</v>
      </c>
      <c r="HC133" s="168">
        <f>SUM(GW133:HB133)</f>
        <v>33634.5</v>
      </c>
      <c r="HD133" s="168">
        <f>GK133+GP133+GV133+HC133</f>
        <v>33634.5</v>
      </c>
      <c r="HE133" s="181"/>
      <c r="HF133" s="238"/>
      <c r="HG133" s="238"/>
      <c r="HH133" s="238"/>
      <c r="HI133" s="168">
        <f>SUM(HE133:HH133)</f>
        <v>0</v>
      </c>
      <c r="HJ133" s="242"/>
      <c r="HK133" s="224"/>
      <c r="HL133" s="224"/>
      <c r="HM133" s="224"/>
      <c r="HN133" s="243"/>
      <c r="HO133" s="168">
        <f>SUM(HJ133:HN133)</f>
        <v>0</v>
      </c>
      <c r="HP133" s="242"/>
      <c r="HQ133" s="224"/>
      <c r="HR133" s="224"/>
      <c r="HS133" s="224">
        <v>31934.16</v>
      </c>
      <c r="HT133" s="243"/>
      <c r="HU133" s="168">
        <f>SUM(HP133:HT133)</f>
        <v>31934.16</v>
      </c>
      <c r="HV133" s="242"/>
      <c r="HW133" s="224"/>
      <c r="HX133" s="224"/>
      <c r="HY133" s="168">
        <f>SUM(HV133:HX133)</f>
        <v>0</v>
      </c>
      <c r="HZ133" s="242"/>
      <c r="IA133" s="224"/>
      <c r="IB133" s="224"/>
      <c r="IC133" s="168">
        <f>SUM(HZ133:IB133)</f>
        <v>0</v>
      </c>
      <c r="ID133" s="168">
        <f>HI133+HO133+HU133+HY133+IC133</f>
        <v>31934.16</v>
      </c>
      <c r="IE133" s="242"/>
      <c r="IF133" s="243"/>
      <c r="IG133" s="168">
        <f>SUM(IE133:IF133)</f>
        <v>0</v>
      </c>
      <c r="IH133" s="242"/>
      <c r="II133" s="224"/>
      <c r="IJ133" s="224"/>
      <c r="IK133" s="224"/>
      <c r="IL133" s="243"/>
      <c r="IM133" s="168">
        <f>SUM(IH133:IL133)</f>
        <v>0</v>
      </c>
      <c r="IN133" s="181"/>
      <c r="IO133" s="238"/>
      <c r="IP133" s="239"/>
      <c r="IQ133" s="168">
        <f>SUM(IN133:IP133)</f>
        <v>0</v>
      </c>
      <c r="IR133" s="181"/>
      <c r="IS133" s="238"/>
      <c r="IT133" s="238"/>
      <c r="IU133" s="238"/>
      <c r="IV133" s="239"/>
      <c r="IW133" s="168">
        <f>SUM(IR133:IV133)</f>
        <v>0</v>
      </c>
      <c r="IX133" s="242"/>
      <c r="IY133" s="224"/>
      <c r="IZ133" s="224"/>
      <c r="JA133" s="224">
        <v>21528.720000000001</v>
      </c>
      <c r="JB133" s="243"/>
      <c r="JC133" s="168">
        <f>SUM(IX133:JB133)</f>
        <v>21528.720000000001</v>
      </c>
      <c r="JD133" s="168">
        <f>JC133+IW133+IQ133+IM133+IG133</f>
        <v>21528.720000000001</v>
      </c>
      <c r="JE133" s="242"/>
      <c r="JF133" s="224"/>
      <c r="JG133" s="224"/>
      <c r="JH133" s="224"/>
      <c r="JI133" s="243"/>
      <c r="JJ133" s="168">
        <f>SUM(JE133:JI133)</f>
        <v>0</v>
      </c>
      <c r="JK133" s="242"/>
      <c r="JL133" s="224"/>
      <c r="JM133" s="224"/>
      <c r="JN133" s="224"/>
      <c r="JO133" s="243"/>
      <c r="JP133" s="168">
        <f>SUM(JK133:JO133)</f>
        <v>0</v>
      </c>
      <c r="JQ133" s="181"/>
      <c r="JR133" s="238"/>
      <c r="JS133" s="238"/>
      <c r="JT133" s="238"/>
      <c r="JU133" s="239"/>
      <c r="JV133" s="168">
        <f>SUM(JQ133:JU133)</f>
        <v>0</v>
      </c>
      <c r="JW133" s="181"/>
      <c r="JX133" s="238"/>
      <c r="JY133" s="238"/>
      <c r="JZ133" s="238"/>
      <c r="KA133" s="238"/>
      <c r="KB133" s="239"/>
      <c r="KC133" s="168">
        <f>SUM(JW133:KB133)</f>
        <v>0</v>
      </c>
      <c r="KD133" s="168">
        <f>'EXP SNA'!E38</f>
        <v>181104.28</v>
      </c>
      <c r="KE133" s="242"/>
      <c r="KF133" s="224"/>
      <c r="KG133" s="224"/>
      <c r="KH133" s="224"/>
      <c r="KI133" s="243"/>
      <c r="KJ133" s="168">
        <f>SUM(KE133:KI133)</f>
        <v>0</v>
      </c>
      <c r="KK133" s="242"/>
      <c r="KL133" s="224"/>
      <c r="KM133" s="224"/>
      <c r="KN133" s="224"/>
      <c r="KO133" s="243"/>
      <c r="KP133" s="168">
        <f>SUM(KK133:KO133)</f>
        <v>0</v>
      </c>
      <c r="KQ133" s="242"/>
      <c r="KR133" s="224"/>
      <c r="KS133" s="224"/>
      <c r="KT133" s="224"/>
      <c r="KU133" s="243"/>
      <c r="KV133" s="168">
        <f>SUM(KQ133:KU133)</f>
        <v>0</v>
      </c>
      <c r="KW133" s="181"/>
      <c r="KX133" s="238"/>
      <c r="KY133" s="238"/>
      <c r="KZ133" s="238"/>
      <c r="LA133" s="239"/>
      <c r="LB133" s="168">
        <f>SUM(KW133:LA133)</f>
        <v>0</v>
      </c>
      <c r="LC133" s="181"/>
      <c r="LD133" s="238"/>
      <c r="LE133" s="239"/>
      <c r="LF133" s="168">
        <f>SUM(LC133:LE133)</f>
        <v>0</v>
      </c>
      <c r="LG133" s="168">
        <f>'EXP SNA'!E43+'EXP SNA'!E44+'EXP SNA'!E50</f>
        <v>326256.08</v>
      </c>
    </row>
    <row r="134" spans="2:325" s="91" customFormat="1">
      <c r="B134" s="167"/>
      <c r="C134" s="167"/>
      <c r="D134" s="181"/>
      <c r="E134" s="167"/>
      <c r="F134" s="177"/>
      <c r="G134" s="177"/>
      <c r="H134" s="177"/>
      <c r="I134" s="178"/>
      <c r="J134" s="181"/>
      <c r="K134" s="167"/>
      <c r="L134" s="177"/>
      <c r="M134" s="177"/>
      <c r="N134" s="178"/>
      <c r="O134" s="181"/>
      <c r="P134" s="167"/>
      <c r="Q134" s="177"/>
      <c r="R134" s="177"/>
      <c r="S134" s="177"/>
      <c r="T134" s="178"/>
      <c r="U134" s="181"/>
      <c r="V134" s="167"/>
      <c r="W134" s="177"/>
      <c r="X134" s="177"/>
      <c r="Y134" s="177"/>
      <c r="Z134" s="178"/>
      <c r="AA134" s="181"/>
      <c r="AB134" s="146"/>
      <c r="AC134" s="167"/>
      <c r="AD134" s="177"/>
      <c r="AE134" s="177"/>
      <c r="AF134" s="177"/>
      <c r="AG134" s="178"/>
      <c r="AH134" s="146"/>
      <c r="AI134" s="181"/>
      <c r="AJ134" s="238"/>
      <c r="AK134" s="238"/>
      <c r="AL134" s="238"/>
      <c r="AM134" s="239"/>
      <c r="AN134" s="146"/>
      <c r="AO134" s="167"/>
      <c r="AP134" s="177"/>
      <c r="AQ134" s="177"/>
      <c r="AR134" s="177"/>
      <c r="AS134" s="178"/>
      <c r="AT134" s="146"/>
      <c r="AU134" s="167"/>
      <c r="AV134" s="177"/>
      <c r="AW134" s="177"/>
      <c r="AX134" s="177"/>
      <c r="AY134" s="178"/>
      <c r="AZ134" s="146"/>
      <c r="BA134" s="168"/>
      <c r="BB134" s="181"/>
      <c r="BC134" s="238"/>
      <c r="BD134" s="238"/>
      <c r="BE134" s="238"/>
      <c r="BF134" s="239"/>
      <c r="BG134" s="168"/>
      <c r="BH134" s="242"/>
      <c r="BI134" s="224"/>
      <c r="BJ134" s="224"/>
      <c r="BK134" s="224"/>
      <c r="BL134" s="243"/>
      <c r="BM134" s="168"/>
      <c r="BN134" s="181"/>
      <c r="BO134" s="238"/>
      <c r="BP134" s="238"/>
      <c r="BQ134" s="239"/>
      <c r="BR134" s="168"/>
      <c r="BS134" s="242"/>
      <c r="BT134" s="224"/>
      <c r="BU134" s="224"/>
      <c r="BV134" s="224"/>
      <c r="BW134" s="243"/>
      <c r="BX134" s="168"/>
      <c r="BY134" s="242"/>
      <c r="BZ134" s="224"/>
      <c r="CA134" s="168"/>
      <c r="CB134" s="168"/>
      <c r="CC134" s="181"/>
      <c r="CD134" s="238"/>
      <c r="CE134" s="238"/>
      <c r="CF134" s="168"/>
      <c r="CG134" s="242"/>
      <c r="CH134" s="224"/>
      <c r="CI134" s="224"/>
      <c r="CJ134" s="243"/>
      <c r="CK134" s="168"/>
      <c r="CL134" s="242"/>
      <c r="CM134" s="224"/>
      <c r="CN134" s="224"/>
      <c r="CO134" s="224"/>
      <c r="CP134" s="243"/>
      <c r="CQ134" s="168"/>
      <c r="CR134" s="242"/>
      <c r="CS134" s="224"/>
      <c r="CT134" s="224"/>
      <c r="CU134" s="224"/>
      <c r="CV134" s="243"/>
      <c r="CW134" s="168"/>
      <c r="CX134" s="242"/>
      <c r="CY134" s="224"/>
      <c r="CZ134" s="224"/>
      <c r="DA134" s="243"/>
      <c r="DB134" s="168"/>
      <c r="DC134" s="168"/>
      <c r="DD134" s="242"/>
      <c r="DE134" s="224"/>
      <c r="DF134" s="224"/>
      <c r="DG134" s="224"/>
      <c r="DH134" s="224"/>
      <c r="DI134" s="168"/>
      <c r="DJ134" s="242"/>
      <c r="DK134" s="224"/>
      <c r="DL134" s="224"/>
      <c r="DM134" s="224"/>
      <c r="DN134" s="243"/>
      <c r="DO134" s="181"/>
      <c r="DP134" s="242"/>
      <c r="DQ134" s="224"/>
      <c r="DR134" s="224"/>
      <c r="DS134" s="224"/>
      <c r="DT134" s="243"/>
      <c r="DU134" s="168"/>
      <c r="DV134" s="242"/>
      <c r="DW134" s="224"/>
      <c r="DX134" s="224"/>
      <c r="DY134" s="224"/>
      <c r="DZ134" s="243"/>
      <c r="EA134" s="168"/>
      <c r="EB134" s="168"/>
      <c r="EC134" s="181"/>
      <c r="ED134" s="238"/>
      <c r="EE134" s="238"/>
      <c r="EF134" s="238"/>
      <c r="EG134" s="239"/>
      <c r="EH134" s="168"/>
      <c r="EI134" s="242"/>
      <c r="EJ134" s="224"/>
      <c r="EK134" s="224"/>
      <c r="EL134" s="224"/>
      <c r="EM134" s="243"/>
      <c r="EN134" s="168"/>
      <c r="EO134" s="181"/>
      <c r="EP134" s="238"/>
      <c r="EQ134" s="238"/>
      <c r="ER134" s="238"/>
      <c r="ES134" s="239"/>
      <c r="ET134" s="239"/>
      <c r="EU134" s="242"/>
      <c r="EV134" s="224"/>
      <c r="EW134" s="224"/>
      <c r="EX134" s="224"/>
      <c r="EY134" s="224"/>
      <c r="EZ134" s="224"/>
      <c r="FA134" s="243"/>
      <c r="FB134" s="168"/>
      <c r="FC134" s="168"/>
      <c r="FD134" s="242"/>
      <c r="FE134" s="224"/>
      <c r="FF134" s="243"/>
      <c r="FG134" s="168"/>
      <c r="FH134" s="242"/>
      <c r="FI134" s="224"/>
      <c r="FJ134" s="224"/>
      <c r="FK134" s="224"/>
      <c r="FL134" s="243"/>
      <c r="FM134" s="168"/>
      <c r="FN134" s="181"/>
      <c r="FO134" s="238"/>
      <c r="FP134" s="238"/>
      <c r="FQ134" s="238"/>
      <c r="FR134" s="168"/>
      <c r="FS134" s="181"/>
      <c r="FT134" s="238"/>
      <c r="FU134" s="238"/>
      <c r="FV134" s="238"/>
      <c r="FW134" s="239"/>
      <c r="FX134" s="168"/>
      <c r="FY134" s="181"/>
      <c r="FZ134" s="238"/>
      <c r="GA134" s="238"/>
      <c r="GB134" s="238"/>
      <c r="GC134" s="239"/>
      <c r="GD134" s="168"/>
      <c r="GE134" s="168"/>
      <c r="GF134" s="181"/>
      <c r="GG134" s="238"/>
      <c r="GH134" s="238"/>
      <c r="GI134" s="238"/>
      <c r="GJ134" s="238"/>
      <c r="GK134" s="168"/>
      <c r="GL134" s="181"/>
      <c r="GM134" s="238"/>
      <c r="GN134" s="238"/>
      <c r="GO134" s="239"/>
      <c r="GP134" s="168"/>
      <c r="GQ134" s="181"/>
      <c r="GR134" s="238"/>
      <c r="GS134" s="238"/>
      <c r="GT134" s="238"/>
      <c r="GU134" s="239"/>
      <c r="GV134" s="168"/>
      <c r="GW134" s="181"/>
      <c r="GX134" s="238"/>
      <c r="GY134" s="238"/>
      <c r="GZ134" s="238"/>
      <c r="HA134" s="238"/>
      <c r="HB134" s="239"/>
      <c r="HC134" s="168"/>
      <c r="HD134" s="168"/>
      <c r="HE134" s="181"/>
      <c r="HF134" s="238"/>
      <c r="HG134" s="238"/>
      <c r="HH134" s="238"/>
      <c r="HI134" s="168"/>
      <c r="HJ134" s="242"/>
      <c r="HK134" s="224"/>
      <c r="HL134" s="224"/>
      <c r="HM134" s="224"/>
      <c r="HN134" s="243"/>
      <c r="HO134" s="168"/>
      <c r="HP134" s="181"/>
      <c r="HQ134" s="238"/>
      <c r="HR134" s="238"/>
      <c r="HS134" s="238"/>
      <c r="HT134" s="239"/>
      <c r="HU134" s="168"/>
      <c r="HV134" s="181"/>
      <c r="HW134" s="238"/>
      <c r="HX134" s="238"/>
      <c r="HY134" s="168"/>
      <c r="HZ134" s="242"/>
      <c r="IA134" s="224"/>
      <c r="IB134" s="224"/>
      <c r="IC134" s="168"/>
      <c r="ID134" s="168"/>
      <c r="IE134" s="181"/>
      <c r="IF134" s="239"/>
      <c r="IG134" s="168"/>
      <c r="IH134" s="181"/>
      <c r="II134" s="238"/>
      <c r="IJ134" s="238"/>
      <c r="IK134" s="238"/>
      <c r="IL134" s="239"/>
      <c r="IM134" s="168"/>
      <c r="IN134" s="181"/>
      <c r="IO134" s="238"/>
      <c r="IP134" s="239"/>
      <c r="IQ134" s="168"/>
      <c r="IR134" s="181"/>
      <c r="IS134" s="238"/>
      <c r="IT134" s="238"/>
      <c r="IU134" s="238"/>
      <c r="IV134" s="239"/>
      <c r="IW134" s="168"/>
      <c r="IX134" s="181"/>
      <c r="IY134" s="238"/>
      <c r="IZ134" s="238"/>
      <c r="JA134" s="238"/>
      <c r="JB134" s="239"/>
      <c r="JC134" s="168"/>
      <c r="JD134" s="168"/>
      <c r="JE134" s="181"/>
      <c r="JF134" s="238"/>
      <c r="JG134" s="238"/>
      <c r="JH134" s="238"/>
      <c r="JI134" s="239"/>
      <c r="JJ134" s="168"/>
      <c r="JK134" s="181"/>
      <c r="JL134" s="238"/>
      <c r="JM134" s="238"/>
      <c r="JN134" s="238"/>
      <c r="JO134" s="239"/>
      <c r="JP134" s="168"/>
      <c r="JQ134" s="181"/>
      <c r="JR134" s="238"/>
      <c r="JS134" s="238"/>
      <c r="JT134" s="238"/>
      <c r="JU134" s="239"/>
      <c r="JV134" s="168"/>
      <c r="JW134" s="181"/>
      <c r="JX134" s="238"/>
      <c r="JY134" s="238"/>
      <c r="JZ134" s="238"/>
      <c r="KA134" s="238"/>
      <c r="KB134" s="239"/>
      <c r="KC134" s="168"/>
      <c r="KD134" s="168"/>
      <c r="KE134" s="242"/>
      <c r="KF134" s="224"/>
      <c r="KG134" s="224"/>
      <c r="KH134" s="224"/>
      <c r="KI134" s="243"/>
      <c r="KJ134" s="168"/>
      <c r="KK134" s="181"/>
      <c r="KL134" s="238"/>
      <c r="KM134" s="238"/>
      <c r="KN134" s="238"/>
      <c r="KO134" s="239"/>
      <c r="KP134" s="168"/>
      <c r="KQ134" s="242"/>
      <c r="KR134" s="224"/>
      <c r="KS134" s="224"/>
      <c r="KT134" s="224"/>
      <c r="KU134" s="243"/>
      <c r="KV134" s="168"/>
      <c r="KW134" s="181"/>
      <c r="KX134" s="238"/>
      <c r="KY134" s="238"/>
      <c r="KZ134" s="238"/>
      <c r="LA134" s="239"/>
      <c r="LB134" s="168"/>
      <c r="LC134" s="181"/>
      <c r="LD134" s="238"/>
      <c r="LE134" s="239"/>
      <c r="LF134" s="168"/>
      <c r="LG134" s="168"/>
    </row>
    <row r="135" spans="2:325" s="91" customFormat="1" ht="15.75" thickBot="1">
      <c r="B135" s="173" t="s">
        <v>96</v>
      </c>
      <c r="C135" s="173">
        <f>C132-C126</f>
        <v>0</v>
      </c>
      <c r="D135" s="173">
        <f t="shared" ref="D135:AA135" si="371">D132-D126</f>
        <v>0</v>
      </c>
      <c r="E135" s="173">
        <f t="shared" si="371"/>
        <v>0</v>
      </c>
      <c r="F135" s="173">
        <f t="shared" si="371"/>
        <v>0</v>
      </c>
      <c r="G135" s="173">
        <f t="shared" si="371"/>
        <v>0</v>
      </c>
      <c r="H135" s="173">
        <f t="shared" si="371"/>
        <v>0</v>
      </c>
      <c r="I135" s="173">
        <f t="shared" si="371"/>
        <v>0</v>
      </c>
      <c r="J135" s="173">
        <f t="shared" si="371"/>
        <v>0</v>
      </c>
      <c r="K135" s="173">
        <f t="shared" si="371"/>
        <v>0</v>
      </c>
      <c r="L135" s="241">
        <f>L132-L126</f>
        <v>0</v>
      </c>
      <c r="M135" s="241">
        <f t="shared" si="371"/>
        <v>-6.34</v>
      </c>
      <c r="N135" s="173">
        <f t="shared" si="371"/>
        <v>0</v>
      </c>
      <c r="O135" s="173">
        <f t="shared" si="371"/>
        <v>-6.34</v>
      </c>
      <c r="P135" s="173">
        <f t="shared" si="371"/>
        <v>0</v>
      </c>
      <c r="Q135" s="173">
        <f t="shared" si="371"/>
        <v>0</v>
      </c>
      <c r="R135" s="173">
        <f t="shared" si="371"/>
        <v>0</v>
      </c>
      <c r="S135" s="173">
        <f t="shared" si="371"/>
        <v>0</v>
      </c>
      <c r="T135" s="173">
        <f t="shared" si="371"/>
        <v>0</v>
      </c>
      <c r="U135" s="173">
        <f t="shared" si="371"/>
        <v>0</v>
      </c>
      <c r="V135" s="173">
        <f t="shared" si="371"/>
        <v>228980</v>
      </c>
      <c r="W135" s="173">
        <f t="shared" si="371"/>
        <v>-233554.31</v>
      </c>
      <c r="X135" s="173">
        <f t="shared" si="371"/>
        <v>0</v>
      </c>
      <c r="Y135" s="173">
        <f t="shared" si="371"/>
        <v>0</v>
      </c>
      <c r="Z135" s="173">
        <f t="shared" si="371"/>
        <v>0</v>
      </c>
      <c r="AA135" s="173">
        <f t="shared" si="371"/>
        <v>-4574.3099999999977</v>
      </c>
      <c r="AB135" s="235">
        <f t="shared" ref="AB135:LG135" si="372">AB132-AB126</f>
        <v>-4580.6499999999942</v>
      </c>
      <c r="AC135" s="173">
        <f t="shared" si="372"/>
        <v>0</v>
      </c>
      <c r="AD135" s="241">
        <f t="shared" si="372"/>
        <v>0</v>
      </c>
      <c r="AE135" s="241">
        <f t="shared" si="372"/>
        <v>0</v>
      </c>
      <c r="AF135" s="241">
        <f t="shared" si="372"/>
        <v>0</v>
      </c>
      <c r="AG135" s="497">
        <f t="shared" si="372"/>
        <v>0</v>
      </c>
      <c r="AH135" s="199">
        <f t="shared" ref="AH135:AM135" si="373">AH132-AH126</f>
        <v>0</v>
      </c>
      <c r="AI135" s="173">
        <f t="shared" si="373"/>
        <v>0</v>
      </c>
      <c r="AJ135" s="241">
        <f t="shared" si="373"/>
        <v>0</v>
      </c>
      <c r="AK135" s="241">
        <f t="shared" si="373"/>
        <v>0</v>
      </c>
      <c r="AL135" s="241">
        <f t="shared" si="373"/>
        <v>0</v>
      </c>
      <c r="AM135" s="497">
        <f t="shared" si="373"/>
        <v>0</v>
      </c>
      <c r="AN135" s="199">
        <f t="shared" ref="AN135:AZ135" si="374">AN132-AN126</f>
        <v>0</v>
      </c>
      <c r="AO135" s="173">
        <f t="shared" si="374"/>
        <v>0</v>
      </c>
      <c r="AP135" s="241">
        <f t="shared" si="374"/>
        <v>0</v>
      </c>
      <c r="AQ135" s="241">
        <f t="shared" si="374"/>
        <v>0</v>
      </c>
      <c r="AR135" s="241">
        <f t="shared" si="374"/>
        <v>0</v>
      </c>
      <c r="AS135" s="497">
        <f t="shared" si="374"/>
        <v>0</v>
      </c>
      <c r="AT135" s="199">
        <f t="shared" si="374"/>
        <v>0</v>
      </c>
      <c r="AU135" s="173">
        <f t="shared" si="374"/>
        <v>0</v>
      </c>
      <c r="AV135" s="241">
        <f t="shared" si="374"/>
        <v>0</v>
      </c>
      <c r="AW135" s="241">
        <f t="shared" si="374"/>
        <v>0</v>
      </c>
      <c r="AX135" s="241">
        <f t="shared" si="374"/>
        <v>0</v>
      </c>
      <c r="AY135" s="497">
        <f t="shared" si="374"/>
        <v>0</v>
      </c>
      <c r="AZ135" s="199">
        <f t="shared" si="374"/>
        <v>0</v>
      </c>
      <c r="BA135" s="235">
        <f t="shared" si="372"/>
        <v>0</v>
      </c>
      <c r="BB135" s="173">
        <f t="shared" si="372"/>
        <v>0</v>
      </c>
      <c r="BC135" s="241">
        <f t="shared" si="372"/>
        <v>0</v>
      </c>
      <c r="BD135" s="241">
        <f t="shared" si="372"/>
        <v>0</v>
      </c>
      <c r="BE135" s="241">
        <f t="shared" si="372"/>
        <v>111650</v>
      </c>
      <c r="BF135" s="497">
        <f t="shared" si="372"/>
        <v>-29345</v>
      </c>
      <c r="BG135" s="199">
        <f t="shared" si="372"/>
        <v>82305</v>
      </c>
      <c r="BH135" s="173">
        <f t="shared" si="372"/>
        <v>0</v>
      </c>
      <c r="BI135" s="241">
        <f t="shared" si="372"/>
        <v>0</v>
      </c>
      <c r="BJ135" s="241">
        <f t="shared" si="372"/>
        <v>0</v>
      </c>
      <c r="BK135" s="241">
        <f t="shared" si="372"/>
        <v>215100</v>
      </c>
      <c r="BL135" s="497">
        <f t="shared" si="372"/>
        <v>0</v>
      </c>
      <c r="BM135" s="199">
        <f t="shared" si="372"/>
        <v>215100</v>
      </c>
      <c r="BN135" s="173">
        <f t="shared" si="372"/>
        <v>0</v>
      </c>
      <c r="BO135" s="241">
        <f t="shared" si="372"/>
        <v>0</v>
      </c>
      <c r="BP135" s="241">
        <f t="shared" si="372"/>
        <v>0</v>
      </c>
      <c r="BQ135" s="497">
        <f t="shared" si="372"/>
        <v>0</v>
      </c>
      <c r="BR135" s="199">
        <f t="shared" si="372"/>
        <v>0</v>
      </c>
      <c r="BS135" s="173">
        <f t="shared" si="372"/>
        <v>0</v>
      </c>
      <c r="BT135" s="241">
        <f t="shared" si="372"/>
        <v>0</v>
      </c>
      <c r="BU135" s="241">
        <f t="shared" si="372"/>
        <v>0</v>
      </c>
      <c r="BV135" s="241">
        <f t="shared" si="372"/>
        <v>69688.740000000005</v>
      </c>
      <c r="BW135" s="497">
        <f t="shared" si="372"/>
        <v>0</v>
      </c>
      <c r="BX135" s="199">
        <f t="shared" si="372"/>
        <v>69688.740000000005</v>
      </c>
      <c r="BY135" s="173">
        <f>BY132-BY126</f>
        <v>0</v>
      </c>
      <c r="BZ135" s="241">
        <f>BZ132-BZ126</f>
        <v>0</v>
      </c>
      <c r="CA135" s="199">
        <f t="shared" si="372"/>
        <v>0</v>
      </c>
      <c r="CB135" s="235">
        <f t="shared" si="372"/>
        <v>367093.74</v>
      </c>
      <c r="CC135" s="173">
        <f t="shared" si="372"/>
        <v>0</v>
      </c>
      <c r="CD135" s="241">
        <f t="shared" si="372"/>
        <v>-6.18</v>
      </c>
      <c r="CE135" s="241">
        <f t="shared" si="372"/>
        <v>0</v>
      </c>
      <c r="CF135" s="199">
        <f t="shared" si="372"/>
        <v>-6.18</v>
      </c>
      <c r="CG135" s="173">
        <f t="shared" si="372"/>
        <v>0</v>
      </c>
      <c r="CH135" s="241">
        <f t="shared" si="372"/>
        <v>0</v>
      </c>
      <c r="CI135" s="241">
        <f t="shared" si="372"/>
        <v>-201330.72</v>
      </c>
      <c r="CJ135" s="497">
        <f t="shared" si="372"/>
        <v>0</v>
      </c>
      <c r="CK135" s="199">
        <f t="shared" si="372"/>
        <v>-201330.72</v>
      </c>
      <c r="CL135" s="173">
        <f t="shared" si="372"/>
        <v>0</v>
      </c>
      <c r="CM135" s="241">
        <f t="shared" si="372"/>
        <v>0</v>
      </c>
      <c r="CN135" s="241">
        <f t="shared" si="372"/>
        <v>99951</v>
      </c>
      <c r="CO135" s="241">
        <f t="shared" si="372"/>
        <v>0</v>
      </c>
      <c r="CP135" s="497">
        <f t="shared" si="372"/>
        <v>0</v>
      </c>
      <c r="CQ135" s="199">
        <f t="shared" si="372"/>
        <v>99951</v>
      </c>
      <c r="CR135" s="173">
        <f t="shared" si="372"/>
        <v>0</v>
      </c>
      <c r="CS135" s="241">
        <f t="shared" si="372"/>
        <v>0</v>
      </c>
      <c r="CT135" s="241">
        <f t="shared" si="372"/>
        <v>-120000</v>
      </c>
      <c r="CU135" s="241">
        <f t="shared" si="372"/>
        <v>0</v>
      </c>
      <c r="CV135" s="497">
        <f t="shared" si="372"/>
        <v>0</v>
      </c>
      <c r="CW135" s="199">
        <f t="shared" si="372"/>
        <v>-120000</v>
      </c>
      <c r="CX135" s="173">
        <f t="shared" si="372"/>
        <v>0</v>
      </c>
      <c r="CY135" s="241">
        <f t="shared" si="372"/>
        <v>0</v>
      </c>
      <c r="CZ135" s="241">
        <f t="shared" si="372"/>
        <v>0</v>
      </c>
      <c r="DA135" s="497">
        <f t="shared" si="372"/>
        <v>0</v>
      </c>
      <c r="DB135" s="199">
        <f t="shared" si="372"/>
        <v>0</v>
      </c>
      <c r="DC135" s="235">
        <f t="shared" si="372"/>
        <v>-221385.89999999997</v>
      </c>
      <c r="DD135" s="173">
        <f t="shared" si="372"/>
        <v>0</v>
      </c>
      <c r="DE135" s="241">
        <f t="shared" si="372"/>
        <v>0</v>
      </c>
      <c r="DF135" s="241">
        <f t="shared" si="372"/>
        <v>-140000</v>
      </c>
      <c r="DG135" s="241">
        <f t="shared" si="372"/>
        <v>0</v>
      </c>
      <c r="DH135" s="241">
        <f t="shared" si="372"/>
        <v>0</v>
      </c>
      <c r="DI135" s="199">
        <f t="shared" si="372"/>
        <v>-140000</v>
      </c>
      <c r="DJ135" s="173">
        <f t="shared" si="372"/>
        <v>0</v>
      </c>
      <c r="DK135" s="241">
        <f t="shared" si="372"/>
        <v>72668.399999999994</v>
      </c>
      <c r="DL135" s="241">
        <f t="shared" si="372"/>
        <v>0</v>
      </c>
      <c r="DM135" s="241">
        <f t="shared" si="372"/>
        <v>0</v>
      </c>
      <c r="DN135" s="497">
        <f t="shared" si="372"/>
        <v>0</v>
      </c>
      <c r="DO135" s="173">
        <f t="shared" si="372"/>
        <v>72668.399999999994</v>
      </c>
      <c r="DP135" s="173">
        <f t="shared" si="372"/>
        <v>0</v>
      </c>
      <c r="DQ135" s="241">
        <f t="shared" si="372"/>
        <v>0</v>
      </c>
      <c r="DR135" s="241">
        <f t="shared" si="372"/>
        <v>-120000</v>
      </c>
      <c r="DS135" s="241">
        <f t="shared" si="372"/>
        <v>41185</v>
      </c>
      <c r="DT135" s="497">
        <f t="shared" si="372"/>
        <v>0</v>
      </c>
      <c r="DU135" s="199">
        <f t="shared" si="372"/>
        <v>-78815</v>
      </c>
      <c r="DV135" s="173">
        <f t="shared" si="372"/>
        <v>0</v>
      </c>
      <c r="DW135" s="241">
        <f t="shared" si="372"/>
        <v>0</v>
      </c>
      <c r="DX135" s="241">
        <f t="shared" si="372"/>
        <v>0</v>
      </c>
      <c r="DY135" s="241">
        <f t="shared" si="372"/>
        <v>0</v>
      </c>
      <c r="DZ135" s="497">
        <f t="shared" si="372"/>
        <v>0</v>
      </c>
      <c r="EA135" s="199">
        <f t="shared" si="372"/>
        <v>0</v>
      </c>
      <c r="EB135" s="235">
        <f t="shared" si="372"/>
        <v>-146146.6</v>
      </c>
      <c r="EC135" s="173">
        <f t="shared" si="372"/>
        <v>0</v>
      </c>
      <c r="ED135" s="241">
        <f t="shared" si="372"/>
        <v>0</v>
      </c>
      <c r="EE135" s="241">
        <f t="shared" si="372"/>
        <v>0</v>
      </c>
      <c r="EF135" s="241">
        <f t="shared" si="372"/>
        <v>0</v>
      </c>
      <c r="EG135" s="497">
        <f t="shared" si="372"/>
        <v>0</v>
      </c>
      <c r="EH135" s="199">
        <f t="shared" si="372"/>
        <v>0</v>
      </c>
      <c r="EI135" s="173">
        <f t="shared" si="372"/>
        <v>0</v>
      </c>
      <c r="EJ135" s="241">
        <f t="shared" si="372"/>
        <v>0</v>
      </c>
      <c r="EK135" s="241">
        <f t="shared" si="372"/>
        <v>0</v>
      </c>
      <c r="EL135" s="241">
        <f t="shared" si="372"/>
        <v>0</v>
      </c>
      <c r="EM135" s="497">
        <f t="shared" si="372"/>
        <v>0</v>
      </c>
      <c r="EN135" s="199">
        <f t="shared" si="372"/>
        <v>0</v>
      </c>
      <c r="EO135" s="173">
        <f t="shared" si="372"/>
        <v>0</v>
      </c>
      <c r="EP135" s="241">
        <f t="shared" si="372"/>
        <v>0</v>
      </c>
      <c r="EQ135" s="241">
        <f t="shared" si="372"/>
        <v>0</v>
      </c>
      <c r="ER135" s="241">
        <f t="shared" si="372"/>
        <v>0</v>
      </c>
      <c r="ES135" s="497">
        <f t="shared" si="372"/>
        <v>0</v>
      </c>
      <c r="ET135" s="497">
        <f t="shared" si="372"/>
        <v>0</v>
      </c>
      <c r="EU135" s="173">
        <f t="shared" si="372"/>
        <v>0</v>
      </c>
      <c r="EV135" s="241">
        <f t="shared" si="372"/>
        <v>0</v>
      </c>
      <c r="EW135" s="241">
        <f t="shared" si="372"/>
        <v>0</v>
      </c>
      <c r="EX135" s="241">
        <f t="shared" si="372"/>
        <v>0</v>
      </c>
      <c r="EY135" s="241">
        <f t="shared" si="372"/>
        <v>0</v>
      </c>
      <c r="EZ135" s="241">
        <f t="shared" si="372"/>
        <v>0</v>
      </c>
      <c r="FA135" s="497">
        <f t="shared" si="372"/>
        <v>0</v>
      </c>
      <c r="FB135" s="199">
        <f t="shared" si="372"/>
        <v>0</v>
      </c>
      <c r="FC135" s="235">
        <f t="shared" si="372"/>
        <v>0</v>
      </c>
      <c r="FD135" s="173">
        <f t="shared" si="372"/>
        <v>0</v>
      </c>
      <c r="FE135" s="241">
        <f t="shared" si="372"/>
        <v>0</v>
      </c>
      <c r="FF135" s="497">
        <f t="shared" si="372"/>
        <v>-6.2</v>
      </c>
      <c r="FG135" s="199">
        <f t="shared" si="372"/>
        <v>-6.2</v>
      </c>
      <c r="FH135" s="173">
        <f t="shared" si="372"/>
        <v>0</v>
      </c>
      <c r="FI135" s="241">
        <f t="shared" si="372"/>
        <v>0</v>
      </c>
      <c r="FJ135" s="241">
        <f t="shared" si="372"/>
        <v>0</v>
      </c>
      <c r="FK135" s="241">
        <f t="shared" si="372"/>
        <v>0</v>
      </c>
      <c r="FL135" s="497">
        <f t="shared" si="372"/>
        <v>0</v>
      </c>
      <c r="FM135" s="199">
        <f t="shared" si="372"/>
        <v>0</v>
      </c>
      <c r="FN135" s="173">
        <f t="shared" si="372"/>
        <v>0</v>
      </c>
      <c r="FO135" s="241">
        <f t="shared" si="372"/>
        <v>0</v>
      </c>
      <c r="FP135" s="241">
        <f t="shared" si="372"/>
        <v>0</v>
      </c>
      <c r="FQ135" s="241">
        <f t="shared" si="372"/>
        <v>0</v>
      </c>
      <c r="FR135" s="199">
        <f t="shared" si="372"/>
        <v>0</v>
      </c>
      <c r="FS135" s="173">
        <f t="shared" si="372"/>
        <v>0</v>
      </c>
      <c r="FT135" s="241">
        <f t="shared" si="372"/>
        <v>0</v>
      </c>
      <c r="FU135" s="241">
        <f t="shared" si="372"/>
        <v>0</v>
      </c>
      <c r="FV135" s="241">
        <f t="shared" si="372"/>
        <v>0</v>
      </c>
      <c r="FW135" s="497">
        <f t="shared" si="372"/>
        <v>0</v>
      </c>
      <c r="FX135" s="199">
        <f t="shared" si="372"/>
        <v>0</v>
      </c>
      <c r="FY135" s="173">
        <f t="shared" ref="FY135:GD135" si="375">FY132-FY126</f>
        <v>0</v>
      </c>
      <c r="FZ135" s="241">
        <f t="shared" si="375"/>
        <v>0</v>
      </c>
      <c r="GA135" s="241">
        <f t="shared" si="375"/>
        <v>0</v>
      </c>
      <c r="GB135" s="241">
        <f t="shared" si="375"/>
        <v>60718</v>
      </c>
      <c r="GC135" s="497">
        <f t="shared" si="375"/>
        <v>0</v>
      </c>
      <c r="GD135" s="199">
        <f t="shared" si="375"/>
        <v>60718</v>
      </c>
      <c r="GE135" s="235">
        <f t="shared" si="372"/>
        <v>60711.8</v>
      </c>
      <c r="GF135" s="173">
        <f t="shared" si="372"/>
        <v>-62000</v>
      </c>
      <c r="GG135" s="241">
        <f t="shared" si="372"/>
        <v>0</v>
      </c>
      <c r="GH135" s="241">
        <f t="shared" si="372"/>
        <v>0</v>
      </c>
      <c r="GI135" s="241">
        <f t="shared" si="372"/>
        <v>0</v>
      </c>
      <c r="GJ135" s="241">
        <f t="shared" si="372"/>
        <v>0</v>
      </c>
      <c r="GK135" s="199">
        <f t="shared" si="372"/>
        <v>-62000</v>
      </c>
      <c r="GL135" s="173">
        <f t="shared" si="372"/>
        <v>0</v>
      </c>
      <c r="GM135" s="241">
        <f t="shared" si="372"/>
        <v>0</v>
      </c>
      <c r="GN135" s="241">
        <f t="shared" si="372"/>
        <v>0</v>
      </c>
      <c r="GO135" s="497">
        <f t="shared" si="372"/>
        <v>0</v>
      </c>
      <c r="GP135" s="199">
        <f t="shared" si="372"/>
        <v>0</v>
      </c>
      <c r="GQ135" s="173">
        <f t="shared" si="372"/>
        <v>0</v>
      </c>
      <c r="GR135" s="241">
        <f t="shared" si="372"/>
        <v>0</v>
      </c>
      <c r="GS135" s="241">
        <f t="shared" si="372"/>
        <v>0</v>
      </c>
      <c r="GT135" s="241">
        <f t="shared" si="372"/>
        <v>0</v>
      </c>
      <c r="GU135" s="497">
        <f t="shared" si="372"/>
        <v>0</v>
      </c>
      <c r="GV135" s="199">
        <f t="shared" si="372"/>
        <v>0</v>
      </c>
      <c r="GW135" s="173">
        <f t="shared" si="372"/>
        <v>0</v>
      </c>
      <c r="GX135" s="241">
        <f t="shared" si="372"/>
        <v>0</v>
      </c>
      <c r="GY135" s="241">
        <f t="shared" si="372"/>
        <v>0</v>
      </c>
      <c r="GZ135" s="241">
        <f>GZ132-GZ126</f>
        <v>0</v>
      </c>
      <c r="HA135" s="241">
        <f>HA132-HA126</f>
        <v>0</v>
      </c>
      <c r="HB135" s="497">
        <f t="shared" si="372"/>
        <v>33634.5</v>
      </c>
      <c r="HC135" s="199">
        <f t="shared" si="372"/>
        <v>33634.5</v>
      </c>
      <c r="HD135" s="235">
        <f t="shared" si="372"/>
        <v>-28365.5</v>
      </c>
      <c r="HE135" s="173">
        <f t="shared" si="372"/>
        <v>0</v>
      </c>
      <c r="HF135" s="241">
        <f t="shared" si="372"/>
        <v>0</v>
      </c>
      <c r="HG135" s="241">
        <f t="shared" si="372"/>
        <v>0</v>
      </c>
      <c r="HH135" s="241">
        <f t="shared" si="372"/>
        <v>0</v>
      </c>
      <c r="HI135" s="199">
        <f t="shared" si="372"/>
        <v>0</v>
      </c>
      <c r="HJ135" s="173">
        <f t="shared" si="372"/>
        <v>0</v>
      </c>
      <c r="HK135" s="241">
        <f t="shared" si="372"/>
        <v>0</v>
      </c>
      <c r="HL135" s="241">
        <f t="shared" si="372"/>
        <v>0</v>
      </c>
      <c r="HM135" s="241">
        <f t="shared" si="372"/>
        <v>-34030</v>
      </c>
      <c r="HN135" s="497">
        <f t="shared" si="372"/>
        <v>0</v>
      </c>
      <c r="HO135" s="199">
        <f t="shared" si="372"/>
        <v>-34030</v>
      </c>
      <c r="HP135" s="173">
        <f t="shared" si="372"/>
        <v>0</v>
      </c>
      <c r="HQ135" s="241">
        <f t="shared" si="372"/>
        <v>0</v>
      </c>
      <c r="HR135" s="241">
        <f t="shared" si="372"/>
        <v>0</v>
      </c>
      <c r="HS135" s="241">
        <f t="shared" si="372"/>
        <v>31922.16</v>
      </c>
      <c r="HT135" s="497">
        <f t="shared" si="372"/>
        <v>0</v>
      </c>
      <c r="HU135" s="199">
        <f t="shared" si="372"/>
        <v>31922.16</v>
      </c>
      <c r="HV135" s="173">
        <f t="shared" si="372"/>
        <v>0</v>
      </c>
      <c r="HW135" s="241">
        <f t="shared" si="372"/>
        <v>0</v>
      </c>
      <c r="HX135" s="241">
        <f t="shared" si="372"/>
        <v>0</v>
      </c>
      <c r="HY135" s="199">
        <f t="shared" si="372"/>
        <v>0</v>
      </c>
      <c r="HZ135" s="173">
        <f t="shared" si="372"/>
        <v>0</v>
      </c>
      <c r="IA135" s="241">
        <f>IA132-IA126</f>
        <v>0</v>
      </c>
      <c r="IB135" s="241">
        <f>IB132-IB126</f>
        <v>0</v>
      </c>
      <c r="IC135" s="199">
        <f t="shared" si="372"/>
        <v>0</v>
      </c>
      <c r="ID135" s="235">
        <f t="shared" si="372"/>
        <v>-2107.84</v>
      </c>
      <c r="IE135" s="173">
        <f t="shared" si="372"/>
        <v>0</v>
      </c>
      <c r="IF135" s="497">
        <f t="shared" si="372"/>
        <v>-6.12</v>
      </c>
      <c r="IG135" s="199">
        <f t="shared" si="372"/>
        <v>-6.12</v>
      </c>
      <c r="IH135" s="173">
        <f t="shared" si="372"/>
        <v>0</v>
      </c>
      <c r="II135" s="241">
        <f t="shared" si="372"/>
        <v>0</v>
      </c>
      <c r="IJ135" s="241">
        <f t="shared" si="372"/>
        <v>0</v>
      </c>
      <c r="IK135" s="241">
        <f t="shared" si="372"/>
        <v>0</v>
      </c>
      <c r="IL135" s="497">
        <f t="shared" si="372"/>
        <v>0</v>
      </c>
      <c r="IM135" s="199">
        <f t="shared" si="372"/>
        <v>0</v>
      </c>
      <c r="IN135" s="173">
        <f t="shared" si="372"/>
        <v>0</v>
      </c>
      <c r="IO135" s="241">
        <f t="shared" si="372"/>
        <v>0</v>
      </c>
      <c r="IP135" s="497">
        <f t="shared" si="372"/>
        <v>0</v>
      </c>
      <c r="IQ135" s="199">
        <f t="shared" si="372"/>
        <v>0</v>
      </c>
      <c r="IR135" s="173">
        <f t="shared" si="372"/>
        <v>0</v>
      </c>
      <c r="IS135" s="241">
        <f t="shared" si="372"/>
        <v>0</v>
      </c>
      <c r="IT135" s="241">
        <f t="shared" si="372"/>
        <v>0</v>
      </c>
      <c r="IU135" s="241">
        <f t="shared" si="372"/>
        <v>0</v>
      </c>
      <c r="IV135" s="497">
        <f t="shared" si="372"/>
        <v>0</v>
      </c>
      <c r="IW135" s="199">
        <f t="shared" si="372"/>
        <v>0</v>
      </c>
      <c r="IX135" s="173">
        <f t="shared" si="372"/>
        <v>0</v>
      </c>
      <c r="IY135" s="241">
        <f t="shared" si="372"/>
        <v>0</v>
      </c>
      <c r="IZ135" s="241">
        <f t="shared" si="372"/>
        <v>0</v>
      </c>
      <c r="JA135" s="241">
        <f t="shared" si="372"/>
        <v>181669.22</v>
      </c>
      <c r="JB135" s="497">
        <f t="shared" si="372"/>
        <v>0</v>
      </c>
      <c r="JC135" s="199">
        <f t="shared" si="372"/>
        <v>181669.22</v>
      </c>
      <c r="JD135" s="235">
        <f t="shared" si="372"/>
        <v>181663.1</v>
      </c>
      <c r="JE135" s="173">
        <f t="shared" si="372"/>
        <v>0</v>
      </c>
      <c r="JF135" s="241">
        <f t="shared" si="372"/>
        <v>0</v>
      </c>
      <c r="JG135" s="241">
        <f t="shared" si="372"/>
        <v>0</v>
      </c>
      <c r="JH135" s="241">
        <f t="shared" si="372"/>
        <v>0</v>
      </c>
      <c r="JI135" s="497">
        <f t="shared" si="372"/>
        <v>-185297.15</v>
      </c>
      <c r="JJ135" s="199">
        <f t="shared" si="372"/>
        <v>-185297.15</v>
      </c>
      <c r="JK135" s="434">
        <f t="shared" si="372"/>
        <v>0</v>
      </c>
      <c r="JL135" s="435">
        <f t="shared" si="372"/>
        <v>0</v>
      </c>
      <c r="JM135" s="435">
        <f t="shared" si="372"/>
        <v>0</v>
      </c>
      <c r="JN135" s="435">
        <f t="shared" si="372"/>
        <v>0</v>
      </c>
      <c r="JO135" s="436">
        <f t="shared" si="372"/>
        <v>0</v>
      </c>
      <c r="JP135" s="149">
        <f t="shared" si="372"/>
        <v>0</v>
      </c>
      <c r="JQ135" s="434">
        <f t="shared" si="372"/>
        <v>0</v>
      </c>
      <c r="JR135" s="435">
        <f t="shared" si="372"/>
        <v>0</v>
      </c>
      <c r="JS135" s="435">
        <f t="shared" si="372"/>
        <v>0</v>
      </c>
      <c r="JT135" s="435">
        <f t="shared" si="372"/>
        <v>0</v>
      </c>
      <c r="JU135" s="436">
        <f t="shared" si="372"/>
        <v>0</v>
      </c>
      <c r="JV135" s="149">
        <f t="shared" si="372"/>
        <v>0</v>
      </c>
      <c r="JW135" s="434">
        <f t="shared" si="372"/>
        <v>0</v>
      </c>
      <c r="JX135" s="435">
        <f t="shared" si="372"/>
        <v>0</v>
      </c>
      <c r="JY135" s="435">
        <f t="shared" si="372"/>
        <v>0</v>
      </c>
      <c r="JZ135" s="435">
        <f t="shared" si="372"/>
        <v>0</v>
      </c>
      <c r="KA135" s="435"/>
      <c r="KB135" s="436">
        <f t="shared" si="372"/>
        <v>0</v>
      </c>
      <c r="KC135" s="149">
        <f t="shared" si="372"/>
        <v>0</v>
      </c>
      <c r="KD135" s="149">
        <f t="shared" si="372"/>
        <v>-8895.7200000000012</v>
      </c>
      <c r="KE135" s="434">
        <f t="shared" si="372"/>
        <v>0</v>
      </c>
      <c r="KF135" s="435">
        <f t="shared" si="372"/>
        <v>0</v>
      </c>
      <c r="KG135" s="435">
        <f t="shared" si="372"/>
        <v>0</v>
      </c>
      <c r="KH135" s="435">
        <f t="shared" si="372"/>
        <v>0</v>
      </c>
      <c r="KI135" s="436">
        <f t="shared" si="372"/>
        <v>0</v>
      </c>
      <c r="KJ135" s="149">
        <f t="shared" si="372"/>
        <v>0</v>
      </c>
      <c r="KK135" s="434">
        <f t="shared" si="372"/>
        <v>0</v>
      </c>
      <c r="KL135" s="435">
        <f t="shared" ref="KL135:LF135" si="376">KL132-KL126</f>
        <v>0</v>
      </c>
      <c r="KM135" s="435">
        <f t="shared" si="376"/>
        <v>0</v>
      </c>
      <c r="KN135" s="435">
        <f t="shared" si="376"/>
        <v>0</v>
      </c>
      <c r="KO135" s="436">
        <f t="shared" si="376"/>
        <v>0</v>
      </c>
      <c r="KP135" s="149">
        <f t="shared" si="376"/>
        <v>0</v>
      </c>
      <c r="KQ135" s="434">
        <f t="shared" si="376"/>
        <v>0</v>
      </c>
      <c r="KR135" s="435">
        <f t="shared" si="376"/>
        <v>0</v>
      </c>
      <c r="KS135" s="435">
        <f t="shared" si="376"/>
        <v>0</v>
      </c>
      <c r="KT135" s="435">
        <f t="shared" si="376"/>
        <v>0</v>
      </c>
      <c r="KU135" s="436">
        <f t="shared" si="376"/>
        <v>0</v>
      </c>
      <c r="KV135" s="149">
        <f t="shared" si="376"/>
        <v>0</v>
      </c>
      <c r="KW135" s="434">
        <f t="shared" si="376"/>
        <v>0</v>
      </c>
      <c r="KX135" s="435">
        <f t="shared" si="376"/>
        <v>0</v>
      </c>
      <c r="KY135" s="435">
        <f t="shared" si="376"/>
        <v>0</v>
      </c>
      <c r="KZ135" s="435">
        <f t="shared" si="376"/>
        <v>0</v>
      </c>
      <c r="LA135" s="436">
        <f t="shared" si="376"/>
        <v>0</v>
      </c>
      <c r="LB135" s="149">
        <f t="shared" si="376"/>
        <v>0</v>
      </c>
      <c r="LC135" s="434">
        <f t="shared" si="376"/>
        <v>0</v>
      </c>
      <c r="LD135" s="435">
        <f t="shared" si="376"/>
        <v>0</v>
      </c>
      <c r="LE135" s="436">
        <f t="shared" si="376"/>
        <v>0</v>
      </c>
      <c r="LF135" s="149">
        <f t="shared" si="376"/>
        <v>0</v>
      </c>
      <c r="LG135" s="149">
        <f t="shared" si="372"/>
        <v>54256.080000000016</v>
      </c>
      <c r="LM135" s="9"/>
    </row>
    <row r="136" spans="2:325" s="91" customFormat="1">
      <c r="B136" s="365" t="s">
        <v>373</v>
      </c>
      <c r="C136" s="174">
        <v>6998.49</v>
      </c>
      <c r="D136" s="174">
        <v>6998.49</v>
      </c>
      <c r="J136" s="201"/>
      <c r="O136" s="201"/>
      <c r="U136" s="201"/>
      <c r="AA136" s="201"/>
      <c r="AB136" s="174">
        <v>6998.49</v>
      </c>
      <c r="AC136" s="207"/>
      <c r="AD136" s="207"/>
      <c r="AE136" s="207"/>
      <c r="AF136" s="207"/>
      <c r="AG136" s="207"/>
      <c r="AH136" s="207"/>
      <c r="AI136" s="207"/>
      <c r="AJ136" s="207"/>
      <c r="AK136" s="207"/>
      <c r="AL136" s="207"/>
      <c r="AM136" s="207"/>
      <c r="AN136" s="207"/>
      <c r="AO136" s="207"/>
      <c r="AP136" s="207"/>
      <c r="AQ136" s="207"/>
      <c r="AR136" s="207"/>
      <c r="AS136" s="207"/>
      <c r="AT136" s="207"/>
      <c r="AU136" s="207"/>
      <c r="AV136" s="207"/>
      <c r="AW136" s="207"/>
      <c r="AX136" s="207"/>
      <c r="AY136" s="207"/>
      <c r="AZ136" s="207"/>
      <c r="BA136" s="201"/>
      <c r="BB136" s="201"/>
      <c r="BC136" s="201"/>
      <c r="BD136" s="201"/>
      <c r="BE136" s="201"/>
      <c r="BF136" s="201"/>
      <c r="BG136" s="201"/>
      <c r="BH136" s="201"/>
      <c r="BI136" s="201"/>
      <c r="BJ136" s="201"/>
      <c r="BK136" s="201"/>
      <c r="BL136" s="201"/>
      <c r="BM136" s="201"/>
      <c r="BN136" s="201"/>
      <c r="BO136" s="201"/>
      <c r="BP136" s="201"/>
      <c r="BQ136" s="201"/>
      <c r="BR136" s="201"/>
      <c r="BS136" s="201"/>
      <c r="BT136" s="201"/>
      <c r="BU136" s="201"/>
      <c r="BV136" s="201"/>
      <c r="BW136" s="201"/>
      <c r="BX136" s="201"/>
      <c r="BY136" s="201"/>
      <c r="BZ136" s="201"/>
      <c r="CA136" s="201"/>
      <c r="CB136" s="201"/>
      <c r="CC136" s="201"/>
      <c r="CD136" s="201"/>
      <c r="CE136" s="201"/>
      <c r="CF136" s="201"/>
      <c r="CG136" s="201"/>
      <c r="CH136" s="201"/>
      <c r="CI136" s="201"/>
      <c r="CJ136" s="201"/>
      <c r="CK136" s="201"/>
      <c r="CL136" s="201"/>
      <c r="CM136" s="201"/>
      <c r="CN136" s="201"/>
      <c r="CO136" s="201"/>
      <c r="CP136" s="201"/>
      <c r="CQ136" s="201"/>
      <c r="CR136" s="201"/>
      <c r="CS136" s="201"/>
      <c r="CT136" s="201"/>
      <c r="CU136" s="201"/>
      <c r="CV136" s="201"/>
      <c r="CW136" s="201"/>
      <c r="CX136" s="201"/>
      <c r="CY136" s="201"/>
      <c r="CZ136" s="201"/>
      <c r="DA136" s="201"/>
      <c r="DB136" s="201"/>
      <c r="DC136" s="201"/>
      <c r="DD136" s="201"/>
      <c r="DE136" s="201"/>
      <c r="DF136" s="201"/>
      <c r="DG136" s="201"/>
      <c r="DH136" s="201"/>
      <c r="DI136" s="201"/>
      <c r="DJ136" s="201"/>
      <c r="DK136" s="201"/>
      <c r="DL136" s="201"/>
      <c r="DM136" s="201"/>
      <c r="DN136" s="201"/>
      <c r="DO136" s="201"/>
      <c r="DP136" s="201"/>
      <c r="DQ136" s="201"/>
      <c r="DR136" s="201"/>
      <c r="DS136" s="201"/>
      <c r="DT136" s="201"/>
      <c r="DU136" s="201"/>
      <c r="DV136" s="201"/>
      <c r="DW136" s="201"/>
      <c r="DX136" s="201"/>
      <c r="DY136" s="201"/>
      <c r="DZ136" s="201"/>
      <c r="EA136" s="201"/>
      <c r="EB136" s="201"/>
      <c r="EC136" s="201"/>
      <c r="ED136" s="201"/>
      <c r="EE136" s="201"/>
      <c r="EF136" s="201"/>
      <c r="EG136" s="201"/>
      <c r="EH136" s="201"/>
      <c r="EI136" s="201"/>
      <c r="EJ136" s="201"/>
      <c r="EK136" s="201"/>
      <c r="EL136" s="201"/>
      <c r="EM136" s="201"/>
      <c r="EN136" s="201"/>
      <c r="EO136" s="201"/>
      <c r="EP136" s="201"/>
      <c r="EQ136" s="201"/>
      <c r="ER136" s="201"/>
      <c r="ES136" s="201"/>
      <c r="ET136" s="201"/>
      <c r="EU136" s="201"/>
      <c r="EV136" s="201"/>
      <c r="EW136" s="201"/>
      <c r="EX136" s="201"/>
      <c r="EY136" s="201"/>
      <c r="EZ136" s="201"/>
      <c r="FA136" s="201"/>
      <c r="FB136" s="201"/>
      <c r="FC136" s="201"/>
      <c r="FD136" s="201"/>
      <c r="FE136" s="201"/>
      <c r="FF136" s="201"/>
      <c r="FG136" s="201"/>
      <c r="FH136" s="201"/>
      <c r="FI136" s="201"/>
      <c r="FJ136" s="201"/>
      <c r="FK136" s="201"/>
      <c r="FL136" s="201"/>
      <c r="FM136" s="201"/>
      <c r="FN136" s="201"/>
      <c r="FO136" s="201"/>
      <c r="FP136" s="201"/>
      <c r="FQ136" s="201"/>
      <c r="FR136" s="201"/>
      <c r="FS136" s="201"/>
      <c r="FT136" s="201"/>
      <c r="FU136" s="201"/>
      <c r="FV136" s="201"/>
      <c r="FW136" s="201"/>
      <c r="FX136" s="201"/>
      <c r="FY136" s="201"/>
      <c r="FZ136" s="201"/>
      <c r="GA136" s="201"/>
      <c r="GB136" s="201"/>
      <c r="GC136" s="201"/>
      <c r="GD136" s="201"/>
      <c r="GE136" s="201"/>
      <c r="GF136" s="201"/>
      <c r="GG136" s="201"/>
      <c r="GH136" s="201"/>
      <c r="GI136" s="201"/>
      <c r="GJ136" s="201"/>
      <c r="GK136" s="201"/>
      <c r="GL136" s="201"/>
      <c r="GM136" s="201"/>
      <c r="GN136" s="201"/>
      <c r="GO136" s="201"/>
      <c r="GP136" s="201"/>
      <c r="GQ136" s="201"/>
      <c r="GR136" s="201"/>
      <c r="GS136" s="201"/>
      <c r="GT136" s="201"/>
      <c r="GU136" s="201"/>
      <c r="GV136" s="201"/>
      <c r="GW136" s="201"/>
      <c r="GX136" s="201"/>
      <c r="GY136" s="201"/>
      <c r="GZ136" s="201"/>
      <c r="HA136" s="201"/>
      <c r="HB136" s="201"/>
      <c r="HC136" s="201"/>
      <c r="HD136" s="201"/>
      <c r="HE136" s="201"/>
      <c r="HF136" s="201"/>
      <c r="HG136" s="201"/>
      <c r="HH136" s="201"/>
      <c r="HI136" s="201"/>
      <c r="HJ136" s="201"/>
      <c r="HK136" s="201"/>
      <c r="HL136" s="201"/>
      <c r="HM136" s="201"/>
      <c r="HN136" s="201"/>
      <c r="HO136" s="201"/>
      <c r="HP136" s="201"/>
      <c r="HQ136" s="201"/>
      <c r="HR136" s="201"/>
      <c r="HS136" s="201"/>
      <c r="HT136" s="201"/>
      <c r="HU136" s="201"/>
      <c r="HV136" s="201"/>
      <c r="HW136" s="201"/>
      <c r="HX136" s="201"/>
      <c r="HY136" s="201"/>
      <c r="HZ136" s="238"/>
      <c r="IA136" s="238"/>
      <c r="IB136" s="238"/>
      <c r="IC136" s="201"/>
      <c r="ID136" s="201"/>
      <c r="IE136" s="201"/>
      <c r="IF136" s="201"/>
      <c r="IG136" s="201"/>
      <c r="IH136" s="201"/>
      <c r="II136" s="201"/>
      <c r="IJ136" s="201"/>
      <c r="IK136" s="201"/>
      <c r="IL136" s="201"/>
      <c r="IM136" s="201"/>
      <c r="IN136" s="201"/>
      <c r="IO136" s="201"/>
      <c r="IP136" s="201"/>
      <c r="IQ136" s="201"/>
      <c r="IR136" s="201"/>
      <c r="IS136" s="201"/>
      <c r="IT136" s="201"/>
      <c r="IU136" s="201"/>
      <c r="IV136" s="201"/>
      <c r="IW136" s="201"/>
      <c r="IX136" s="201"/>
      <c r="IY136" s="201"/>
      <c r="IZ136" s="201"/>
      <c r="JA136" s="201"/>
      <c r="JB136" s="201"/>
      <c r="JC136" s="201"/>
      <c r="JD136" s="201"/>
      <c r="JE136" s="201"/>
      <c r="JF136" s="201"/>
      <c r="JG136" s="201"/>
      <c r="JH136" s="201"/>
      <c r="JI136" s="201"/>
      <c r="JJ136" s="201"/>
      <c r="JK136" s="201"/>
      <c r="JL136" s="201"/>
      <c r="JM136" s="201"/>
      <c r="JN136" s="201"/>
      <c r="JO136" s="201"/>
      <c r="JP136" s="201"/>
      <c r="JQ136" s="201"/>
      <c r="JR136" s="201"/>
      <c r="JS136" s="201"/>
      <c r="JT136" s="201"/>
      <c r="JU136" s="201"/>
      <c r="JV136" s="201"/>
      <c r="JW136" s="201"/>
      <c r="JX136" s="201"/>
      <c r="JY136" s="201"/>
      <c r="JZ136" s="201"/>
      <c r="KA136" s="201"/>
      <c r="KB136" s="201"/>
      <c r="KC136" s="201"/>
      <c r="KD136" s="201"/>
      <c r="KE136" s="201"/>
      <c r="KF136" s="201"/>
      <c r="KG136" s="201"/>
      <c r="KH136" s="201"/>
      <c r="KI136" s="201"/>
      <c r="KJ136" s="201"/>
      <c r="KK136" s="201"/>
      <c r="KL136" s="201"/>
      <c r="KM136" s="201"/>
      <c r="KN136" s="201"/>
      <c r="KO136" s="201"/>
      <c r="KP136" s="201"/>
      <c r="KQ136" s="201"/>
      <c r="KR136" s="201"/>
      <c r="KS136" s="201"/>
      <c r="KT136" s="201"/>
      <c r="KU136" s="201"/>
      <c r="KV136" s="201"/>
      <c r="KW136" s="201"/>
      <c r="KX136" s="201"/>
      <c r="KY136" s="201"/>
      <c r="KZ136" s="201"/>
      <c r="LA136" s="201"/>
      <c r="LB136" s="201"/>
      <c r="LC136" s="201"/>
      <c r="LD136" s="201"/>
      <c r="LE136" s="201"/>
      <c r="LF136" s="201"/>
      <c r="LG136" s="201"/>
      <c r="LL136" s="9"/>
    </row>
    <row r="137" spans="2:325" s="91" customFormat="1">
      <c r="B137" s="366" t="s">
        <v>168</v>
      </c>
      <c r="C137" s="175">
        <f>C136+C135</f>
        <v>6998.49</v>
      </c>
      <c r="D137" s="442">
        <f>+C136+D135</f>
        <v>6998.49</v>
      </c>
      <c r="E137" s="175">
        <f>D137+E135</f>
        <v>6998.49</v>
      </c>
      <c r="F137" s="175">
        <f>E137+F135</f>
        <v>6998.49</v>
      </c>
      <c r="G137" s="175">
        <f>F137+G135</f>
        <v>6998.49</v>
      </c>
      <c r="H137" s="175">
        <f>G137+H135</f>
        <v>6998.49</v>
      </c>
      <c r="I137" s="175">
        <f>H137+I135</f>
        <v>6998.49</v>
      </c>
      <c r="J137" s="175">
        <f>D137+J135</f>
        <v>6998.49</v>
      </c>
      <c r="K137" s="175">
        <f>J137+K135</f>
        <v>6998.49</v>
      </c>
      <c r="L137" s="175">
        <f>K137+L135</f>
        <v>6998.49</v>
      </c>
      <c r="M137" s="175">
        <f>L137+M135</f>
        <v>6992.15</v>
      </c>
      <c r="N137" s="175">
        <f>M137+N135</f>
        <v>6992.15</v>
      </c>
      <c r="O137" s="175">
        <f>+J137+O135</f>
        <v>6992.15</v>
      </c>
      <c r="P137" s="175">
        <f>O137+P135</f>
        <v>6992.15</v>
      </c>
      <c r="Q137" s="175">
        <f>P137+Q135</f>
        <v>6992.15</v>
      </c>
      <c r="R137" s="175">
        <f>Q137+R135</f>
        <v>6992.15</v>
      </c>
      <c r="S137" s="175">
        <f>R137+S135</f>
        <v>6992.15</v>
      </c>
      <c r="T137" s="175">
        <f>S137+T135</f>
        <v>6992.15</v>
      </c>
      <c r="U137" s="175">
        <f>+O137+U135</f>
        <v>6992.15</v>
      </c>
      <c r="V137" s="175">
        <f>+U137+V135</f>
        <v>235972.15</v>
      </c>
      <c r="W137" s="175">
        <f>+V137+W135</f>
        <v>2417.8399999999965</v>
      </c>
      <c r="X137" s="175">
        <f>+W137+X135</f>
        <v>2417.8399999999965</v>
      </c>
      <c r="Y137" s="175">
        <f>+X137+Y135</f>
        <v>2417.8399999999965</v>
      </c>
      <c r="Z137" s="175">
        <f>+Y137+Z135</f>
        <v>2417.8399999999965</v>
      </c>
      <c r="AA137" s="175">
        <f>+U137+AA135</f>
        <v>2417.840000000002</v>
      </c>
      <c r="AB137" s="175">
        <f>C136+AB135</f>
        <v>2417.8400000000056</v>
      </c>
      <c r="AC137" s="175">
        <f t="shared" ref="AC137:AM137" si="377">AB137+AC135</f>
        <v>2417.8400000000056</v>
      </c>
      <c r="AD137" s="175">
        <f t="shared" si="377"/>
        <v>2417.8400000000056</v>
      </c>
      <c r="AE137" s="175">
        <f t="shared" si="377"/>
        <v>2417.8400000000056</v>
      </c>
      <c r="AF137" s="175">
        <f t="shared" si="377"/>
        <v>2417.8400000000056</v>
      </c>
      <c r="AG137" s="175">
        <f t="shared" si="377"/>
        <v>2417.8400000000056</v>
      </c>
      <c r="AH137" s="175">
        <f t="shared" si="377"/>
        <v>2417.8400000000056</v>
      </c>
      <c r="AI137" s="175">
        <f t="shared" si="377"/>
        <v>2417.8400000000056</v>
      </c>
      <c r="AJ137" s="175">
        <f t="shared" si="377"/>
        <v>2417.8400000000056</v>
      </c>
      <c r="AK137" s="175">
        <f t="shared" si="377"/>
        <v>2417.8400000000056</v>
      </c>
      <c r="AL137" s="175">
        <f t="shared" si="377"/>
        <v>2417.8400000000056</v>
      </c>
      <c r="AM137" s="175">
        <f t="shared" si="377"/>
        <v>2417.8400000000056</v>
      </c>
      <c r="AN137" s="175">
        <f>AH137+AN135</f>
        <v>2417.8400000000056</v>
      </c>
      <c r="AO137" s="175">
        <f>AN137+AO135</f>
        <v>2417.8400000000056</v>
      </c>
      <c r="AP137" s="175">
        <f>AO137+AP135</f>
        <v>2417.8400000000056</v>
      </c>
      <c r="AQ137" s="175">
        <f>AP137+AQ135</f>
        <v>2417.8400000000056</v>
      </c>
      <c r="AR137" s="175">
        <f>AQ137+AR135</f>
        <v>2417.8400000000056</v>
      </c>
      <c r="AS137" s="175">
        <f>AR137+AS135</f>
        <v>2417.8400000000056</v>
      </c>
      <c r="AT137" s="175">
        <f>AN137+AT135</f>
        <v>2417.8400000000056</v>
      </c>
      <c r="AU137" s="175">
        <f>AT137+AU135</f>
        <v>2417.8400000000056</v>
      </c>
      <c r="AV137" s="175">
        <f>AU137+AV135</f>
        <v>2417.8400000000056</v>
      </c>
      <c r="AW137" s="175">
        <f>AV137+AW135</f>
        <v>2417.8400000000056</v>
      </c>
      <c r="AX137" s="175">
        <f>AW137+AX135</f>
        <v>2417.8400000000056</v>
      </c>
      <c r="AY137" s="175">
        <f>AX137+AY135</f>
        <v>2417.8400000000056</v>
      </c>
      <c r="AZ137" s="175">
        <f>AT137+AZ135</f>
        <v>2417.8400000000056</v>
      </c>
      <c r="BA137" s="175">
        <f>AB137+BA135</f>
        <v>2417.8400000000056</v>
      </c>
      <c r="BB137" s="175">
        <f>BA137+BB135</f>
        <v>2417.8400000000056</v>
      </c>
      <c r="BC137" s="175">
        <f>BB137+BC135</f>
        <v>2417.8400000000056</v>
      </c>
      <c r="BD137" s="175">
        <f>BC137+BD135</f>
        <v>2417.8400000000056</v>
      </c>
      <c r="BE137" s="175">
        <f>BD137+BE135</f>
        <v>114067.84000000001</v>
      </c>
      <c r="BF137" s="175">
        <f>BE137+BF135</f>
        <v>84722.840000000011</v>
      </c>
      <c r="BG137" s="175">
        <f>BA137+BG135</f>
        <v>84722.840000000011</v>
      </c>
      <c r="BH137" s="175">
        <f>BG137+BH135</f>
        <v>84722.840000000011</v>
      </c>
      <c r="BI137" s="175">
        <f>BH137+BI135</f>
        <v>84722.840000000011</v>
      </c>
      <c r="BJ137" s="175">
        <f>BI137+BJ135</f>
        <v>84722.840000000011</v>
      </c>
      <c r="BK137" s="175">
        <f>BJ137+BK135</f>
        <v>299822.84000000003</v>
      </c>
      <c r="BL137" s="175">
        <f>BK137+BL135</f>
        <v>299822.84000000003</v>
      </c>
      <c r="BM137" s="175">
        <f>BG137+BM135</f>
        <v>299822.84000000003</v>
      </c>
      <c r="BN137" s="175">
        <f>BM137+BN135</f>
        <v>299822.84000000003</v>
      </c>
      <c r="BO137" s="175">
        <f>BN137+BO135</f>
        <v>299822.84000000003</v>
      </c>
      <c r="BP137" s="175">
        <f>BO137+BP135</f>
        <v>299822.84000000003</v>
      </c>
      <c r="BQ137" s="175">
        <f>BP137+BQ135</f>
        <v>299822.84000000003</v>
      </c>
      <c r="BR137" s="175">
        <f>BM137+BR135</f>
        <v>299822.84000000003</v>
      </c>
      <c r="BS137" s="175">
        <f>BR137+BS135</f>
        <v>299822.84000000003</v>
      </c>
      <c r="BT137" s="175">
        <f>BS137+BT135</f>
        <v>299822.84000000003</v>
      </c>
      <c r="BU137" s="175">
        <f>BT137+BU135</f>
        <v>299822.84000000003</v>
      </c>
      <c r="BV137" s="175">
        <f>BU137+BV135</f>
        <v>369511.58</v>
      </c>
      <c r="BW137" s="175">
        <f>BV137+BW135</f>
        <v>369511.58</v>
      </c>
      <c r="BX137" s="175">
        <f>BR137+BX135</f>
        <v>369511.58</v>
      </c>
      <c r="BY137" s="175">
        <f>BX137+BY135</f>
        <v>369511.58</v>
      </c>
      <c r="BZ137" s="175">
        <f>BY137+BZ135</f>
        <v>369511.58</v>
      </c>
      <c r="CA137" s="175">
        <f>BX137+CA135</f>
        <v>369511.58</v>
      </c>
      <c r="CB137" s="175">
        <f>BA137+CB135</f>
        <v>369511.58</v>
      </c>
      <c r="CC137" s="175">
        <f>CB137+CC135</f>
        <v>369511.58</v>
      </c>
      <c r="CD137" s="175">
        <f>CC137+CD135</f>
        <v>369505.4</v>
      </c>
      <c r="CE137" s="175">
        <f>CD137+CE135</f>
        <v>369505.4</v>
      </c>
      <c r="CF137" s="175">
        <f>CB137+CF135</f>
        <v>369505.4</v>
      </c>
      <c r="CG137" s="175">
        <f>CF137+CG135</f>
        <v>369505.4</v>
      </c>
      <c r="CH137" s="175">
        <f>CG137+CH135</f>
        <v>369505.4</v>
      </c>
      <c r="CI137" s="175">
        <f>CH137+CI135</f>
        <v>168174.68000000002</v>
      </c>
      <c r="CJ137" s="175">
        <f>CI137+CJ135</f>
        <v>168174.68000000002</v>
      </c>
      <c r="CK137" s="175">
        <f>CF137+CK135</f>
        <v>168174.68000000002</v>
      </c>
      <c r="CL137" s="175">
        <f>CK137+CL135</f>
        <v>168174.68000000002</v>
      </c>
      <c r="CM137" s="175">
        <f>CL137+CM135</f>
        <v>168174.68000000002</v>
      </c>
      <c r="CN137" s="175">
        <f>CM137+CN135</f>
        <v>268125.68000000005</v>
      </c>
      <c r="CO137" s="175">
        <f>CN137+CO135</f>
        <v>268125.68000000005</v>
      </c>
      <c r="CP137" s="175">
        <f>CO137+CP135</f>
        <v>268125.68000000005</v>
      </c>
      <c r="CQ137" s="175">
        <f>CK137+CQ135</f>
        <v>268125.68000000005</v>
      </c>
      <c r="CR137" s="175">
        <f>CQ137+CR135</f>
        <v>268125.68000000005</v>
      </c>
      <c r="CS137" s="175">
        <f>CR137+CS135</f>
        <v>268125.68000000005</v>
      </c>
      <c r="CT137" s="175">
        <f>CS137+CT135</f>
        <v>148125.68000000005</v>
      </c>
      <c r="CU137" s="175">
        <f>CT137+CU135</f>
        <v>148125.68000000005</v>
      </c>
      <c r="CV137" s="175">
        <f>CU137+CV135</f>
        <v>148125.68000000005</v>
      </c>
      <c r="CW137" s="175">
        <f>CQ137+CW135</f>
        <v>148125.68000000005</v>
      </c>
      <c r="CX137" s="175">
        <f>CW137+CX135</f>
        <v>148125.68000000005</v>
      </c>
      <c r="CY137" s="175">
        <f>CX137+CY135</f>
        <v>148125.68000000005</v>
      </c>
      <c r="CZ137" s="175">
        <f>CY137+CZ135</f>
        <v>148125.68000000005</v>
      </c>
      <c r="DA137" s="175">
        <f>CZ137+DA135</f>
        <v>148125.68000000005</v>
      </c>
      <c r="DB137" s="175">
        <f>CW137+DB135</f>
        <v>148125.68000000005</v>
      </c>
      <c r="DC137" s="175">
        <f>CB137+DC135</f>
        <v>148125.68000000005</v>
      </c>
      <c r="DD137" s="175">
        <f>DC137+DD135</f>
        <v>148125.68000000005</v>
      </c>
      <c r="DE137" s="175">
        <f>DD137+DE135</f>
        <v>148125.68000000005</v>
      </c>
      <c r="DF137" s="175">
        <f>DE137+DF135</f>
        <v>8125.6800000000512</v>
      </c>
      <c r="DG137" s="175">
        <f>DF137+DG135</f>
        <v>8125.6800000000512</v>
      </c>
      <c r="DH137" s="175">
        <f>DG137+DH135</f>
        <v>8125.6800000000512</v>
      </c>
      <c r="DI137" s="175">
        <f>DC137+DI135</f>
        <v>8125.6800000000512</v>
      </c>
      <c r="DJ137" s="175">
        <f>DI137+DJ135</f>
        <v>8125.6800000000512</v>
      </c>
      <c r="DK137" s="175">
        <f>DJ137+DK135</f>
        <v>80794.080000000045</v>
      </c>
      <c r="DL137" s="175">
        <f>DK137+DL135</f>
        <v>80794.080000000045</v>
      </c>
      <c r="DM137" s="175">
        <f>DL137+DM135</f>
        <v>80794.080000000045</v>
      </c>
      <c r="DN137" s="175">
        <f>DM137+DN135</f>
        <v>80794.080000000045</v>
      </c>
      <c r="DO137" s="175">
        <f>DI137+DO135</f>
        <v>80794.080000000045</v>
      </c>
      <c r="DP137" s="175">
        <f>DO137+DP135</f>
        <v>80794.080000000045</v>
      </c>
      <c r="DQ137" s="175">
        <f>DP137+DQ135</f>
        <v>80794.080000000045</v>
      </c>
      <c r="DR137" s="175">
        <f>DQ137+DR135</f>
        <v>-39205.919999999955</v>
      </c>
      <c r="DS137" s="175">
        <f>DR137+DS135</f>
        <v>1979.0800000000454</v>
      </c>
      <c r="DT137" s="175">
        <f>DS137+DT135</f>
        <v>1979.0800000000454</v>
      </c>
      <c r="DU137" s="175">
        <f>DO137+DU135</f>
        <v>1979.0800000000454</v>
      </c>
      <c r="DV137" s="175">
        <f>DU137+DV135</f>
        <v>1979.0800000000454</v>
      </c>
      <c r="DW137" s="175">
        <f>DV137+DW135</f>
        <v>1979.0800000000454</v>
      </c>
      <c r="DX137" s="175">
        <f>DW137+DX135</f>
        <v>1979.0800000000454</v>
      </c>
      <c r="DY137" s="175">
        <f>DX137+DY135</f>
        <v>1979.0800000000454</v>
      </c>
      <c r="DZ137" s="175">
        <f>DY137+DZ135</f>
        <v>1979.0800000000454</v>
      </c>
      <c r="EA137" s="175">
        <f>DU137+EA135</f>
        <v>1979.0800000000454</v>
      </c>
      <c r="EB137" s="175">
        <f>DC137+EB135</f>
        <v>1979.0800000000454</v>
      </c>
      <c r="EC137" s="175">
        <f>EB137+EC135</f>
        <v>1979.0800000000454</v>
      </c>
      <c r="ED137" s="175">
        <f>EC137+ED135</f>
        <v>1979.0800000000454</v>
      </c>
      <c r="EE137" s="175">
        <f>ED137+EE135</f>
        <v>1979.0800000000454</v>
      </c>
      <c r="EF137" s="175">
        <f>EE137+EF135</f>
        <v>1979.0800000000454</v>
      </c>
      <c r="EG137" s="175">
        <f>EF137+EG135</f>
        <v>1979.0800000000454</v>
      </c>
      <c r="EH137" s="175">
        <f>EB137+EH135</f>
        <v>1979.0800000000454</v>
      </c>
      <c r="EI137" s="175">
        <f>EH137+EI135</f>
        <v>1979.0800000000454</v>
      </c>
      <c r="EJ137" s="175">
        <f>EI137+EJ135</f>
        <v>1979.0800000000454</v>
      </c>
      <c r="EK137" s="175">
        <f>EJ137+EK135</f>
        <v>1979.0800000000454</v>
      </c>
      <c r="EL137" s="175">
        <f>EK137+EL135</f>
        <v>1979.0800000000454</v>
      </c>
      <c r="EM137" s="175">
        <f>EL137+EM135</f>
        <v>1979.0800000000454</v>
      </c>
      <c r="EN137" s="175">
        <f>EH137+EN135</f>
        <v>1979.0800000000454</v>
      </c>
      <c r="EO137" s="175">
        <f>EN137+EO135</f>
        <v>1979.0800000000454</v>
      </c>
      <c r="EP137" s="175">
        <f>EO137+EP135</f>
        <v>1979.0800000000454</v>
      </c>
      <c r="EQ137" s="175">
        <f>EP137+EQ135</f>
        <v>1979.0800000000454</v>
      </c>
      <c r="ER137" s="175">
        <f>EQ137+ER135</f>
        <v>1979.0800000000454</v>
      </c>
      <c r="ES137" s="175">
        <f>ER137+ES135</f>
        <v>1979.0800000000454</v>
      </c>
      <c r="ET137" s="175">
        <f>EN137+ET135</f>
        <v>1979.0800000000454</v>
      </c>
      <c r="EU137" s="175">
        <f t="shared" ref="EU137:FA137" si="378">ET137+EU135</f>
        <v>1979.0800000000454</v>
      </c>
      <c r="EV137" s="175">
        <f t="shared" si="378"/>
        <v>1979.0800000000454</v>
      </c>
      <c r="EW137" s="175">
        <f t="shared" si="378"/>
        <v>1979.0800000000454</v>
      </c>
      <c r="EX137" s="175">
        <f t="shared" si="378"/>
        <v>1979.0800000000454</v>
      </c>
      <c r="EY137" s="175">
        <f t="shared" si="378"/>
        <v>1979.0800000000454</v>
      </c>
      <c r="EZ137" s="175">
        <f t="shared" si="378"/>
        <v>1979.0800000000454</v>
      </c>
      <c r="FA137" s="175">
        <f t="shared" si="378"/>
        <v>1979.0800000000454</v>
      </c>
      <c r="FB137" s="175">
        <f>ET137+FB135</f>
        <v>1979.0800000000454</v>
      </c>
      <c r="FC137" s="175">
        <f>EB137+FC135</f>
        <v>1979.0800000000454</v>
      </c>
      <c r="FD137" s="175">
        <f>FC137+FD135</f>
        <v>1979.0800000000454</v>
      </c>
      <c r="FE137" s="175">
        <f>FD137+FE135</f>
        <v>1979.0800000000454</v>
      </c>
      <c r="FF137" s="175">
        <f>FE137+FF135</f>
        <v>1972.8800000000454</v>
      </c>
      <c r="FG137" s="175">
        <f>FC137+FG135</f>
        <v>1972.8800000000454</v>
      </c>
      <c r="FH137" s="175">
        <f>FG137+FH135</f>
        <v>1972.8800000000454</v>
      </c>
      <c r="FI137" s="175">
        <f>FH137+FI135</f>
        <v>1972.8800000000454</v>
      </c>
      <c r="FJ137" s="175">
        <f>FI137+FJ135</f>
        <v>1972.8800000000454</v>
      </c>
      <c r="FK137" s="175">
        <f>FJ137+FK135</f>
        <v>1972.8800000000454</v>
      </c>
      <c r="FL137" s="175">
        <f>FK137+FL135</f>
        <v>1972.8800000000454</v>
      </c>
      <c r="FM137" s="175">
        <f>FG137+FM135</f>
        <v>1972.8800000000454</v>
      </c>
      <c r="FN137" s="175">
        <f>FM137+FN135</f>
        <v>1972.8800000000454</v>
      </c>
      <c r="FO137" s="175">
        <f>FN137+FO135</f>
        <v>1972.8800000000454</v>
      </c>
      <c r="FP137" s="175">
        <f>FO137+FP135</f>
        <v>1972.8800000000454</v>
      </c>
      <c r="FQ137" s="175">
        <f>FP137+FQ135</f>
        <v>1972.8800000000454</v>
      </c>
      <c r="FR137" s="175">
        <f>FM137+FR135</f>
        <v>1972.8800000000454</v>
      </c>
      <c r="FS137" s="175">
        <f>FR137+FS135</f>
        <v>1972.8800000000454</v>
      </c>
      <c r="FT137" s="175">
        <f>FS137+FT135</f>
        <v>1972.8800000000454</v>
      </c>
      <c r="FU137" s="175">
        <f>FT137+FU135</f>
        <v>1972.8800000000454</v>
      </c>
      <c r="FV137" s="175">
        <f>FU137+FV135</f>
        <v>1972.8800000000454</v>
      </c>
      <c r="FW137" s="175">
        <f>FV137+FW135</f>
        <v>1972.8800000000454</v>
      </c>
      <c r="FX137" s="175">
        <f>FR137+FX135</f>
        <v>1972.8800000000454</v>
      </c>
      <c r="FY137" s="175">
        <f>FX137+FY135</f>
        <v>1972.8800000000454</v>
      </c>
      <c r="FZ137" s="175">
        <f>FY137+FZ135</f>
        <v>1972.8800000000454</v>
      </c>
      <c r="GA137" s="175">
        <f>FZ137+GA135</f>
        <v>1972.8800000000454</v>
      </c>
      <c r="GB137" s="175">
        <f>GA137+GB135</f>
        <v>62690.880000000048</v>
      </c>
      <c r="GC137" s="175">
        <f>GB137+GC135</f>
        <v>62690.880000000048</v>
      </c>
      <c r="GD137" s="175">
        <f>FX137+GD135</f>
        <v>62690.880000000048</v>
      </c>
      <c r="GE137" s="175">
        <f>FC137+GE135</f>
        <v>62690.880000000048</v>
      </c>
      <c r="GF137" s="175">
        <f>GE137+GF135</f>
        <v>690.88000000004831</v>
      </c>
      <c r="GG137" s="175">
        <f>GF137+GG135</f>
        <v>690.88000000004831</v>
      </c>
      <c r="GH137" s="175">
        <f>GG137+GH135</f>
        <v>690.88000000004831</v>
      </c>
      <c r="GI137" s="175">
        <f>GH137+GI135</f>
        <v>690.88000000004831</v>
      </c>
      <c r="GJ137" s="175">
        <f>GI137+GJ135</f>
        <v>690.88000000004831</v>
      </c>
      <c r="GK137" s="175">
        <f>GE137+GK135</f>
        <v>690.88000000004831</v>
      </c>
      <c r="GL137" s="175">
        <f>GK137+GL135</f>
        <v>690.88000000004831</v>
      </c>
      <c r="GM137" s="175">
        <f>GL137+GM135</f>
        <v>690.88000000004831</v>
      </c>
      <c r="GN137" s="175">
        <f>GM137+GN135</f>
        <v>690.88000000004831</v>
      </c>
      <c r="GO137" s="175">
        <f>GN137+GO135</f>
        <v>690.88000000004831</v>
      </c>
      <c r="GP137" s="175">
        <f>GK137+GP135</f>
        <v>690.88000000004831</v>
      </c>
      <c r="GQ137" s="175">
        <f>GP137+GQ135</f>
        <v>690.88000000004831</v>
      </c>
      <c r="GR137" s="175">
        <f>GQ137+GR135</f>
        <v>690.88000000004831</v>
      </c>
      <c r="GS137" s="175">
        <f>GR137+GS135</f>
        <v>690.88000000004831</v>
      </c>
      <c r="GT137" s="175">
        <f>GS137+GT135</f>
        <v>690.88000000004831</v>
      </c>
      <c r="GU137" s="175">
        <f>GT137+GU135</f>
        <v>690.88000000004831</v>
      </c>
      <c r="GV137" s="175">
        <f>GP137+GV135</f>
        <v>690.88000000004831</v>
      </c>
      <c r="GW137" s="175">
        <f t="shared" ref="GW137:HB137" si="379">GV137+GW135</f>
        <v>690.88000000004831</v>
      </c>
      <c r="GX137" s="175">
        <f t="shared" si="379"/>
        <v>690.88000000004831</v>
      </c>
      <c r="GY137" s="175">
        <f t="shared" si="379"/>
        <v>690.88000000004831</v>
      </c>
      <c r="GZ137" s="175">
        <f t="shared" si="379"/>
        <v>690.88000000004831</v>
      </c>
      <c r="HA137" s="175">
        <f t="shared" si="379"/>
        <v>690.88000000004831</v>
      </c>
      <c r="HB137" s="175">
        <f t="shared" si="379"/>
        <v>34325.380000000048</v>
      </c>
      <c r="HC137" s="175">
        <f>GV137+HC135</f>
        <v>34325.380000000048</v>
      </c>
      <c r="HD137" s="175">
        <f>GE137+HD135</f>
        <v>34325.380000000048</v>
      </c>
      <c r="HE137" s="175">
        <f>HD137+HE135</f>
        <v>34325.380000000048</v>
      </c>
      <c r="HF137" s="175">
        <f>HE137+HF135</f>
        <v>34325.380000000048</v>
      </c>
      <c r="HG137" s="175">
        <f>HF137+HG135</f>
        <v>34325.380000000048</v>
      </c>
      <c r="HH137" s="175">
        <f>HG137+HH135</f>
        <v>34325.380000000048</v>
      </c>
      <c r="HI137" s="175">
        <f>HD137+HI135</f>
        <v>34325.380000000048</v>
      </c>
      <c r="HJ137" s="175">
        <f>HI137+HJ135</f>
        <v>34325.380000000048</v>
      </c>
      <c r="HK137" s="175">
        <f>HJ137+HK135</f>
        <v>34325.380000000048</v>
      </c>
      <c r="HL137" s="175">
        <f>HK137+HL135</f>
        <v>34325.380000000048</v>
      </c>
      <c r="HM137" s="175">
        <f>HL137+HM135</f>
        <v>295.38000000004831</v>
      </c>
      <c r="HN137" s="175">
        <f>HM137+HN135</f>
        <v>295.38000000004831</v>
      </c>
      <c r="HO137" s="175">
        <f>HI137+HO135</f>
        <v>295.38000000004831</v>
      </c>
      <c r="HP137" s="175">
        <f>HO137+HP135</f>
        <v>295.38000000004831</v>
      </c>
      <c r="HQ137" s="175">
        <f>HP137+HQ135</f>
        <v>295.38000000004831</v>
      </c>
      <c r="HR137" s="175">
        <f>HQ137+HR135</f>
        <v>295.38000000004831</v>
      </c>
      <c r="HS137" s="175">
        <f>HR137+HS135</f>
        <v>32217.540000000048</v>
      </c>
      <c r="HT137" s="175">
        <f>HS137+HT135</f>
        <v>32217.540000000048</v>
      </c>
      <c r="HU137" s="175">
        <f>HO137+HU135</f>
        <v>32217.540000000048</v>
      </c>
      <c r="HV137" s="175">
        <f>HU137+HV135</f>
        <v>32217.540000000048</v>
      </c>
      <c r="HW137" s="175">
        <f>HV137+HW135</f>
        <v>32217.540000000048</v>
      </c>
      <c r="HX137" s="175">
        <f>HW137+HX135</f>
        <v>32217.540000000048</v>
      </c>
      <c r="HY137" s="175">
        <f>HU137+HY135</f>
        <v>32217.540000000048</v>
      </c>
      <c r="HZ137" s="366">
        <f>HY137+HZ135</f>
        <v>32217.540000000048</v>
      </c>
      <c r="IA137" s="366">
        <f>HZ137+IA135</f>
        <v>32217.540000000048</v>
      </c>
      <c r="IB137" s="366">
        <f>IA137+IB135</f>
        <v>32217.540000000048</v>
      </c>
      <c r="IC137" s="175">
        <f>HY137+IC135</f>
        <v>32217.540000000048</v>
      </c>
      <c r="ID137" s="175">
        <f>HD137+ID135</f>
        <v>32217.540000000048</v>
      </c>
      <c r="IE137" s="175">
        <f>ID137+IE135</f>
        <v>32217.540000000048</v>
      </c>
      <c r="IF137" s="175">
        <f>IE137+IF135</f>
        <v>32211.420000000049</v>
      </c>
      <c r="IG137" s="175">
        <f>ID137+IG135</f>
        <v>32211.420000000049</v>
      </c>
      <c r="IH137" s="175">
        <f>IG137+IH135</f>
        <v>32211.420000000049</v>
      </c>
      <c r="II137" s="175">
        <f>IH137+II135</f>
        <v>32211.420000000049</v>
      </c>
      <c r="IJ137" s="175">
        <f>II137+IJ135</f>
        <v>32211.420000000049</v>
      </c>
      <c r="IK137" s="175">
        <f>IJ137+IK135</f>
        <v>32211.420000000049</v>
      </c>
      <c r="IL137" s="175">
        <f>IK137+IL135</f>
        <v>32211.420000000049</v>
      </c>
      <c r="IM137" s="175">
        <f>IG137+IM135</f>
        <v>32211.420000000049</v>
      </c>
      <c r="IN137" s="175">
        <f>IM137+IN135</f>
        <v>32211.420000000049</v>
      </c>
      <c r="IO137" s="175">
        <f>IN137+IO135</f>
        <v>32211.420000000049</v>
      </c>
      <c r="IP137" s="175">
        <f>IO137+IP135</f>
        <v>32211.420000000049</v>
      </c>
      <c r="IQ137" s="175">
        <f>IM137+IQ135</f>
        <v>32211.420000000049</v>
      </c>
      <c r="IR137" s="175">
        <f>IQ137+IR135</f>
        <v>32211.420000000049</v>
      </c>
      <c r="IS137" s="175">
        <f>IR137+IS135</f>
        <v>32211.420000000049</v>
      </c>
      <c r="IT137" s="175">
        <f>IS137+IT135</f>
        <v>32211.420000000049</v>
      </c>
      <c r="IU137" s="175">
        <f>IT137+IU135</f>
        <v>32211.420000000049</v>
      </c>
      <c r="IV137" s="175">
        <f>IU137+IV135</f>
        <v>32211.420000000049</v>
      </c>
      <c r="IW137" s="175">
        <f>IQ137+IW135</f>
        <v>32211.420000000049</v>
      </c>
      <c r="IX137" s="175">
        <f>IW137+IX135</f>
        <v>32211.420000000049</v>
      </c>
      <c r="IY137" s="175">
        <f>IX137+IY135</f>
        <v>32211.420000000049</v>
      </c>
      <c r="IZ137" s="175">
        <f>IY137+IZ135</f>
        <v>32211.420000000049</v>
      </c>
      <c r="JA137" s="175">
        <f>IZ137+JA135</f>
        <v>213880.64000000004</v>
      </c>
      <c r="JB137" s="175">
        <f>JA137+JB135</f>
        <v>213880.64000000004</v>
      </c>
      <c r="JC137" s="175">
        <f>IW137+JC135</f>
        <v>213880.64000000004</v>
      </c>
      <c r="JD137" s="175">
        <f>ID137+JD135</f>
        <v>213880.64000000004</v>
      </c>
      <c r="JE137" s="175">
        <f>JD137+JE135</f>
        <v>213880.64000000004</v>
      </c>
      <c r="JF137" s="175">
        <f t="shared" ref="JF137:LE137" si="380">JE137+JF135</f>
        <v>213880.64000000004</v>
      </c>
      <c r="JG137" s="175">
        <f t="shared" si="380"/>
        <v>213880.64000000004</v>
      </c>
      <c r="JH137" s="175">
        <f t="shared" si="380"/>
        <v>213880.64000000004</v>
      </c>
      <c r="JI137" s="175">
        <f t="shared" si="380"/>
        <v>28583.490000000049</v>
      </c>
      <c r="JJ137" s="175">
        <f>JD137+JJ135</f>
        <v>28583.490000000049</v>
      </c>
      <c r="JK137" s="175">
        <f t="shared" si="380"/>
        <v>28583.490000000049</v>
      </c>
      <c r="JL137" s="175">
        <f t="shared" si="380"/>
        <v>28583.490000000049</v>
      </c>
      <c r="JM137" s="175">
        <f t="shared" si="380"/>
        <v>28583.490000000049</v>
      </c>
      <c r="JN137" s="175">
        <f t="shared" si="380"/>
        <v>28583.490000000049</v>
      </c>
      <c r="JO137" s="175">
        <f t="shared" si="380"/>
        <v>28583.490000000049</v>
      </c>
      <c r="JP137" s="175">
        <f>JJ137+JP135</f>
        <v>28583.490000000049</v>
      </c>
      <c r="JQ137" s="175">
        <f t="shared" si="380"/>
        <v>28583.490000000049</v>
      </c>
      <c r="JR137" s="175">
        <f t="shared" si="380"/>
        <v>28583.490000000049</v>
      </c>
      <c r="JS137" s="175">
        <f t="shared" si="380"/>
        <v>28583.490000000049</v>
      </c>
      <c r="JT137" s="175">
        <f t="shared" si="380"/>
        <v>28583.490000000049</v>
      </c>
      <c r="JU137" s="175">
        <f t="shared" si="380"/>
        <v>28583.490000000049</v>
      </c>
      <c r="JV137" s="175">
        <f>JP137+JV135</f>
        <v>28583.490000000049</v>
      </c>
      <c r="JW137" s="175">
        <f t="shared" si="380"/>
        <v>28583.490000000049</v>
      </c>
      <c r="JX137" s="175">
        <f t="shared" si="380"/>
        <v>28583.490000000049</v>
      </c>
      <c r="JY137" s="175">
        <f t="shared" si="380"/>
        <v>28583.490000000049</v>
      </c>
      <c r="JZ137" s="175">
        <f t="shared" si="380"/>
        <v>28583.490000000049</v>
      </c>
      <c r="KA137" s="175"/>
      <c r="KB137" s="175">
        <f>JZ137+KB135</f>
        <v>28583.490000000049</v>
      </c>
      <c r="KC137" s="175">
        <f>JV137+KC135</f>
        <v>28583.490000000049</v>
      </c>
      <c r="KD137" s="175">
        <f>JD137+KD135</f>
        <v>204984.92000000004</v>
      </c>
      <c r="KE137" s="175">
        <f t="shared" si="380"/>
        <v>204984.92000000004</v>
      </c>
      <c r="KF137" s="175">
        <f t="shared" si="380"/>
        <v>204984.92000000004</v>
      </c>
      <c r="KG137" s="175">
        <f t="shared" si="380"/>
        <v>204984.92000000004</v>
      </c>
      <c r="KH137" s="175">
        <f t="shared" si="380"/>
        <v>204984.92000000004</v>
      </c>
      <c r="KI137" s="175">
        <f t="shared" si="380"/>
        <v>204984.92000000004</v>
      </c>
      <c r="KJ137" s="175">
        <f>KD137+KJ135</f>
        <v>204984.92000000004</v>
      </c>
      <c r="KK137" s="175">
        <f t="shared" si="380"/>
        <v>204984.92000000004</v>
      </c>
      <c r="KL137" s="175">
        <f t="shared" si="380"/>
        <v>204984.92000000004</v>
      </c>
      <c r="KM137" s="175">
        <f t="shared" si="380"/>
        <v>204984.92000000004</v>
      </c>
      <c r="KN137" s="175">
        <f t="shared" si="380"/>
        <v>204984.92000000004</v>
      </c>
      <c r="KO137" s="175">
        <f t="shared" si="380"/>
        <v>204984.92000000004</v>
      </c>
      <c r="KP137" s="175">
        <f>KJ137+KP135</f>
        <v>204984.92000000004</v>
      </c>
      <c r="KQ137" s="175">
        <f t="shared" si="380"/>
        <v>204984.92000000004</v>
      </c>
      <c r="KR137" s="175">
        <f t="shared" si="380"/>
        <v>204984.92000000004</v>
      </c>
      <c r="KS137" s="175">
        <f t="shared" si="380"/>
        <v>204984.92000000004</v>
      </c>
      <c r="KT137" s="175">
        <f t="shared" si="380"/>
        <v>204984.92000000004</v>
      </c>
      <c r="KU137" s="175">
        <f t="shared" si="380"/>
        <v>204984.92000000004</v>
      </c>
      <c r="KV137" s="175">
        <f>KP137+KV135</f>
        <v>204984.92000000004</v>
      </c>
      <c r="KW137" s="175">
        <f t="shared" si="380"/>
        <v>204984.92000000004</v>
      </c>
      <c r="KX137" s="175">
        <f t="shared" si="380"/>
        <v>204984.92000000004</v>
      </c>
      <c r="KY137" s="175">
        <f t="shared" si="380"/>
        <v>204984.92000000004</v>
      </c>
      <c r="KZ137" s="175">
        <f t="shared" si="380"/>
        <v>204984.92000000004</v>
      </c>
      <c r="LA137" s="175">
        <f t="shared" si="380"/>
        <v>204984.92000000004</v>
      </c>
      <c r="LB137" s="175">
        <f>KV137+LB135</f>
        <v>204984.92000000004</v>
      </c>
      <c r="LC137" s="175">
        <f t="shared" si="380"/>
        <v>204984.92000000004</v>
      </c>
      <c r="LD137" s="175">
        <f t="shared" si="380"/>
        <v>204984.92000000004</v>
      </c>
      <c r="LE137" s="175">
        <f t="shared" si="380"/>
        <v>204984.92000000004</v>
      </c>
      <c r="LF137" s="175">
        <f>LB137+LF135</f>
        <v>204984.92000000004</v>
      </c>
      <c r="LG137" s="175">
        <f>KD137+LG135</f>
        <v>259241.00000000006</v>
      </c>
      <c r="LL137" s="9"/>
    </row>
    <row r="138" spans="2:325" ht="15.75" thickBot="1">
      <c r="LL138" s="9"/>
    </row>
    <row r="139" spans="2:325" ht="16.5" thickBot="1">
      <c r="B139" s="974" t="s">
        <v>133</v>
      </c>
      <c r="C139" s="975"/>
      <c r="D139" s="975"/>
      <c r="E139" s="975"/>
      <c r="F139" s="975"/>
      <c r="G139" s="975"/>
      <c r="H139" s="975"/>
      <c r="I139" s="975"/>
      <c r="J139" s="975"/>
      <c r="K139" s="975"/>
      <c r="L139" s="975"/>
      <c r="M139" s="975"/>
      <c r="N139" s="975"/>
      <c r="O139" s="975"/>
      <c r="P139" s="975"/>
      <c r="Q139" s="975"/>
      <c r="R139" s="975"/>
      <c r="S139" s="975"/>
      <c r="T139" s="975"/>
      <c r="U139" s="975"/>
      <c r="V139" s="975"/>
      <c r="W139" s="975"/>
      <c r="X139" s="975"/>
      <c r="Y139" s="975"/>
      <c r="Z139" s="975"/>
      <c r="AA139" s="975"/>
      <c r="AB139" s="975"/>
      <c r="AC139" s="975"/>
      <c r="AD139" s="975"/>
      <c r="AE139" s="975"/>
      <c r="AF139" s="975"/>
      <c r="AG139" s="975"/>
      <c r="AH139" s="975"/>
      <c r="AI139" s="975"/>
      <c r="AJ139" s="975"/>
      <c r="AK139" s="975"/>
      <c r="AL139" s="975"/>
      <c r="AM139" s="975"/>
      <c r="AN139" s="975"/>
      <c r="AO139" s="975"/>
      <c r="AP139" s="975"/>
      <c r="AQ139" s="975"/>
      <c r="AR139" s="975"/>
      <c r="AS139" s="975"/>
      <c r="AT139" s="975"/>
      <c r="AU139" s="975"/>
      <c r="AV139" s="975"/>
      <c r="AW139" s="975"/>
      <c r="AX139" s="975"/>
      <c r="AY139" s="975"/>
      <c r="AZ139" s="975"/>
      <c r="BA139" s="975"/>
      <c r="BB139" s="975"/>
      <c r="BC139" s="975"/>
      <c r="BD139" s="975"/>
      <c r="BE139" s="975"/>
      <c r="BF139" s="975"/>
      <c r="BG139" s="975"/>
      <c r="BH139" s="975"/>
      <c r="BI139" s="975"/>
      <c r="BJ139" s="975"/>
      <c r="BK139" s="975"/>
      <c r="BL139" s="975"/>
      <c r="BM139" s="975"/>
      <c r="BN139" s="975"/>
      <c r="BO139" s="975"/>
      <c r="BP139" s="975"/>
      <c r="BQ139" s="975"/>
      <c r="BR139" s="975"/>
      <c r="BS139" s="975"/>
      <c r="BT139" s="975"/>
      <c r="BU139" s="975"/>
      <c r="BV139" s="975"/>
      <c r="BW139" s="975"/>
      <c r="BX139" s="975"/>
      <c r="BY139" s="975"/>
      <c r="BZ139" s="975"/>
      <c r="CA139" s="975"/>
      <c r="CB139" s="975"/>
      <c r="CC139" s="975"/>
      <c r="CD139" s="975"/>
      <c r="CE139" s="975"/>
      <c r="CF139" s="975"/>
      <c r="CG139" s="975"/>
      <c r="CH139" s="975"/>
      <c r="CI139" s="975"/>
      <c r="CJ139" s="975"/>
      <c r="CK139" s="975"/>
      <c r="CL139" s="975"/>
      <c r="CM139" s="975"/>
      <c r="CN139" s="975"/>
      <c r="CO139" s="975"/>
      <c r="CP139" s="975"/>
      <c r="CQ139" s="975"/>
      <c r="CR139" s="975"/>
      <c r="CS139" s="975"/>
      <c r="CT139" s="975"/>
      <c r="CU139" s="975"/>
      <c r="CV139" s="975"/>
      <c r="CW139" s="975"/>
      <c r="CX139" s="975"/>
      <c r="CY139" s="975"/>
      <c r="CZ139" s="975"/>
      <c r="DA139" s="975"/>
      <c r="DB139" s="975"/>
      <c r="DC139" s="975"/>
      <c r="DD139" s="975"/>
      <c r="DE139" s="975"/>
      <c r="DF139" s="975"/>
      <c r="DG139" s="975"/>
      <c r="DH139" s="975"/>
      <c r="DI139" s="975"/>
      <c r="DJ139" s="975"/>
      <c r="DK139" s="975"/>
      <c r="DL139" s="975"/>
      <c r="DM139" s="975"/>
      <c r="DN139" s="975"/>
      <c r="DO139" s="975"/>
      <c r="DP139" s="975"/>
      <c r="DQ139" s="975"/>
      <c r="DR139" s="975"/>
      <c r="DS139" s="975"/>
      <c r="DT139" s="975"/>
      <c r="DU139" s="975"/>
      <c r="DV139" s="975"/>
      <c r="DW139" s="975"/>
      <c r="DX139" s="975"/>
      <c r="DY139" s="975"/>
      <c r="DZ139" s="975"/>
      <c r="EA139" s="975"/>
      <c r="EB139" s="975"/>
      <c r="EC139" s="975"/>
      <c r="ED139" s="975"/>
      <c r="EE139" s="975"/>
      <c r="EF139" s="975"/>
      <c r="EG139" s="975"/>
      <c r="EH139" s="975"/>
      <c r="EI139" s="975"/>
      <c r="EJ139" s="975"/>
      <c r="EK139" s="975"/>
      <c r="EL139" s="975"/>
      <c r="EM139" s="975"/>
      <c r="EN139" s="975"/>
      <c r="EO139" s="975"/>
      <c r="EP139" s="975"/>
      <c r="EQ139" s="975"/>
      <c r="ER139" s="975"/>
      <c r="ES139" s="975"/>
      <c r="ET139" s="975"/>
      <c r="EU139" s="975"/>
      <c r="EV139" s="975"/>
      <c r="EW139" s="975"/>
      <c r="EX139" s="975"/>
      <c r="EY139" s="975"/>
      <c r="EZ139" s="975"/>
      <c r="FA139" s="975"/>
      <c r="FB139" s="975"/>
      <c r="FC139" s="975"/>
      <c r="FD139" s="975"/>
      <c r="FE139" s="975"/>
      <c r="FF139" s="975"/>
      <c r="FG139" s="975"/>
      <c r="FH139" s="975"/>
      <c r="FI139" s="975"/>
      <c r="FJ139" s="975"/>
      <c r="FK139" s="975"/>
      <c r="FL139" s="975"/>
      <c r="FM139" s="975"/>
      <c r="FN139" s="975"/>
      <c r="FO139" s="975"/>
      <c r="FP139" s="975"/>
      <c r="FQ139" s="975"/>
      <c r="FR139" s="975"/>
      <c r="FS139" s="975"/>
      <c r="FT139" s="975"/>
      <c r="FU139" s="975"/>
      <c r="FV139" s="975"/>
      <c r="FW139" s="975"/>
      <c r="FX139" s="975"/>
      <c r="FY139" s="975"/>
      <c r="FZ139" s="975"/>
      <c r="GA139" s="975"/>
      <c r="GB139" s="975"/>
      <c r="GC139" s="975"/>
      <c r="GD139" s="975"/>
      <c r="GE139" s="975"/>
      <c r="GF139" s="975"/>
      <c r="GG139" s="975"/>
      <c r="GH139" s="975"/>
      <c r="GI139" s="975"/>
      <c r="GJ139" s="975"/>
      <c r="GK139" s="975"/>
      <c r="GL139" s="975"/>
      <c r="GM139" s="975"/>
      <c r="GN139" s="975"/>
      <c r="GO139" s="975"/>
      <c r="GP139" s="975"/>
      <c r="GQ139" s="975"/>
      <c r="GR139" s="975"/>
      <c r="GS139" s="975"/>
      <c r="GT139" s="975"/>
      <c r="GU139" s="975"/>
      <c r="GV139" s="975"/>
      <c r="GW139" s="975"/>
      <c r="GX139" s="975"/>
      <c r="GY139" s="975"/>
      <c r="GZ139" s="975"/>
      <c r="HA139" s="975"/>
      <c r="HB139" s="975"/>
      <c r="HC139" s="975"/>
      <c r="HD139" s="975"/>
      <c r="HE139" s="975"/>
      <c r="HF139" s="975"/>
      <c r="HG139" s="975"/>
      <c r="HH139" s="975"/>
      <c r="HI139" s="975"/>
      <c r="HJ139" s="975"/>
      <c r="HK139" s="975"/>
      <c r="HL139" s="975"/>
      <c r="HM139" s="975"/>
      <c r="HN139" s="975"/>
      <c r="HO139" s="975"/>
      <c r="HP139" s="975"/>
      <c r="HQ139" s="975"/>
      <c r="HR139" s="975"/>
      <c r="HS139" s="975"/>
      <c r="HT139" s="975"/>
      <c r="HU139" s="975"/>
      <c r="HV139" s="975"/>
      <c r="HW139" s="975"/>
      <c r="HX139" s="975"/>
      <c r="HY139" s="975"/>
      <c r="HZ139" s="975"/>
      <c r="IA139" s="975"/>
      <c r="IB139" s="975"/>
      <c r="IC139" s="975"/>
      <c r="ID139" s="975"/>
      <c r="IE139" s="975"/>
      <c r="IF139" s="975"/>
      <c r="IG139" s="975"/>
      <c r="IH139" s="975"/>
      <c r="II139" s="975"/>
      <c r="IJ139" s="975"/>
      <c r="IK139" s="975"/>
      <c r="IL139" s="975"/>
      <c r="IM139" s="975"/>
      <c r="IN139" s="975"/>
      <c r="IO139" s="975"/>
      <c r="IP139" s="975"/>
      <c r="IQ139" s="975"/>
      <c r="IR139" s="975"/>
      <c r="IS139" s="975"/>
      <c r="IT139" s="975"/>
      <c r="IU139" s="975"/>
      <c r="IV139" s="975"/>
      <c r="IW139" s="975"/>
      <c r="IX139" s="975"/>
      <c r="IY139" s="975"/>
      <c r="IZ139" s="975"/>
      <c r="JA139" s="975"/>
      <c r="JB139" s="975"/>
      <c r="JC139" s="975"/>
      <c r="JD139" s="975"/>
      <c r="JE139" s="975"/>
      <c r="JF139" s="975"/>
      <c r="JG139" s="975"/>
      <c r="JH139" s="975"/>
      <c r="JI139" s="975"/>
      <c r="JJ139" s="975"/>
      <c r="JK139" s="975"/>
      <c r="JL139" s="975"/>
      <c r="JM139" s="975"/>
      <c r="JN139" s="975"/>
      <c r="JO139" s="975"/>
      <c r="JP139" s="975"/>
      <c r="JQ139" s="975"/>
      <c r="JR139" s="975"/>
      <c r="JS139" s="975"/>
      <c r="JT139" s="975"/>
      <c r="JU139" s="975"/>
      <c r="JV139" s="975"/>
      <c r="JW139" s="975"/>
      <c r="JX139" s="975"/>
      <c r="JY139" s="975"/>
      <c r="JZ139" s="975"/>
      <c r="KA139" s="975"/>
      <c r="KB139" s="975"/>
      <c r="KC139" s="975"/>
      <c r="KD139" s="975"/>
      <c r="KE139" s="975"/>
      <c r="KF139" s="975"/>
      <c r="KG139" s="975"/>
      <c r="KH139" s="975"/>
      <c r="KI139" s="975"/>
      <c r="KJ139" s="975"/>
      <c r="KK139" s="975"/>
      <c r="KL139" s="975"/>
      <c r="KM139" s="975"/>
      <c r="KN139" s="975"/>
      <c r="KO139" s="975"/>
      <c r="KP139" s="975"/>
      <c r="KQ139" s="975"/>
      <c r="KR139" s="975"/>
      <c r="KS139" s="975"/>
      <c r="KT139" s="975"/>
      <c r="KU139" s="975"/>
      <c r="KV139" s="975"/>
      <c r="KW139" s="975"/>
      <c r="KX139" s="975"/>
      <c r="KY139" s="975"/>
      <c r="KZ139" s="975"/>
      <c r="LA139" s="975"/>
      <c r="LB139" s="975"/>
      <c r="LC139" s="975"/>
      <c r="LD139" s="975"/>
      <c r="LE139" s="975"/>
      <c r="LF139" s="975"/>
      <c r="LG139" s="976"/>
      <c r="LL139" s="9"/>
    </row>
    <row r="140" spans="2:325">
      <c r="B140" s="92" t="s">
        <v>77</v>
      </c>
      <c r="C140" s="171">
        <f t="shared" ref="C140:K140" si="381">SUM(C141:C183)</f>
        <v>3290.279</v>
      </c>
      <c r="D140" s="171">
        <f t="shared" si="381"/>
        <v>3290.279</v>
      </c>
      <c r="E140" s="171">
        <f t="shared" si="381"/>
        <v>4531.21</v>
      </c>
      <c r="F140" s="171">
        <f t="shared" si="381"/>
        <v>45897.286000000007</v>
      </c>
      <c r="G140" s="171">
        <f t="shared" si="381"/>
        <v>15002.334000000001</v>
      </c>
      <c r="H140" s="171">
        <f t="shared" si="381"/>
        <v>14.16</v>
      </c>
      <c r="I140" s="171">
        <f t="shared" si="381"/>
        <v>51710.042000000001</v>
      </c>
      <c r="J140" s="171">
        <f t="shared" si="381"/>
        <v>117155.03199999999</v>
      </c>
      <c r="K140" s="171">
        <f t="shared" si="381"/>
        <v>39274.743000000002</v>
      </c>
      <c r="L140" s="171"/>
      <c r="M140" s="171">
        <f t="shared" ref="M140:AB140" si="382">SUM(M141:M183)</f>
        <v>85020.714999999997</v>
      </c>
      <c r="N140" s="171">
        <f t="shared" si="382"/>
        <v>9350.4010000000017</v>
      </c>
      <c r="O140" s="171">
        <f t="shared" si="382"/>
        <v>138242.66299999997</v>
      </c>
      <c r="P140" s="171">
        <f t="shared" si="382"/>
        <v>33774.313000000002</v>
      </c>
      <c r="Q140" s="171">
        <f t="shared" si="382"/>
        <v>2121.366</v>
      </c>
      <c r="R140" s="171">
        <f t="shared" si="382"/>
        <v>82058.370999999999</v>
      </c>
      <c r="S140" s="171">
        <f t="shared" si="382"/>
        <v>3617.67</v>
      </c>
      <c r="T140" s="171">
        <f t="shared" si="382"/>
        <v>135171.46299999999</v>
      </c>
      <c r="U140" s="171">
        <f t="shared" si="382"/>
        <v>256743.18299999999</v>
      </c>
      <c r="V140" s="171">
        <f t="shared" si="382"/>
        <v>11973.716</v>
      </c>
      <c r="W140" s="171">
        <f t="shared" si="382"/>
        <v>220679.571</v>
      </c>
      <c r="X140" s="171">
        <f t="shared" si="382"/>
        <v>94339.471000000005</v>
      </c>
      <c r="Y140" s="171">
        <f t="shared" si="382"/>
        <v>22148.009000000002</v>
      </c>
      <c r="Z140" s="171">
        <f t="shared" si="382"/>
        <v>133464.11799999999</v>
      </c>
      <c r="AA140" s="171">
        <f t="shared" si="382"/>
        <v>482604.88499999989</v>
      </c>
      <c r="AB140" s="233">
        <f t="shared" si="382"/>
        <v>998036.0419999999</v>
      </c>
      <c r="AC140" s="171">
        <f>SUM(AC141:AC184)</f>
        <v>51072.152999999998</v>
      </c>
      <c r="AD140" s="240">
        <f t="shared" ref="AD140:CO140" si="383">SUM(AD141:AD184)</f>
        <v>13182.582999999999</v>
      </c>
      <c r="AE140" s="240">
        <f t="shared" si="383"/>
        <v>5665.3919999999998</v>
      </c>
      <c r="AF140" s="240">
        <f t="shared" si="383"/>
        <v>4076.9989999999998</v>
      </c>
      <c r="AG140" s="498">
        <f t="shared" si="383"/>
        <v>59578.484999999993</v>
      </c>
      <c r="AH140" s="197">
        <f>SUM(AH141:AH184)</f>
        <v>133575.61200000002</v>
      </c>
      <c r="AI140" s="171">
        <f t="shared" si="383"/>
        <v>94.58</v>
      </c>
      <c r="AJ140" s="240">
        <f t="shared" si="383"/>
        <v>7065.8249999999998</v>
      </c>
      <c r="AK140" s="240">
        <f t="shared" si="383"/>
        <v>3938.0450000000001</v>
      </c>
      <c r="AL140" s="240">
        <f t="shared" si="383"/>
        <v>49431.47</v>
      </c>
      <c r="AM140" s="498">
        <f t="shared" si="383"/>
        <v>200000</v>
      </c>
      <c r="AN140" s="197">
        <f t="shared" si="383"/>
        <v>260529.91999999998</v>
      </c>
      <c r="AO140" s="171">
        <f t="shared" si="383"/>
        <v>48864.373</v>
      </c>
      <c r="AP140" s="240">
        <f t="shared" si="383"/>
        <v>8335.8359999999993</v>
      </c>
      <c r="AQ140" s="240">
        <f t="shared" si="383"/>
        <v>1028.0640000000001</v>
      </c>
      <c r="AR140" s="240">
        <f t="shared" si="383"/>
        <v>26471.687999999998</v>
      </c>
      <c r="AS140" s="498">
        <f t="shared" si="383"/>
        <v>218635.54</v>
      </c>
      <c r="AT140" s="197">
        <f>SUM(AT141:AT184)</f>
        <v>303335.50099999999</v>
      </c>
      <c r="AU140" s="171">
        <f t="shared" si="383"/>
        <v>8870.277</v>
      </c>
      <c r="AV140" s="240">
        <f t="shared" si="383"/>
        <v>2142.8809999999999</v>
      </c>
      <c r="AW140" s="240">
        <f t="shared" si="383"/>
        <v>8401.1230000000014</v>
      </c>
      <c r="AX140" s="240">
        <f t="shared" si="383"/>
        <v>7462.0640000000003</v>
      </c>
      <c r="AY140" s="498">
        <f t="shared" si="383"/>
        <v>142303.55100000001</v>
      </c>
      <c r="AZ140" s="197">
        <f t="shared" si="383"/>
        <v>169179.89600000001</v>
      </c>
      <c r="BA140" s="233">
        <f t="shared" si="383"/>
        <v>866620.929</v>
      </c>
      <c r="BB140" s="171">
        <f t="shared" si="383"/>
        <v>145198.95300000004</v>
      </c>
      <c r="BC140" s="240">
        <f t="shared" si="383"/>
        <v>729244.29099999997</v>
      </c>
      <c r="BD140" s="240">
        <f t="shared" si="383"/>
        <v>62338.618000000002</v>
      </c>
      <c r="BE140" s="240">
        <f t="shared" si="383"/>
        <v>270.673</v>
      </c>
      <c r="BF140" s="498">
        <f t="shared" si="383"/>
        <v>15820.124000000002</v>
      </c>
      <c r="BG140" s="197">
        <f t="shared" si="383"/>
        <v>952872.65899999999</v>
      </c>
      <c r="BH140" s="171">
        <f t="shared" si="383"/>
        <v>220082.03900000002</v>
      </c>
      <c r="BI140" s="240">
        <f t="shared" si="383"/>
        <v>3269.0419999999999</v>
      </c>
      <c r="BJ140" s="240">
        <f t="shared" si="383"/>
        <v>4884.8339999999998</v>
      </c>
      <c r="BK140" s="240">
        <f t="shared" si="383"/>
        <v>10781.127</v>
      </c>
      <c r="BL140" s="498">
        <f t="shared" si="383"/>
        <v>24738.832999999999</v>
      </c>
      <c r="BM140" s="197">
        <f t="shared" si="383"/>
        <v>263755.875</v>
      </c>
      <c r="BN140" s="171">
        <f t="shared" si="383"/>
        <v>9468.875</v>
      </c>
      <c r="BO140" s="240">
        <f t="shared" si="383"/>
        <v>4940.2400000000007</v>
      </c>
      <c r="BP140" s="240">
        <f t="shared" si="383"/>
        <v>4855.3820000000005</v>
      </c>
      <c r="BQ140" s="498">
        <f t="shared" si="383"/>
        <v>17826.957000000002</v>
      </c>
      <c r="BR140" s="197">
        <f t="shared" si="383"/>
        <v>37091.454000000005</v>
      </c>
      <c r="BS140" s="171">
        <f t="shared" si="383"/>
        <v>4971.6570000000002</v>
      </c>
      <c r="BT140" s="240">
        <f t="shared" si="383"/>
        <v>791.423</v>
      </c>
      <c r="BU140" s="240">
        <f t="shared" si="383"/>
        <v>50136.05</v>
      </c>
      <c r="BV140" s="240">
        <f t="shared" si="383"/>
        <v>8116.183</v>
      </c>
      <c r="BW140" s="498">
        <f t="shared" si="383"/>
        <v>100956.86500000001</v>
      </c>
      <c r="BX140" s="197">
        <f t="shared" si="383"/>
        <v>164972.17800000001</v>
      </c>
      <c r="BY140" s="171">
        <f>SUM(BY141:BY184)</f>
        <v>22961.520999999997</v>
      </c>
      <c r="BZ140" s="240">
        <f>SUM(BZ141:BZ184)</f>
        <v>93185.990999999995</v>
      </c>
      <c r="CA140" s="197">
        <f t="shared" si="383"/>
        <v>116147.512</v>
      </c>
      <c r="CB140" s="233">
        <f t="shared" si="383"/>
        <v>1534839.6779999996</v>
      </c>
      <c r="CC140" s="171">
        <f t="shared" si="383"/>
        <v>50767.508999999998</v>
      </c>
      <c r="CD140" s="240">
        <f t="shared" si="383"/>
        <v>8141.655999999999</v>
      </c>
      <c r="CE140" s="240">
        <f t="shared" si="383"/>
        <v>68664.842000000004</v>
      </c>
      <c r="CF140" s="197">
        <f t="shared" si="383"/>
        <v>127574.00700000001</v>
      </c>
      <c r="CG140" s="171">
        <f t="shared" si="383"/>
        <v>53075.124000000011</v>
      </c>
      <c r="CH140" s="240">
        <f t="shared" si="383"/>
        <v>327.36</v>
      </c>
      <c r="CI140" s="240">
        <f t="shared" si="383"/>
        <v>1109.3530000000001</v>
      </c>
      <c r="CJ140" s="498">
        <f t="shared" si="383"/>
        <v>17204.522000000001</v>
      </c>
      <c r="CK140" s="197">
        <f t="shared" si="383"/>
        <v>71716.359000000011</v>
      </c>
      <c r="CL140" s="171">
        <f t="shared" si="383"/>
        <v>68616.228000000003</v>
      </c>
      <c r="CM140" s="240">
        <f t="shared" si="383"/>
        <v>633965.89300000004</v>
      </c>
      <c r="CN140" s="240">
        <f t="shared" si="383"/>
        <v>7367.8510000000006</v>
      </c>
      <c r="CO140" s="240">
        <f t="shared" si="383"/>
        <v>85629.075999999972</v>
      </c>
      <c r="CP140" s="498">
        <f t="shared" ref="CP140:FB140" si="384">SUM(CP141:CP184)</f>
        <v>7993.6</v>
      </c>
      <c r="CQ140" s="197">
        <f t="shared" si="384"/>
        <v>803572.64800000016</v>
      </c>
      <c r="CR140" s="171">
        <f t="shared" si="384"/>
        <v>13970.307000000001</v>
      </c>
      <c r="CS140" s="240">
        <f t="shared" si="384"/>
        <v>22082.308000000005</v>
      </c>
      <c r="CT140" s="240">
        <f t="shared" si="384"/>
        <v>209.94399999999999</v>
      </c>
      <c r="CU140" s="240">
        <f t="shared" si="384"/>
        <v>5187.415</v>
      </c>
      <c r="CV140" s="498">
        <f t="shared" si="384"/>
        <v>902.34299999999996</v>
      </c>
      <c r="CW140" s="197">
        <f t="shared" si="384"/>
        <v>42352.317000000003</v>
      </c>
      <c r="CX140" s="171">
        <f t="shared" si="384"/>
        <v>5627.4549999999999</v>
      </c>
      <c r="CY140" s="240">
        <f>SUM(CY141:CY184)</f>
        <v>9750.103000000001</v>
      </c>
      <c r="CZ140" s="240">
        <f t="shared" si="384"/>
        <v>933.54399999999998</v>
      </c>
      <c r="DA140" s="498">
        <f t="shared" si="384"/>
        <v>181294.666</v>
      </c>
      <c r="DB140" s="197">
        <f t="shared" si="384"/>
        <v>197605.76800000001</v>
      </c>
      <c r="DC140" s="233">
        <f t="shared" si="384"/>
        <v>1242821.0990000004</v>
      </c>
      <c r="DD140" s="171">
        <f t="shared" si="384"/>
        <v>37856.623000000007</v>
      </c>
      <c r="DE140" s="240">
        <f t="shared" si="384"/>
        <v>76379.457999999999</v>
      </c>
      <c r="DF140" s="240">
        <f t="shared" si="384"/>
        <v>13368.634</v>
      </c>
      <c r="DG140" s="240">
        <f t="shared" si="384"/>
        <v>3870.422</v>
      </c>
      <c r="DH140" s="240">
        <f t="shared" si="384"/>
        <v>196.58400000000003</v>
      </c>
      <c r="DI140" s="197">
        <f t="shared" si="384"/>
        <v>131671.72100000005</v>
      </c>
      <c r="DJ140" s="171">
        <f t="shared" si="384"/>
        <v>35915.833999999995</v>
      </c>
      <c r="DK140" s="240">
        <f t="shared" si="384"/>
        <v>6278.1080000000002</v>
      </c>
      <c r="DL140" s="240">
        <f t="shared" si="384"/>
        <v>3652.2719999999999</v>
      </c>
      <c r="DM140" s="240">
        <f t="shared" si="384"/>
        <v>4307.4459999999999</v>
      </c>
      <c r="DN140" s="498">
        <f t="shared" si="384"/>
        <v>47517.589</v>
      </c>
      <c r="DO140" s="197">
        <f t="shared" si="384"/>
        <v>97671.249000000011</v>
      </c>
      <c r="DP140" s="171">
        <f t="shared" si="384"/>
        <v>13527.253999999999</v>
      </c>
      <c r="DQ140" s="240">
        <f t="shared" si="384"/>
        <v>202056.03599999999</v>
      </c>
      <c r="DR140" s="240">
        <f t="shared" si="384"/>
        <v>2852.7280000000001</v>
      </c>
      <c r="DS140" s="240">
        <f t="shared" si="384"/>
        <v>14335.824999999999</v>
      </c>
      <c r="DT140" s="498">
        <f t="shared" si="384"/>
        <v>30769.877</v>
      </c>
      <c r="DU140" s="197">
        <f t="shared" si="384"/>
        <v>263541.71999999997</v>
      </c>
      <c r="DV140" s="171">
        <f t="shared" si="384"/>
        <v>3769.2370000000001</v>
      </c>
      <c r="DW140" s="240">
        <f t="shared" si="384"/>
        <v>8825.8950000000004</v>
      </c>
      <c r="DX140" s="240">
        <f t="shared" si="384"/>
        <v>11394.771999999999</v>
      </c>
      <c r="DY140" s="240">
        <f t="shared" si="384"/>
        <v>4301.6339999999991</v>
      </c>
      <c r="DZ140" s="498">
        <f t="shared" si="384"/>
        <v>11310.040999999999</v>
      </c>
      <c r="EA140" s="197">
        <f t="shared" si="384"/>
        <v>39601.578999999998</v>
      </c>
      <c r="EB140" s="233">
        <f t="shared" si="384"/>
        <v>532486.26900000009</v>
      </c>
      <c r="EC140" s="171">
        <f t="shared" si="384"/>
        <v>85614.006999999998</v>
      </c>
      <c r="ED140" s="240">
        <f t="shared" si="384"/>
        <v>1275.922</v>
      </c>
      <c r="EE140" s="240">
        <f t="shared" si="384"/>
        <v>84814.641999999905</v>
      </c>
      <c r="EF140" s="240">
        <f t="shared" si="384"/>
        <v>262.84500000000003</v>
      </c>
      <c r="EG140" s="498">
        <f t="shared" si="384"/>
        <v>33298.617000000006</v>
      </c>
      <c r="EH140" s="171">
        <f t="shared" si="384"/>
        <v>205266.03299999991</v>
      </c>
      <c r="EI140" s="171">
        <f t="shared" si="384"/>
        <v>4908.0000000000009</v>
      </c>
      <c r="EJ140" s="240">
        <f t="shared" si="384"/>
        <v>12883.458000000002</v>
      </c>
      <c r="EK140" s="240">
        <f t="shared" si="384"/>
        <v>8815.2869999999984</v>
      </c>
      <c r="EL140" s="240">
        <f t="shared" si="384"/>
        <v>702.6</v>
      </c>
      <c r="EM140" s="498">
        <f t="shared" si="384"/>
        <v>30825.971999999998</v>
      </c>
      <c r="EN140" s="197">
        <f t="shared" si="384"/>
        <v>58135.317000000003</v>
      </c>
      <c r="EO140" s="171">
        <f t="shared" si="384"/>
        <v>20240.642</v>
      </c>
      <c r="EP140" s="240">
        <f t="shared" si="384"/>
        <v>5403.4979999999996</v>
      </c>
      <c r="EQ140" s="240">
        <f t="shared" si="384"/>
        <v>1352.6979999999999</v>
      </c>
      <c r="ER140" s="240">
        <f t="shared" si="384"/>
        <v>8208.4290000000001</v>
      </c>
      <c r="ES140" s="498">
        <f t="shared" si="384"/>
        <v>4862.942</v>
      </c>
      <c r="ET140" s="171">
        <f t="shared" si="384"/>
        <v>40068.209000000003</v>
      </c>
      <c r="EU140" s="171">
        <f t="shared" si="384"/>
        <v>9559.5949999999993</v>
      </c>
      <c r="EV140" s="240">
        <f t="shared" si="384"/>
        <v>11392.934999999999</v>
      </c>
      <c r="EW140" s="240">
        <f t="shared" si="384"/>
        <v>1163.9770000000001</v>
      </c>
      <c r="EX140" s="240">
        <f t="shared" si="384"/>
        <v>1793.001</v>
      </c>
      <c r="EY140" s="240">
        <f t="shared" si="384"/>
        <v>-141855.53399999999</v>
      </c>
      <c r="EZ140" s="240">
        <f>SUM(EZ141:EZ184)</f>
        <v>151484.89799999999</v>
      </c>
      <c r="FA140" s="498">
        <f t="shared" si="384"/>
        <v>137587.424</v>
      </c>
      <c r="FB140" s="197">
        <f t="shared" si="384"/>
        <v>171126.29600000009</v>
      </c>
      <c r="FC140" s="233">
        <f t="shared" ref="FC140:HP140" si="385">SUM(FC141:FC184)</f>
        <v>474595.85499999998</v>
      </c>
      <c r="FD140" s="171">
        <f t="shared" si="385"/>
        <v>60396.357000000004</v>
      </c>
      <c r="FE140" s="240">
        <f t="shared" si="385"/>
        <v>3637.2530000000002</v>
      </c>
      <c r="FF140" s="498">
        <f t="shared" si="385"/>
        <v>25156.94</v>
      </c>
      <c r="FG140" s="197">
        <f t="shared" si="385"/>
        <v>89190.55</v>
      </c>
      <c r="FH140" s="171">
        <f t="shared" si="385"/>
        <v>42022.612000000001</v>
      </c>
      <c r="FI140" s="240">
        <f t="shared" si="385"/>
        <v>403.54</v>
      </c>
      <c r="FJ140" s="240">
        <f t="shared" si="385"/>
        <v>0</v>
      </c>
      <c r="FK140" s="240">
        <f t="shared" si="385"/>
        <v>101795.32100000005</v>
      </c>
      <c r="FL140" s="498">
        <f t="shared" si="385"/>
        <v>39203.424000000006</v>
      </c>
      <c r="FM140" s="197">
        <f t="shared" si="385"/>
        <v>183424.89700000003</v>
      </c>
      <c r="FN140" s="171">
        <f t="shared" si="385"/>
        <v>260039.45600000001</v>
      </c>
      <c r="FO140" s="240">
        <f t="shared" si="385"/>
        <v>7632.8689999999997</v>
      </c>
      <c r="FP140" s="240">
        <f t="shared" si="385"/>
        <v>171658.30200000003</v>
      </c>
      <c r="FQ140" s="240">
        <f t="shared" si="385"/>
        <v>37474.573000000004</v>
      </c>
      <c r="FR140" s="197">
        <f t="shared" si="385"/>
        <v>476805.1999999999</v>
      </c>
      <c r="FS140" s="171">
        <f t="shared" si="385"/>
        <v>41249.962999999996</v>
      </c>
      <c r="FT140" s="240">
        <f t="shared" si="385"/>
        <v>2521.16</v>
      </c>
      <c r="FU140" s="240">
        <f t="shared" si="385"/>
        <v>7101.8609999999999</v>
      </c>
      <c r="FV140" s="240">
        <f t="shared" si="385"/>
        <v>71059.256999999998</v>
      </c>
      <c r="FW140" s="498">
        <f t="shared" si="385"/>
        <v>2677.4930000000004</v>
      </c>
      <c r="FX140" s="197">
        <f t="shared" si="385"/>
        <v>124609.73399999997</v>
      </c>
      <c r="FY140" s="171">
        <f t="shared" ref="FY140:GD140" si="386">SUM(FY141:FY184)</f>
        <v>3374.1329999999998</v>
      </c>
      <c r="FZ140" s="240">
        <f t="shared" si="386"/>
        <v>1814.5989999999999</v>
      </c>
      <c r="GA140" s="240">
        <f t="shared" si="386"/>
        <v>10707.46</v>
      </c>
      <c r="GB140" s="240">
        <f t="shared" si="386"/>
        <v>138633.57999999999</v>
      </c>
      <c r="GC140" s="498">
        <f t="shared" si="386"/>
        <v>56398.006999999998</v>
      </c>
      <c r="GD140" s="197">
        <f t="shared" si="386"/>
        <v>210927.77899999998</v>
      </c>
      <c r="GE140" s="233">
        <f t="shared" si="385"/>
        <v>1084958.1600000006</v>
      </c>
      <c r="GF140" s="171">
        <f t="shared" si="385"/>
        <v>9158.2880000000005</v>
      </c>
      <c r="GG140" s="240">
        <f t="shared" si="385"/>
        <v>14738.56</v>
      </c>
      <c r="GH140" s="240">
        <f t="shared" si="385"/>
        <v>15599.169000000002</v>
      </c>
      <c r="GI140" s="240">
        <f t="shared" si="385"/>
        <v>32288.845000000001</v>
      </c>
      <c r="GJ140" s="240">
        <f t="shared" si="385"/>
        <v>8649.9580000000005</v>
      </c>
      <c r="GK140" s="197">
        <f t="shared" si="385"/>
        <v>80434.819999999992</v>
      </c>
      <c r="GL140" s="171">
        <f t="shared" si="385"/>
        <v>2379.6309999999999</v>
      </c>
      <c r="GM140" s="240">
        <f t="shared" si="385"/>
        <v>462.33600000000001</v>
      </c>
      <c r="GN140" s="240">
        <f t="shared" si="385"/>
        <v>5564.0039999999999</v>
      </c>
      <c r="GO140" s="498">
        <f t="shared" si="385"/>
        <v>5904.1940000000004</v>
      </c>
      <c r="GP140" s="197">
        <f t="shared" si="385"/>
        <v>14310.165000000001</v>
      </c>
      <c r="GQ140" s="171">
        <f t="shared" si="385"/>
        <v>2543.3000000000002</v>
      </c>
      <c r="GR140" s="240">
        <f t="shared" si="385"/>
        <v>12793.221</v>
      </c>
      <c r="GS140" s="240">
        <f t="shared" si="385"/>
        <v>21888.748</v>
      </c>
      <c r="GT140" s="240">
        <f t="shared" si="385"/>
        <v>6952.2610000000004</v>
      </c>
      <c r="GU140" s="498">
        <f t="shared" si="385"/>
        <v>2345.9499999999998</v>
      </c>
      <c r="GV140" s="197">
        <f t="shared" si="385"/>
        <v>46523.479999999996</v>
      </c>
      <c r="GW140" s="171">
        <f t="shared" si="385"/>
        <v>3661.31</v>
      </c>
      <c r="GX140" s="240">
        <f t="shared" si="385"/>
        <v>152323.34199999998</v>
      </c>
      <c r="GY140" s="240">
        <f t="shared" si="385"/>
        <v>3801.3739999999998</v>
      </c>
      <c r="GZ140" s="240"/>
      <c r="HA140" s="240">
        <f t="shared" si="385"/>
        <v>69004.133999999991</v>
      </c>
      <c r="HB140" s="498">
        <f t="shared" si="385"/>
        <v>30343.667000000001</v>
      </c>
      <c r="HC140" s="197">
        <f t="shared" si="385"/>
        <v>259289.18100000001</v>
      </c>
      <c r="HD140" s="233">
        <f t="shared" si="385"/>
        <v>400557.64600000012</v>
      </c>
      <c r="HE140" s="171">
        <f t="shared" si="385"/>
        <v>79283.677999999985</v>
      </c>
      <c r="HF140" s="240">
        <f t="shared" si="385"/>
        <v>2151.4640000000004</v>
      </c>
      <c r="HG140" s="240">
        <f t="shared" si="385"/>
        <v>18312.403999999999</v>
      </c>
      <c r="HH140" s="240">
        <f t="shared" si="385"/>
        <v>13340.996999999999</v>
      </c>
      <c r="HI140" s="197">
        <f t="shared" si="385"/>
        <v>113088.54299999999</v>
      </c>
      <c r="HJ140" s="171">
        <f t="shared" si="385"/>
        <v>12707.475999999999</v>
      </c>
      <c r="HK140" s="240">
        <f t="shared" si="385"/>
        <v>2737.7020000000002</v>
      </c>
      <c r="HL140" s="240">
        <f t="shared" si="385"/>
        <v>9053.643</v>
      </c>
      <c r="HM140" s="240">
        <f t="shared" si="385"/>
        <v>21319.411999999997</v>
      </c>
      <c r="HN140" s="498">
        <f t="shared" si="385"/>
        <v>7724.2089999999998</v>
      </c>
      <c r="HO140" s="197">
        <f t="shared" si="385"/>
        <v>53542.44200000001</v>
      </c>
      <c r="HP140" s="171">
        <f t="shared" si="385"/>
        <v>53831.681999999993</v>
      </c>
      <c r="HQ140" s="240">
        <f t="shared" ref="HQ140:JY140" si="387">SUM(HQ141:HQ184)</f>
        <v>81978.611999999994</v>
      </c>
      <c r="HR140" s="240">
        <f t="shared" si="387"/>
        <v>993.24099999999999</v>
      </c>
      <c r="HS140" s="240">
        <f t="shared" si="387"/>
        <v>12683.198</v>
      </c>
      <c r="HT140" s="498">
        <f t="shared" si="387"/>
        <v>36064.335999999996</v>
      </c>
      <c r="HU140" s="197">
        <f t="shared" si="387"/>
        <v>185551.06899999999</v>
      </c>
      <c r="HV140" s="171">
        <f t="shared" si="387"/>
        <v>6078.64</v>
      </c>
      <c r="HW140" s="240">
        <f t="shared" si="387"/>
        <v>19158.374</v>
      </c>
      <c r="HX140" s="240">
        <f t="shared" si="387"/>
        <v>5393.8779999999997</v>
      </c>
      <c r="HY140" s="197">
        <f t="shared" si="387"/>
        <v>30630.892000000003</v>
      </c>
      <c r="HZ140" s="171">
        <f t="shared" si="387"/>
        <v>1997.1840000000002</v>
      </c>
      <c r="IA140" s="240">
        <f>SUM(IA141:IA184)</f>
        <v>10.029999999999999</v>
      </c>
      <c r="IB140" s="498">
        <f>SUM(IB141:IB184)</f>
        <v>189661.13999999996</v>
      </c>
      <c r="IC140" s="197">
        <f t="shared" si="387"/>
        <v>191668.35399999996</v>
      </c>
      <c r="ID140" s="233">
        <f t="shared" si="387"/>
        <v>574481.29999999993</v>
      </c>
      <c r="IE140" s="171">
        <f t="shared" si="387"/>
        <v>26939.551000000003</v>
      </c>
      <c r="IF140" s="498">
        <f t="shared" si="387"/>
        <v>7811.7080000000014</v>
      </c>
      <c r="IG140" s="197">
        <f t="shared" si="387"/>
        <v>34751.259000000005</v>
      </c>
      <c r="IH140" s="171">
        <f t="shared" si="387"/>
        <v>48098.256000000001</v>
      </c>
      <c r="II140" s="240">
        <f t="shared" si="387"/>
        <v>2254.4490000000001</v>
      </c>
      <c r="IJ140" s="240">
        <f t="shared" si="387"/>
        <v>6259.8919999999998</v>
      </c>
      <c r="IK140" s="240">
        <f t="shared" si="387"/>
        <v>70425.433999999994</v>
      </c>
      <c r="IL140" s="498">
        <f t="shared" si="387"/>
        <v>2952.2759999999998</v>
      </c>
      <c r="IM140" s="197">
        <f t="shared" si="387"/>
        <v>129990.307</v>
      </c>
      <c r="IN140" s="171">
        <f t="shared" si="387"/>
        <v>37367.899999999994</v>
      </c>
      <c r="IO140" s="240">
        <f t="shared" si="387"/>
        <v>361054.011</v>
      </c>
      <c r="IP140" s="498">
        <f t="shared" si="387"/>
        <v>47865.128999999994</v>
      </c>
      <c r="IQ140" s="197">
        <f t="shared" si="387"/>
        <v>446287.0400000001</v>
      </c>
      <c r="IR140" s="171">
        <f t="shared" si="387"/>
        <v>32574.771000000001</v>
      </c>
      <c r="IS140" s="240">
        <f t="shared" si="387"/>
        <v>19293.2</v>
      </c>
      <c r="IT140" s="240">
        <f t="shared" si="387"/>
        <v>2518.2409999999995</v>
      </c>
      <c r="IU140" s="240">
        <f t="shared" si="387"/>
        <v>1216.9859999999999</v>
      </c>
      <c r="IV140" s="498">
        <f t="shared" si="387"/>
        <v>38379.008000000002</v>
      </c>
      <c r="IW140" s="197">
        <f t="shared" si="387"/>
        <v>93982.205999999991</v>
      </c>
      <c r="IX140" s="171">
        <f t="shared" si="387"/>
        <v>4830.5529999999999</v>
      </c>
      <c r="IY140" s="240">
        <f t="shared" si="387"/>
        <v>254788.65099999998</v>
      </c>
      <c r="IZ140" s="240">
        <f t="shared" si="387"/>
        <v>77127.118999999992</v>
      </c>
      <c r="JA140" s="240">
        <f t="shared" si="387"/>
        <v>77328.35500000001</v>
      </c>
      <c r="JB140" s="498">
        <f t="shared" si="387"/>
        <v>130168.05900000001</v>
      </c>
      <c r="JC140" s="197">
        <f t="shared" si="387"/>
        <v>544242.73700000008</v>
      </c>
      <c r="JD140" s="233">
        <f t="shared" si="387"/>
        <v>1249253.5489999999</v>
      </c>
      <c r="JE140" s="171">
        <f t="shared" si="387"/>
        <v>7497.8450000000003</v>
      </c>
      <c r="JF140" s="240">
        <f t="shared" si="387"/>
        <v>16142.731999999998</v>
      </c>
      <c r="JG140" s="240">
        <f t="shared" si="387"/>
        <v>19042.023999999998</v>
      </c>
      <c r="JH140" s="240">
        <f t="shared" si="387"/>
        <v>279331.614</v>
      </c>
      <c r="JI140" s="498">
        <f t="shared" si="387"/>
        <v>7303.6320000000005</v>
      </c>
      <c r="JJ140" s="197">
        <f t="shared" si="387"/>
        <v>329317.84700000001</v>
      </c>
      <c r="JK140" s="428">
        <f t="shared" si="387"/>
        <v>0</v>
      </c>
      <c r="JL140" s="429">
        <f t="shared" si="387"/>
        <v>0</v>
      </c>
      <c r="JM140" s="429">
        <f t="shared" si="387"/>
        <v>0</v>
      </c>
      <c r="JN140" s="429">
        <f t="shared" si="387"/>
        <v>0</v>
      </c>
      <c r="JO140" s="430">
        <f t="shared" si="387"/>
        <v>0</v>
      </c>
      <c r="JP140" s="147">
        <f t="shared" si="387"/>
        <v>0</v>
      </c>
      <c r="JQ140" s="428">
        <f t="shared" si="387"/>
        <v>0</v>
      </c>
      <c r="JR140" s="429">
        <f t="shared" si="387"/>
        <v>0</v>
      </c>
      <c r="JS140" s="429">
        <f t="shared" si="387"/>
        <v>0</v>
      </c>
      <c r="JT140" s="429">
        <f t="shared" si="387"/>
        <v>0</v>
      </c>
      <c r="JU140" s="430">
        <f t="shared" si="387"/>
        <v>0</v>
      </c>
      <c r="JV140" s="147">
        <f t="shared" si="387"/>
        <v>0</v>
      </c>
      <c r="JW140" s="428">
        <f t="shared" si="387"/>
        <v>0</v>
      </c>
      <c r="JX140" s="429">
        <f t="shared" si="387"/>
        <v>0</v>
      </c>
      <c r="JY140" s="429">
        <f t="shared" si="387"/>
        <v>0</v>
      </c>
      <c r="JZ140" s="429">
        <f t="shared" ref="JZ140:LG140" si="388">SUM(JZ141:JZ184)</f>
        <v>0</v>
      </c>
      <c r="KA140" s="429"/>
      <c r="KB140" s="430">
        <f t="shared" si="388"/>
        <v>0</v>
      </c>
      <c r="KC140" s="147">
        <f t="shared" si="388"/>
        <v>0</v>
      </c>
      <c r="KD140" s="147">
        <f t="shared" si="388"/>
        <v>730912.47100000002</v>
      </c>
      <c r="KE140" s="428">
        <f t="shared" si="388"/>
        <v>0</v>
      </c>
      <c r="KF140" s="429">
        <f t="shared" si="388"/>
        <v>0</v>
      </c>
      <c r="KG140" s="429">
        <f t="shared" si="388"/>
        <v>0</v>
      </c>
      <c r="KH140" s="429">
        <f t="shared" si="388"/>
        <v>0</v>
      </c>
      <c r="KI140" s="430">
        <f t="shared" si="388"/>
        <v>0</v>
      </c>
      <c r="KJ140" s="147">
        <f t="shared" si="388"/>
        <v>0</v>
      </c>
      <c r="KK140" s="428">
        <f t="shared" si="388"/>
        <v>0</v>
      </c>
      <c r="KL140" s="429">
        <f t="shared" si="388"/>
        <v>0</v>
      </c>
      <c r="KM140" s="429">
        <f t="shared" si="388"/>
        <v>0</v>
      </c>
      <c r="KN140" s="429">
        <f t="shared" si="388"/>
        <v>0</v>
      </c>
      <c r="KO140" s="430">
        <f t="shared" si="388"/>
        <v>0</v>
      </c>
      <c r="KP140" s="147">
        <f t="shared" si="388"/>
        <v>0</v>
      </c>
      <c r="KQ140" s="428">
        <f t="shared" si="388"/>
        <v>0</v>
      </c>
      <c r="KR140" s="429">
        <f t="shared" si="388"/>
        <v>0</v>
      </c>
      <c r="KS140" s="429">
        <f t="shared" si="388"/>
        <v>0</v>
      </c>
      <c r="KT140" s="429">
        <f t="shared" si="388"/>
        <v>0</v>
      </c>
      <c r="KU140" s="430">
        <f t="shared" si="388"/>
        <v>0</v>
      </c>
      <c r="KV140" s="147">
        <f t="shared" si="388"/>
        <v>0</v>
      </c>
      <c r="KW140" s="428">
        <f t="shared" si="388"/>
        <v>0</v>
      </c>
      <c r="KX140" s="429">
        <f t="shared" si="388"/>
        <v>0</v>
      </c>
      <c r="KY140" s="429">
        <f t="shared" si="388"/>
        <v>0</v>
      </c>
      <c r="KZ140" s="429">
        <f t="shared" si="388"/>
        <v>0</v>
      </c>
      <c r="LA140" s="430">
        <f t="shared" si="388"/>
        <v>0</v>
      </c>
      <c r="LB140" s="147">
        <f t="shared" si="388"/>
        <v>0</v>
      </c>
      <c r="LC140" s="428">
        <f t="shared" si="388"/>
        <v>0</v>
      </c>
      <c r="LD140" s="429">
        <f t="shared" si="388"/>
        <v>0</v>
      </c>
      <c r="LE140" s="430">
        <f t="shared" si="388"/>
        <v>0</v>
      </c>
      <c r="LF140" s="147">
        <f t="shared" si="388"/>
        <v>0</v>
      </c>
      <c r="LG140" s="147">
        <f t="shared" si="388"/>
        <v>423637.58299999998</v>
      </c>
    </row>
    <row r="141" spans="2:325" s="206" customFormat="1">
      <c r="B141" s="203" t="s">
        <v>98</v>
      </c>
      <c r="C141" s="203"/>
      <c r="D141" s="202">
        <f t="shared" ref="D141:D165" si="389">SUM(C141:C141)</f>
        <v>0</v>
      </c>
      <c r="E141" s="203"/>
      <c r="F141" s="205"/>
      <c r="G141" s="205"/>
      <c r="H141" s="205"/>
      <c r="I141" s="204"/>
      <c r="J141" s="202">
        <f>SUM(E141:I141)</f>
        <v>0</v>
      </c>
      <c r="K141" s="203"/>
      <c r="L141" s="205"/>
      <c r="M141" s="205"/>
      <c r="N141" s="204"/>
      <c r="O141" s="202">
        <f>SUM(K141:N141)</f>
        <v>0</v>
      </c>
      <c r="P141" s="203"/>
      <c r="Q141" s="205"/>
      <c r="R141" s="205"/>
      <c r="S141" s="205"/>
      <c r="T141" s="204"/>
      <c r="U141" s="202">
        <f>SUM(P141:T141)</f>
        <v>0</v>
      </c>
      <c r="V141" s="203"/>
      <c r="W141" s="205"/>
      <c r="X141" s="205"/>
      <c r="Y141" s="205"/>
      <c r="Z141" s="205"/>
      <c r="AA141" s="208">
        <f>SUM(V141:Z141)</f>
        <v>0</v>
      </c>
      <c r="AB141" s="208">
        <f>AA141+U141+O141+J141+D141</f>
        <v>0</v>
      </c>
      <c r="AC141" s="203"/>
      <c r="AD141" s="205"/>
      <c r="AE141" s="205"/>
      <c r="AF141" s="205"/>
      <c r="AG141" s="204"/>
      <c r="AH141" s="208">
        <f>SUM(AC141:AG141)</f>
        <v>0</v>
      </c>
      <c r="AI141" s="203"/>
      <c r="AJ141" s="205"/>
      <c r="AK141" s="205"/>
      <c r="AL141" s="205"/>
      <c r="AM141" s="204"/>
      <c r="AN141" s="208">
        <f>SUM(AI141:AM141)</f>
        <v>0</v>
      </c>
      <c r="AO141" s="203"/>
      <c r="AP141" s="205"/>
      <c r="AQ141" s="205"/>
      <c r="AR141" s="205"/>
      <c r="AS141" s="204"/>
      <c r="AT141" s="208">
        <f>SUM(AO141:AS141)</f>
        <v>0</v>
      </c>
      <c r="AU141" s="203"/>
      <c r="AV141" s="205"/>
      <c r="AW141" s="205"/>
      <c r="AX141" s="205"/>
      <c r="AY141" s="204"/>
      <c r="AZ141" s="208">
        <f>SUM(AU141:AY141)</f>
        <v>0</v>
      </c>
      <c r="BA141" s="208">
        <f>AZ141+AT141+AN141+AH141</f>
        <v>0</v>
      </c>
      <c r="BB141" s="203"/>
      <c r="BC141" s="205"/>
      <c r="BD141" s="205"/>
      <c r="BE141" s="205"/>
      <c r="BF141" s="204"/>
      <c r="BG141" s="208">
        <f>SUM(BB141:BF141)</f>
        <v>0</v>
      </c>
      <c r="BH141" s="203"/>
      <c r="BI141" s="205"/>
      <c r="BJ141" s="205"/>
      <c r="BK141" s="205"/>
      <c r="BL141" s="204"/>
      <c r="BM141" s="208">
        <f>SUM(BH141:BL141)</f>
        <v>0</v>
      </c>
      <c r="BN141" s="203"/>
      <c r="BO141" s="205"/>
      <c r="BP141" s="205"/>
      <c r="BQ141" s="204"/>
      <c r="BR141" s="208">
        <f>SUM(BN141:BQ141)</f>
        <v>0</v>
      </c>
      <c r="BS141" s="203"/>
      <c r="BT141" s="205"/>
      <c r="BU141" s="205"/>
      <c r="BV141" s="205"/>
      <c r="BW141" s="204"/>
      <c r="BX141" s="208">
        <f t="shared" ref="BX141:BX183" si="390">SUM(BS141:BW141)</f>
        <v>0</v>
      </c>
      <c r="BY141" s="203"/>
      <c r="BZ141" s="205"/>
      <c r="CA141" s="208">
        <f>SUM(BY141:BZ141)</f>
        <v>0</v>
      </c>
      <c r="CB141" s="208">
        <f>CA141+BX141+BR141+BM141+BG141</f>
        <v>0</v>
      </c>
      <c r="CC141" s="203"/>
      <c r="CD141" s="205"/>
      <c r="CE141" s="205"/>
      <c r="CF141" s="208">
        <f>SUM(CC141:CE141)</f>
        <v>0</v>
      </c>
      <c r="CG141" s="203"/>
      <c r="CH141" s="205"/>
      <c r="CI141" s="205"/>
      <c r="CJ141" s="204"/>
      <c r="CK141" s="208">
        <f t="shared" ref="CK141:CK182" si="391">SUM(CG141:CJ141)</f>
        <v>0</v>
      </c>
      <c r="CL141" s="203"/>
      <c r="CM141" s="205"/>
      <c r="CN141" s="205"/>
      <c r="CO141" s="205"/>
      <c r="CP141" s="204"/>
      <c r="CQ141" s="208">
        <f>SUM(CL141:CP141)</f>
        <v>0</v>
      </c>
      <c r="CR141" s="203"/>
      <c r="CS141" s="205">
        <v>11835.985000000001</v>
      </c>
      <c r="CT141" s="205"/>
      <c r="CU141" s="205"/>
      <c r="CV141" s="204"/>
      <c r="CW141" s="208">
        <f t="shared" ref="CW141:CW182" si="392">SUM(CR141:CV141)</f>
        <v>11835.985000000001</v>
      </c>
      <c r="CX141" s="203"/>
      <c r="CY141" s="205"/>
      <c r="CZ141" s="205"/>
      <c r="DA141" s="204"/>
      <c r="DB141" s="208">
        <f>SUM(CX141:DA141)</f>
        <v>0</v>
      </c>
      <c r="DC141" s="208">
        <f>DB141+CW141+CQ141+CK141+CF141</f>
        <v>11835.985000000001</v>
      </c>
      <c r="DD141" s="203"/>
      <c r="DE141" s="205"/>
      <c r="DF141" s="205"/>
      <c r="DG141" s="205"/>
      <c r="DH141" s="205"/>
      <c r="DI141" s="208">
        <f>SUM(DD141:DH141)</f>
        <v>0</v>
      </c>
      <c r="DJ141" s="203"/>
      <c r="DK141" s="205"/>
      <c r="DL141" s="205"/>
      <c r="DM141" s="205"/>
      <c r="DN141" s="204"/>
      <c r="DO141" s="208">
        <f>SUM(DJ141:DN141)</f>
        <v>0</v>
      </c>
      <c r="DP141" s="203"/>
      <c r="DQ141" s="205"/>
      <c r="DR141" s="205"/>
      <c r="DS141" s="205">
        <v>7209.8130000000001</v>
      </c>
      <c r="DT141" s="204"/>
      <c r="DU141" s="245">
        <f>SUM(DP141:DT141)</f>
        <v>7209.8130000000001</v>
      </c>
      <c r="DV141" s="203"/>
      <c r="DW141" s="205"/>
      <c r="DX141" s="205"/>
      <c r="DY141" s="205"/>
      <c r="DZ141" s="204">
        <v>10352.281999999999</v>
      </c>
      <c r="EA141" s="208">
        <f>SUM(DV141:DZ141)</f>
        <v>10352.281999999999</v>
      </c>
      <c r="EB141" s="208">
        <f>EA141+DU141+DO141+DI141</f>
        <v>17562.095000000001</v>
      </c>
      <c r="EC141" s="203"/>
      <c r="ED141" s="205"/>
      <c r="EE141" s="205"/>
      <c r="EF141" s="205"/>
      <c r="EG141" s="204"/>
      <c r="EH141" s="208">
        <f>SUM(EC141:EG141)</f>
        <v>0</v>
      </c>
      <c r="EI141" s="203"/>
      <c r="EJ141" s="205"/>
      <c r="EK141" s="205"/>
      <c r="EL141" s="205"/>
      <c r="EM141" s="204"/>
      <c r="EN141" s="208">
        <f>SUM(EI141:EM141)</f>
        <v>0</v>
      </c>
      <c r="EO141" s="203"/>
      <c r="EP141" s="205"/>
      <c r="EQ141" s="205"/>
      <c r="ER141" s="205"/>
      <c r="ES141" s="204"/>
      <c r="ET141" s="308">
        <f>SUM(EO141:ES141)</f>
        <v>0</v>
      </c>
      <c r="EU141" s="203"/>
      <c r="EV141" s="205"/>
      <c r="EW141" s="205"/>
      <c r="EX141" s="205"/>
      <c r="EY141" s="205"/>
      <c r="EZ141" s="205"/>
      <c r="FA141" s="204"/>
      <c r="FB141" s="208">
        <f>SUM(EU141:FA141)</f>
        <v>0</v>
      </c>
      <c r="FC141" s="208">
        <f>ET141+FB141+EN141+EH141</f>
        <v>0</v>
      </c>
      <c r="FD141" s="203"/>
      <c r="FE141" s="205"/>
      <c r="FF141" s="204"/>
      <c r="FG141" s="208">
        <f>SUM(FD141:FF141)</f>
        <v>0</v>
      </c>
      <c r="FH141" s="203"/>
      <c r="FI141" s="205"/>
      <c r="FJ141" s="205"/>
      <c r="FK141" s="205"/>
      <c r="FL141" s="204"/>
      <c r="FM141" s="208">
        <f>SUM(FH141:FL141)</f>
        <v>0</v>
      </c>
      <c r="FN141" s="203"/>
      <c r="FO141" s="205"/>
      <c r="FP141" s="205"/>
      <c r="FQ141" s="205"/>
      <c r="FR141" s="208">
        <f t="shared" ref="FR141:FR183" si="393">SUM(FN141:FQ141)</f>
        <v>0</v>
      </c>
      <c r="FS141" s="203"/>
      <c r="FT141" s="205"/>
      <c r="FU141" s="205"/>
      <c r="FV141" s="205"/>
      <c r="FW141" s="204"/>
      <c r="FX141" s="208">
        <f>SUM(FS141:FW141)</f>
        <v>0</v>
      </c>
      <c r="FY141" s="203"/>
      <c r="FZ141" s="205"/>
      <c r="GA141" s="205"/>
      <c r="GB141" s="205"/>
      <c r="GC141" s="204"/>
      <c r="GD141" s="208">
        <f>SUM(FY141:GC141)</f>
        <v>0</v>
      </c>
      <c r="GE141" s="208">
        <f t="shared" ref="GE141:GE183" si="394">FG141+FM141+FR141+FX141+GD141</f>
        <v>0</v>
      </c>
      <c r="GF141" s="203"/>
      <c r="GG141" s="205"/>
      <c r="GH141" s="205"/>
      <c r="GI141" s="205"/>
      <c r="GJ141" s="205"/>
      <c r="GK141" s="208">
        <f>SUM(GF141:GJ141)</f>
        <v>0</v>
      </c>
      <c r="GL141" s="203"/>
      <c r="GM141" s="205"/>
      <c r="GN141" s="205"/>
      <c r="GO141" s="204"/>
      <c r="GP141" s="208">
        <f>SUM(GL141:GO141)</f>
        <v>0</v>
      </c>
      <c r="GQ141" s="203"/>
      <c r="GR141" s="205"/>
      <c r="GS141" s="205"/>
      <c r="GT141" s="205"/>
      <c r="GU141" s="204"/>
      <c r="GV141" s="208">
        <f>SUM(GQ141:GU141)</f>
        <v>0</v>
      </c>
      <c r="GW141" s="203"/>
      <c r="GX141" s="205"/>
      <c r="GY141" s="205"/>
      <c r="GZ141" s="205"/>
      <c r="HA141" s="205"/>
      <c r="HB141" s="204"/>
      <c r="HC141" s="208">
        <f>SUM(GW141:HB141)</f>
        <v>0</v>
      </c>
      <c r="HD141" s="208">
        <f>GK141+GP141+GV141+HC141</f>
        <v>0</v>
      </c>
      <c r="HE141" s="203"/>
      <c r="HF141" s="205"/>
      <c r="HG141" s="205"/>
      <c r="HH141" s="205"/>
      <c r="HI141" s="208">
        <f>SUM(HE141:HH141)</f>
        <v>0</v>
      </c>
      <c r="HJ141" s="203"/>
      <c r="HK141" s="205"/>
      <c r="HL141" s="205"/>
      <c r="HM141" s="205"/>
      <c r="HN141" s="204"/>
      <c r="HO141" s="245">
        <f>SUM(HJ141:HN141)</f>
        <v>0</v>
      </c>
      <c r="HP141" s="203"/>
      <c r="HQ141" s="205"/>
      <c r="HR141" s="205"/>
      <c r="HS141" s="205"/>
      <c r="HT141" s="204"/>
      <c r="HU141" s="208">
        <f>SUM(HP141:HT141)</f>
        <v>0</v>
      </c>
      <c r="HV141" s="203"/>
      <c r="HW141" s="205"/>
      <c r="HX141" s="205"/>
      <c r="HY141" s="208">
        <f t="shared" ref="HY141:HY183" si="395">SUM(HV141:HX141)</f>
        <v>0</v>
      </c>
      <c r="HZ141" s="203"/>
      <c r="IA141" s="205"/>
      <c r="IB141" s="204"/>
      <c r="IC141" s="208">
        <f>SUM(HZ141:IB141)</f>
        <v>0</v>
      </c>
      <c r="ID141" s="208">
        <f t="shared" ref="ID141:ID183" si="396">IC141+HY141+HU141+HO141+HI141</f>
        <v>0</v>
      </c>
      <c r="IE141" s="203"/>
      <c r="IF141" s="204"/>
      <c r="IG141" s="208">
        <f>SUM(IE141:IF141)</f>
        <v>0</v>
      </c>
      <c r="IH141" s="203"/>
      <c r="II141" s="205"/>
      <c r="IJ141" s="205"/>
      <c r="IK141" s="205">
        <v>54331.654999999999</v>
      </c>
      <c r="IL141" s="204"/>
      <c r="IM141" s="208">
        <f>SUM(IH141:IL141)</f>
        <v>54331.654999999999</v>
      </c>
      <c r="IN141" s="203"/>
      <c r="IO141" s="205"/>
      <c r="IP141" s="204"/>
      <c r="IQ141" s="208">
        <f>SUM(IN141:IP141)</f>
        <v>0</v>
      </c>
      <c r="IR141" s="203"/>
      <c r="IS141" s="205"/>
      <c r="IT141" s="205"/>
      <c r="IU141" s="205"/>
      <c r="IV141" s="204"/>
      <c r="IW141" s="208">
        <f>SUM(IR141:IV141)</f>
        <v>0</v>
      </c>
      <c r="IX141" s="203"/>
      <c r="IY141" s="205"/>
      <c r="IZ141" s="205"/>
      <c r="JA141" s="205"/>
      <c r="JB141" s="204"/>
      <c r="JC141" s="208">
        <f>SUM(IX141:JB141)</f>
        <v>0</v>
      </c>
      <c r="JD141" s="208">
        <f>JC141+IW141+IQ141+IM141+IG141</f>
        <v>54331.654999999999</v>
      </c>
      <c r="JE141" s="203"/>
      <c r="JF141" s="205"/>
      <c r="JG141" s="205"/>
      <c r="JH141" s="205"/>
      <c r="JI141" s="204"/>
      <c r="JJ141" s="208">
        <f>SUM(JE141:JI141)</f>
        <v>0</v>
      </c>
      <c r="JK141" s="203"/>
      <c r="JL141" s="205"/>
      <c r="JM141" s="205"/>
      <c r="JN141" s="205"/>
      <c r="JO141" s="204"/>
      <c r="JP141" s="208">
        <f>SUM(JK141:JO141)</f>
        <v>0</v>
      </c>
      <c r="JQ141" s="203"/>
      <c r="JR141" s="205"/>
      <c r="JS141" s="205"/>
      <c r="JT141" s="205"/>
      <c r="JU141" s="204"/>
      <c r="JV141" s="208">
        <f>SUM(JQ141:JU141)</f>
        <v>0</v>
      </c>
      <c r="JW141" s="203"/>
      <c r="JX141" s="205"/>
      <c r="JY141" s="205"/>
      <c r="JZ141" s="205"/>
      <c r="KA141" s="205"/>
      <c r="KB141" s="204"/>
      <c r="KC141" s="208">
        <f>SUM(JW141:KB141)</f>
        <v>0</v>
      </c>
      <c r="KD141" s="208">
        <f>JJ141+JP141+JV141+KC141</f>
        <v>0</v>
      </c>
      <c r="KE141" s="203"/>
      <c r="KF141" s="205"/>
      <c r="KG141" s="205"/>
      <c r="KH141" s="205"/>
      <c r="KI141" s="204"/>
      <c r="KJ141" s="208">
        <f>SUM(KE141:KI141)</f>
        <v>0</v>
      </c>
      <c r="KK141" s="203"/>
      <c r="KL141" s="205"/>
      <c r="KM141" s="205"/>
      <c r="KN141" s="205"/>
      <c r="KO141" s="204"/>
      <c r="KP141" s="208">
        <f>SUM(KK141:KO141)</f>
        <v>0</v>
      </c>
      <c r="KQ141" s="203"/>
      <c r="KR141" s="205"/>
      <c r="KS141" s="205"/>
      <c r="KT141" s="205"/>
      <c r="KU141" s="204"/>
      <c r="KV141" s="208">
        <f>SUM(KQ141:KU141)</f>
        <v>0</v>
      </c>
      <c r="KW141" s="203"/>
      <c r="KX141" s="205"/>
      <c r="KY141" s="205"/>
      <c r="KZ141" s="205"/>
      <c r="LA141" s="204"/>
      <c r="LB141" s="208">
        <f>SUM(KW141:LA141)</f>
        <v>0</v>
      </c>
      <c r="LC141" s="202"/>
      <c r="LD141" s="244"/>
      <c r="LE141" s="245"/>
      <c r="LF141" s="208">
        <f>SUM(LC141:LE141)</f>
        <v>0</v>
      </c>
      <c r="LG141" s="208">
        <f>LF141+LB141+KV141+KP141+KJ141</f>
        <v>0</v>
      </c>
    </row>
    <row r="142" spans="2:325" s="206" customFormat="1">
      <c r="B142" s="203" t="s">
        <v>105</v>
      </c>
      <c r="C142" s="203"/>
      <c r="D142" s="202">
        <f t="shared" si="389"/>
        <v>0</v>
      </c>
      <c r="E142" s="203"/>
      <c r="F142" s="205"/>
      <c r="G142" s="205"/>
      <c r="H142" s="205"/>
      <c r="I142" s="204"/>
      <c r="J142" s="202">
        <f>SUM(E142:I142)</f>
        <v>0</v>
      </c>
      <c r="K142" s="203"/>
      <c r="L142" s="205"/>
      <c r="M142" s="205"/>
      <c r="N142" s="204"/>
      <c r="O142" s="202">
        <f>SUM(K142:N142)</f>
        <v>0</v>
      </c>
      <c r="P142" s="203"/>
      <c r="Q142" s="205"/>
      <c r="R142" s="205"/>
      <c r="S142" s="205"/>
      <c r="T142" s="204">
        <v>128305.52899999999</v>
      </c>
      <c r="U142" s="202">
        <f t="shared" ref="U142:U165" si="397">SUM(P142:T142)</f>
        <v>128305.52899999999</v>
      </c>
      <c r="V142" s="203"/>
      <c r="W142" s="205">
        <f>124808.168+95595.019</f>
        <v>220403.18700000001</v>
      </c>
      <c r="X142" s="205"/>
      <c r="Y142" s="205"/>
      <c r="Z142" s="205"/>
      <c r="AA142" s="208">
        <f t="shared" ref="AA142:AA165" si="398">SUM(V142:Z142)</f>
        <v>220403.18700000001</v>
      </c>
      <c r="AB142" s="208">
        <f>AA142+U142+O142+J142+D142</f>
        <v>348708.71600000001</v>
      </c>
      <c r="AC142" s="203"/>
      <c r="AD142" s="205"/>
      <c r="AE142" s="205"/>
      <c r="AF142" s="205"/>
      <c r="AG142" s="204"/>
      <c r="AH142" s="208">
        <f t="shared" ref="AH142:AH183" si="399">SUM(AC142:AG142)</f>
        <v>0</v>
      </c>
      <c r="AI142" s="203"/>
      <c r="AJ142" s="205"/>
      <c r="AK142" s="205"/>
      <c r="AL142" s="205"/>
      <c r="AM142" s="204"/>
      <c r="AN142" s="208">
        <f t="shared" ref="AN142:AN183" si="400">SUM(AI142:AM142)</f>
        <v>0</v>
      </c>
      <c r="AO142" s="203"/>
      <c r="AP142" s="205"/>
      <c r="AQ142" s="205"/>
      <c r="AR142" s="205"/>
      <c r="AS142" s="204"/>
      <c r="AT142" s="208">
        <f t="shared" ref="AT142:AT183" si="401">SUM(AO142:AS142)</f>
        <v>0</v>
      </c>
      <c r="AU142" s="203"/>
      <c r="AV142" s="205"/>
      <c r="AW142" s="205"/>
      <c r="AX142" s="205"/>
      <c r="AY142" s="204"/>
      <c r="AZ142" s="208">
        <f t="shared" ref="AZ142:AZ183" si="402">SUM(AU142:AY142)</f>
        <v>0</v>
      </c>
      <c r="BA142" s="208">
        <f>AZ142+AT142+AN142+AH142</f>
        <v>0</v>
      </c>
      <c r="BB142" s="203"/>
      <c r="BC142" s="205"/>
      <c r="BD142" s="205"/>
      <c r="BE142" s="205"/>
      <c r="BF142" s="204"/>
      <c r="BG142" s="208">
        <f t="shared" ref="BG142:BG183" si="403">SUM(BB142:BF142)</f>
        <v>0</v>
      </c>
      <c r="BH142" s="203"/>
      <c r="BI142" s="205"/>
      <c r="BJ142" s="205"/>
      <c r="BK142" s="205"/>
      <c r="BL142" s="204"/>
      <c r="BM142" s="208">
        <f t="shared" ref="BM142:BM183" si="404">SUM(BH142:BL142)</f>
        <v>0</v>
      </c>
      <c r="BN142" s="203"/>
      <c r="BO142" s="205"/>
      <c r="BP142" s="205"/>
      <c r="BQ142" s="204"/>
      <c r="BR142" s="208">
        <f t="shared" ref="BR142:BR183" si="405">SUM(BN142:BQ142)</f>
        <v>0</v>
      </c>
      <c r="BS142" s="203"/>
      <c r="BT142" s="205"/>
      <c r="BU142" s="205"/>
      <c r="BV142" s="205"/>
      <c r="BW142" s="204"/>
      <c r="BX142" s="208">
        <f t="shared" si="390"/>
        <v>0</v>
      </c>
      <c r="BY142" s="203"/>
      <c r="BZ142" s="205"/>
      <c r="CA142" s="208">
        <f t="shared" ref="CA142:CA183" si="406">SUM(BY142:BZ142)</f>
        <v>0</v>
      </c>
      <c r="CB142" s="208">
        <f t="shared" ref="CB142:CB183" si="407">CA142+BX142+BR142+BM142+BG142</f>
        <v>0</v>
      </c>
      <c r="CC142" s="203"/>
      <c r="CD142" s="205"/>
      <c r="CE142" s="205"/>
      <c r="CF142" s="208">
        <f t="shared" ref="CF142:CF183" si="408">SUM(CC142:CE142)</f>
        <v>0</v>
      </c>
      <c r="CG142" s="203"/>
      <c r="CH142" s="205"/>
      <c r="CI142" s="205"/>
      <c r="CJ142" s="204"/>
      <c r="CK142" s="208">
        <f t="shared" si="391"/>
        <v>0</v>
      </c>
      <c r="CL142" s="203"/>
      <c r="CM142" s="205"/>
      <c r="CN142" s="205"/>
      <c r="CO142" s="205"/>
      <c r="CP142" s="204"/>
      <c r="CQ142" s="208">
        <f t="shared" ref="CQ142:CQ183" si="409">SUM(CL142:CP142)</f>
        <v>0</v>
      </c>
      <c r="CR142" s="203"/>
      <c r="CS142" s="205"/>
      <c r="CT142" s="205"/>
      <c r="CU142" s="205"/>
      <c r="CV142" s="204"/>
      <c r="CW142" s="208">
        <f t="shared" si="392"/>
        <v>0</v>
      </c>
      <c r="CX142" s="203"/>
      <c r="CY142" s="205"/>
      <c r="CZ142" s="205"/>
      <c r="DA142" s="204"/>
      <c r="DB142" s="208">
        <f t="shared" ref="DB142:DB183" si="410">SUM(CX142:DA142)</f>
        <v>0</v>
      </c>
      <c r="DC142" s="208">
        <f t="shared" ref="DC142:DC183" si="411">DB142+CW142+CQ142+CK142+CF142</f>
        <v>0</v>
      </c>
      <c r="DD142" s="203"/>
      <c r="DE142" s="205"/>
      <c r="DF142" s="205"/>
      <c r="DG142" s="205"/>
      <c r="DH142" s="205"/>
      <c r="DI142" s="208">
        <f t="shared" ref="DI142:DI183" si="412">SUM(DD142:DH142)</f>
        <v>0</v>
      </c>
      <c r="DJ142" s="203"/>
      <c r="DK142" s="205"/>
      <c r="DL142" s="205"/>
      <c r="DM142" s="205"/>
      <c r="DN142" s="204"/>
      <c r="DO142" s="208">
        <f t="shared" ref="DO142:DO183" si="413">SUM(DJ142:DN142)</f>
        <v>0</v>
      </c>
      <c r="DP142" s="203"/>
      <c r="DQ142" s="205"/>
      <c r="DR142" s="205"/>
      <c r="DS142" s="205"/>
      <c r="DT142" s="204"/>
      <c r="DU142" s="245">
        <f t="shared" ref="DU142:DU183" si="414">SUM(DP142:DT142)</f>
        <v>0</v>
      </c>
      <c r="DV142" s="203"/>
      <c r="DW142" s="205"/>
      <c r="DX142" s="205"/>
      <c r="DY142" s="205"/>
      <c r="DZ142" s="204"/>
      <c r="EA142" s="208">
        <f t="shared" ref="EA142:EA183" si="415">SUM(DV142:DZ142)</f>
        <v>0</v>
      </c>
      <c r="EB142" s="208">
        <f t="shared" ref="EB142:EB183" si="416">EA142+DU142+DO142+DI142</f>
        <v>0</v>
      </c>
      <c r="EC142" s="203"/>
      <c r="ED142" s="205"/>
      <c r="EE142" s="205"/>
      <c r="EF142" s="205"/>
      <c r="EG142" s="204"/>
      <c r="EH142" s="208">
        <f t="shared" ref="EH142:EH183" si="417">SUM(EC142:EG142)</f>
        <v>0</v>
      </c>
      <c r="EI142" s="203"/>
      <c r="EJ142" s="205"/>
      <c r="EK142" s="205"/>
      <c r="EL142" s="205"/>
      <c r="EM142" s="204"/>
      <c r="EN142" s="208">
        <f t="shared" ref="EN142:EN183" si="418">SUM(EI142:EM142)</f>
        <v>0</v>
      </c>
      <c r="EO142" s="203"/>
      <c r="EP142" s="205"/>
      <c r="EQ142" s="205"/>
      <c r="ER142" s="205"/>
      <c r="ES142" s="204"/>
      <c r="ET142" s="308">
        <f t="shared" ref="ET142:ET183" si="419">SUM(EO142:ES142)</f>
        <v>0</v>
      </c>
      <c r="EU142" s="203"/>
      <c r="EV142" s="205"/>
      <c r="EW142" s="205"/>
      <c r="EX142" s="205"/>
      <c r="EY142" s="205"/>
      <c r="EZ142" s="205"/>
      <c r="FA142" s="204"/>
      <c r="FB142" s="208">
        <f t="shared" ref="FB142:FB181" si="420">SUM(EU142:FA142)</f>
        <v>0</v>
      </c>
      <c r="FC142" s="208">
        <f t="shared" ref="FC142:FC183" si="421">ET142+FB142+EN142+EH142</f>
        <v>0</v>
      </c>
      <c r="FD142" s="203"/>
      <c r="FE142" s="205"/>
      <c r="FF142" s="204"/>
      <c r="FG142" s="208">
        <f t="shared" ref="FG142:FG183" si="422">SUM(FD142:FF142)</f>
        <v>0</v>
      </c>
      <c r="FH142" s="203"/>
      <c r="FI142" s="205"/>
      <c r="FJ142" s="205"/>
      <c r="FK142" s="205"/>
      <c r="FL142" s="204"/>
      <c r="FM142" s="208">
        <f t="shared" ref="FM142:FM183" si="423">SUM(FH142:FL142)</f>
        <v>0</v>
      </c>
      <c r="FN142" s="203"/>
      <c r="FO142" s="205"/>
      <c r="FP142" s="205"/>
      <c r="FQ142" s="205"/>
      <c r="FR142" s="208">
        <f t="shared" si="393"/>
        <v>0</v>
      </c>
      <c r="FS142" s="203"/>
      <c r="FT142" s="205"/>
      <c r="FU142" s="205"/>
      <c r="FV142" s="205"/>
      <c r="FW142" s="204"/>
      <c r="FX142" s="208">
        <f t="shared" ref="FX142:FX183" si="424">SUM(FS142:FW142)</f>
        <v>0</v>
      </c>
      <c r="FY142" s="203"/>
      <c r="FZ142" s="205"/>
      <c r="GA142" s="205"/>
      <c r="GB142" s="205"/>
      <c r="GC142" s="204"/>
      <c r="GD142" s="208">
        <f t="shared" ref="GD142:GD183" si="425">SUM(FY142:GC142)</f>
        <v>0</v>
      </c>
      <c r="GE142" s="208">
        <f t="shared" si="394"/>
        <v>0</v>
      </c>
      <c r="GF142" s="203"/>
      <c r="GG142" s="205"/>
      <c r="GH142" s="205"/>
      <c r="GI142" s="205"/>
      <c r="GJ142" s="205"/>
      <c r="GK142" s="208">
        <f t="shared" ref="GK142:GK183" si="426">SUM(GF142:GJ142)</f>
        <v>0</v>
      </c>
      <c r="GL142" s="203"/>
      <c r="GM142" s="205"/>
      <c r="GN142" s="205"/>
      <c r="GO142" s="204"/>
      <c r="GP142" s="208">
        <f t="shared" ref="GP142:GP183" si="427">SUM(GL142:GO142)</f>
        <v>0</v>
      </c>
      <c r="GQ142" s="203"/>
      <c r="GR142" s="205"/>
      <c r="GS142" s="205"/>
      <c r="GT142" s="205"/>
      <c r="GU142" s="204"/>
      <c r="GV142" s="208">
        <f t="shared" ref="GV142:GV183" si="428">SUM(GQ142:GU142)</f>
        <v>0</v>
      </c>
      <c r="GW142" s="203"/>
      <c r="GX142" s="205"/>
      <c r="GY142" s="205"/>
      <c r="GZ142" s="205"/>
      <c r="HA142" s="205"/>
      <c r="HB142" s="204"/>
      <c r="HC142" s="208">
        <f t="shared" ref="HC142:HC183" si="429">SUM(GW142:HB142)</f>
        <v>0</v>
      </c>
      <c r="HD142" s="208">
        <f t="shared" ref="HD142:HD183" si="430">GK142+GP142+GV142+HC142</f>
        <v>0</v>
      </c>
      <c r="HE142" s="203"/>
      <c r="HF142" s="205"/>
      <c r="HG142" s="205"/>
      <c r="HH142" s="205"/>
      <c r="HI142" s="208">
        <f>SUM(HE142:HH142)</f>
        <v>0</v>
      </c>
      <c r="HJ142" s="203"/>
      <c r="HK142" s="205"/>
      <c r="HL142" s="205"/>
      <c r="HM142" s="205"/>
      <c r="HN142" s="204"/>
      <c r="HO142" s="245">
        <f>SUM(HJ142:HN142)</f>
        <v>0</v>
      </c>
      <c r="HP142" s="203"/>
      <c r="HQ142" s="205"/>
      <c r="HR142" s="205"/>
      <c r="HS142" s="205"/>
      <c r="HT142" s="204"/>
      <c r="HU142" s="208">
        <f>SUM(HP142:HT142)</f>
        <v>0</v>
      </c>
      <c r="HV142" s="203"/>
      <c r="HW142" s="205"/>
      <c r="HX142" s="205"/>
      <c r="HY142" s="208">
        <f t="shared" si="395"/>
        <v>0</v>
      </c>
      <c r="HZ142" s="203"/>
      <c r="IA142" s="205"/>
      <c r="IB142" s="204"/>
      <c r="IC142" s="208">
        <f>SUM(HZ142:IB142)</f>
        <v>0</v>
      </c>
      <c r="ID142" s="208">
        <f t="shared" si="396"/>
        <v>0</v>
      </c>
      <c r="IE142" s="203"/>
      <c r="IF142" s="204"/>
      <c r="IG142" s="208">
        <f>SUM(IE142:IF142)</f>
        <v>0</v>
      </c>
      <c r="IH142" s="203"/>
      <c r="II142" s="205"/>
      <c r="IJ142" s="205"/>
      <c r="IK142" s="205"/>
      <c r="IL142" s="204"/>
      <c r="IM142" s="208">
        <f>SUM(IH142:IL142)</f>
        <v>0</v>
      </c>
      <c r="IN142" s="203"/>
      <c r="IO142" s="205"/>
      <c r="IP142" s="204"/>
      <c r="IQ142" s="208">
        <f>SUM(IN142:IP142)</f>
        <v>0</v>
      </c>
      <c r="IR142" s="203"/>
      <c r="IS142" s="205"/>
      <c r="IT142" s="205"/>
      <c r="IU142" s="205"/>
      <c r="IV142" s="204"/>
      <c r="IW142" s="208">
        <f>SUM(IR142:IV142)</f>
        <v>0</v>
      </c>
      <c r="IX142" s="203"/>
      <c r="IY142" s="205"/>
      <c r="IZ142" s="205"/>
      <c r="JA142" s="205"/>
      <c r="JB142" s="204"/>
      <c r="JC142" s="208">
        <f>SUM(IX142:JB142)</f>
        <v>0</v>
      </c>
      <c r="JD142" s="208">
        <f t="shared" ref="JD142:JD183" si="431">JC142+IW142+IQ142+IM142+IG142</f>
        <v>0</v>
      </c>
      <c r="JE142" s="203"/>
      <c r="JF142" s="205"/>
      <c r="JG142" s="205"/>
      <c r="JH142" s="205"/>
      <c r="JI142" s="204"/>
      <c r="JJ142" s="208">
        <f>SUM(JE142:JI142)</f>
        <v>0</v>
      </c>
      <c r="JK142" s="203"/>
      <c r="JL142" s="205"/>
      <c r="JM142" s="205"/>
      <c r="JN142" s="205"/>
      <c r="JO142" s="204"/>
      <c r="JP142" s="208">
        <f>SUM(JK142:JO142)</f>
        <v>0</v>
      </c>
      <c r="JQ142" s="203"/>
      <c r="JR142" s="205"/>
      <c r="JS142" s="205"/>
      <c r="JT142" s="205"/>
      <c r="JU142" s="204"/>
      <c r="JV142" s="208">
        <f>SUM(JQ142:JU142)</f>
        <v>0</v>
      </c>
      <c r="JW142" s="203"/>
      <c r="JX142" s="205"/>
      <c r="JY142" s="205"/>
      <c r="JZ142" s="205"/>
      <c r="KA142" s="205"/>
      <c r="KB142" s="204"/>
      <c r="KC142" s="208">
        <f>SUM(JW142:KB142)</f>
        <v>0</v>
      </c>
      <c r="KD142" s="208">
        <f>JJ142+JP142+JV142+KC142</f>
        <v>0</v>
      </c>
      <c r="KE142" s="203"/>
      <c r="KF142" s="205"/>
      <c r="KG142" s="205"/>
      <c r="KH142" s="205"/>
      <c r="KI142" s="204"/>
      <c r="KJ142" s="208">
        <f>SUM(KE142:KI142)</f>
        <v>0</v>
      </c>
      <c r="KK142" s="203"/>
      <c r="KL142" s="205"/>
      <c r="KM142" s="205"/>
      <c r="KN142" s="205"/>
      <c r="KO142" s="204"/>
      <c r="KP142" s="208">
        <f>SUM(KK142:KO142)</f>
        <v>0</v>
      </c>
      <c r="KQ142" s="203"/>
      <c r="KR142" s="205"/>
      <c r="KS142" s="205"/>
      <c r="KT142" s="205"/>
      <c r="KU142" s="204"/>
      <c r="KV142" s="208">
        <f>SUM(KQ142:KU142)</f>
        <v>0</v>
      </c>
      <c r="KW142" s="203"/>
      <c r="KX142" s="205"/>
      <c r="KY142" s="205"/>
      <c r="KZ142" s="205"/>
      <c r="LA142" s="204"/>
      <c r="LB142" s="208">
        <f>SUM(KW142:LA142)</f>
        <v>0</v>
      </c>
      <c r="LC142" s="202"/>
      <c r="LD142" s="244"/>
      <c r="LE142" s="245"/>
      <c r="LF142" s="208">
        <f>SUM(LC142:LE142)</f>
        <v>0</v>
      </c>
      <c r="LG142" s="208">
        <f>LF142+LB142+KV142+KP142+KJ142</f>
        <v>0</v>
      </c>
    </row>
    <row r="143" spans="2:325" s="206" customFormat="1">
      <c r="B143" s="203" t="s">
        <v>401</v>
      </c>
      <c r="C143" s="203"/>
      <c r="D143" s="202">
        <f t="shared" si="389"/>
        <v>0</v>
      </c>
      <c r="E143" s="203"/>
      <c r="F143" s="205"/>
      <c r="G143" s="205"/>
      <c r="H143" s="205"/>
      <c r="I143" s="204"/>
      <c r="J143" s="202">
        <f t="shared" ref="J143:J165" si="432">SUM(E143:I143)</f>
        <v>0</v>
      </c>
      <c r="K143" s="203"/>
      <c r="L143" s="205"/>
      <c r="M143" s="205"/>
      <c r="N143" s="204"/>
      <c r="O143" s="202">
        <f t="shared" ref="O143:O150" si="433">SUM(K143:N143)</f>
        <v>0</v>
      </c>
      <c r="P143" s="203"/>
      <c r="Q143" s="205"/>
      <c r="R143" s="205"/>
      <c r="S143" s="205"/>
      <c r="T143" s="204"/>
      <c r="U143" s="202">
        <f t="shared" si="397"/>
        <v>0</v>
      </c>
      <c r="V143" s="203"/>
      <c r="W143" s="205"/>
      <c r="X143" s="205"/>
      <c r="Y143" s="205"/>
      <c r="Z143" s="205"/>
      <c r="AA143" s="208">
        <f t="shared" si="398"/>
        <v>0</v>
      </c>
      <c r="AB143" s="208">
        <f t="shared" ref="AB143:AB165" si="434">AA143+U143+O143+J143+D143</f>
        <v>0</v>
      </c>
      <c r="AC143" s="203"/>
      <c r="AD143" s="205"/>
      <c r="AE143" s="205"/>
      <c r="AF143" s="205"/>
      <c r="AG143" s="204"/>
      <c r="AH143" s="208">
        <f t="shared" si="399"/>
        <v>0</v>
      </c>
      <c r="AI143" s="203"/>
      <c r="AJ143" s="205"/>
      <c r="AK143" s="205"/>
      <c r="AL143" s="205"/>
      <c r="AM143" s="204"/>
      <c r="AN143" s="208">
        <f t="shared" si="400"/>
        <v>0</v>
      </c>
      <c r="AO143" s="203"/>
      <c r="AP143" s="205"/>
      <c r="AQ143" s="205"/>
      <c r="AR143" s="205"/>
      <c r="AS143" s="204"/>
      <c r="AT143" s="208">
        <f t="shared" si="401"/>
        <v>0</v>
      </c>
      <c r="AU143" s="203"/>
      <c r="AV143" s="205"/>
      <c r="AW143" s="205"/>
      <c r="AX143" s="205"/>
      <c r="AY143" s="204"/>
      <c r="AZ143" s="208">
        <f t="shared" si="402"/>
        <v>0</v>
      </c>
      <c r="BA143" s="208">
        <f t="shared" ref="BA143:BA183" si="435">AZ143+AT143+AN143+AH143</f>
        <v>0</v>
      </c>
      <c r="BB143" s="203">
        <f>27294.747+46580.254</f>
        <v>73875.001000000004</v>
      </c>
      <c r="BC143" s="205"/>
      <c r="BD143" s="205"/>
      <c r="BE143" s="205"/>
      <c r="BF143" s="204"/>
      <c r="BG143" s="208">
        <f t="shared" si="403"/>
        <v>73875.001000000004</v>
      </c>
      <c r="BH143" s="203"/>
      <c r="BI143" s="205"/>
      <c r="BJ143" s="205"/>
      <c r="BK143" s="205"/>
      <c r="BL143" s="204"/>
      <c r="BM143" s="208">
        <f t="shared" si="404"/>
        <v>0</v>
      </c>
      <c r="BN143" s="203"/>
      <c r="BO143" s="205"/>
      <c r="BP143" s="205"/>
      <c r="BQ143" s="204"/>
      <c r="BR143" s="208">
        <f t="shared" si="405"/>
        <v>0</v>
      </c>
      <c r="BS143" s="203"/>
      <c r="BT143" s="205"/>
      <c r="BU143" s="205"/>
      <c r="BV143" s="205"/>
      <c r="BW143" s="204"/>
      <c r="BX143" s="208">
        <f t="shared" si="390"/>
        <v>0</v>
      </c>
      <c r="BY143" s="203"/>
      <c r="BZ143" s="205"/>
      <c r="CA143" s="208">
        <f t="shared" si="406"/>
        <v>0</v>
      </c>
      <c r="CB143" s="208">
        <f t="shared" si="407"/>
        <v>73875.001000000004</v>
      </c>
      <c r="CC143" s="203"/>
      <c r="CD143" s="205"/>
      <c r="CE143" s="205">
        <v>60479</v>
      </c>
      <c r="CF143" s="208">
        <f t="shared" si="408"/>
        <v>60479</v>
      </c>
      <c r="CG143" s="203"/>
      <c r="CH143" s="205"/>
      <c r="CI143" s="205"/>
      <c r="CJ143" s="204"/>
      <c r="CK143" s="208">
        <f t="shared" si="391"/>
        <v>0</v>
      </c>
      <c r="CL143" s="203">
        <v>60479.701000000001</v>
      </c>
      <c r="CM143" s="205"/>
      <c r="CN143" s="205"/>
      <c r="CO143" s="205"/>
      <c r="CP143" s="204"/>
      <c r="CQ143" s="208">
        <f t="shared" si="409"/>
        <v>60479.701000000001</v>
      </c>
      <c r="CR143" s="203"/>
      <c r="CS143" s="205"/>
      <c r="CT143" s="205"/>
      <c r="CU143" s="205"/>
      <c r="CV143" s="204"/>
      <c r="CW143" s="208">
        <f t="shared" si="392"/>
        <v>0</v>
      </c>
      <c r="CX143" s="203"/>
      <c r="CY143" s="205"/>
      <c r="CZ143" s="205"/>
      <c r="DA143" s="204"/>
      <c r="DB143" s="208">
        <f t="shared" si="410"/>
        <v>0</v>
      </c>
      <c r="DC143" s="208">
        <f t="shared" si="411"/>
        <v>120958.701</v>
      </c>
      <c r="DD143" s="203"/>
      <c r="DE143" s="205">
        <f>29254.5+29400.82</f>
        <v>58655.32</v>
      </c>
      <c r="DF143" s="205"/>
      <c r="DG143" s="205"/>
      <c r="DH143" s="205"/>
      <c r="DI143" s="208">
        <f t="shared" si="412"/>
        <v>58655.32</v>
      </c>
      <c r="DJ143" s="203"/>
      <c r="DK143" s="205"/>
      <c r="DL143" s="205"/>
      <c r="DM143" s="205"/>
      <c r="DN143" s="204">
        <v>29550</v>
      </c>
      <c r="DO143" s="208">
        <f t="shared" si="413"/>
        <v>29550</v>
      </c>
      <c r="DP143" s="203"/>
      <c r="DQ143" s="205"/>
      <c r="DR143" s="205"/>
      <c r="DS143" s="205"/>
      <c r="DT143" s="204">
        <v>30391.001</v>
      </c>
      <c r="DU143" s="245">
        <f t="shared" si="414"/>
        <v>30391.001</v>
      </c>
      <c r="DV143" s="203"/>
      <c r="DW143" s="205"/>
      <c r="DX143" s="205"/>
      <c r="DY143" s="205"/>
      <c r="DZ143" s="204"/>
      <c r="EA143" s="208">
        <f t="shared" si="415"/>
        <v>0</v>
      </c>
      <c r="EB143" s="208">
        <f t="shared" si="416"/>
        <v>118596.321</v>
      </c>
      <c r="EC143" s="203"/>
      <c r="ED143" s="205"/>
      <c r="EE143" s="205"/>
      <c r="EF143" s="205"/>
      <c r="EG143" s="204">
        <v>30141</v>
      </c>
      <c r="EH143" s="208">
        <f t="shared" si="417"/>
        <v>30141</v>
      </c>
      <c r="EI143" s="203"/>
      <c r="EJ143" s="205"/>
      <c r="EK143" s="205"/>
      <c r="EL143" s="205"/>
      <c r="EM143" s="204">
        <v>30147.482</v>
      </c>
      <c r="EN143" s="208">
        <f t="shared" si="418"/>
        <v>30147.482</v>
      </c>
      <c r="EO143" s="203"/>
      <c r="EP143" s="205"/>
      <c r="EQ143" s="205"/>
      <c r="ER143" s="205"/>
      <c r="ES143" s="204"/>
      <c r="ET143" s="308">
        <f t="shared" si="419"/>
        <v>0</v>
      </c>
      <c r="EU143" s="203"/>
      <c r="EV143" s="205"/>
      <c r="EW143" s="205"/>
      <c r="EX143" s="205"/>
      <c r="EY143" s="205"/>
      <c r="EZ143" s="205"/>
      <c r="FA143" s="204">
        <v>28841.573</v>
      </c>
      <c r="FB143" s="208">
        <f t="shared" si="420"/>
        <v>28841.573</v>
      </c>
      <c r="FC143" s="208">
        <f t="shared" si="421"/>
        <v>89130.054999999993</v>
      </c>
      <c r="FD143" s="203"/>
      <c r="FE143" s="205"/>
      <c r="FF143" s="204"/>
      <c r="FG143" s="208">
        <f t="shared" si="422"/>
        <v>0</v>
      </c>
      <c r="FH143" s="203"/>
      <c r="FI143" s="205"/>
      <c r="FJ143" s="205"/>
      <c r="FK143" s="205"/>
      <c r="FL143" s="204"/>
      <c r="FM143" s="208">
        <f t="shared" si="423"/>
        <v>0</v>
      </c>
      <c r="FN143" s="203">
        <f>128908.42+121592.42</f>
        <v>250500.84</v>
      </c>
      <c r="FO143" s="205"/>
      <c r="FP143" s="205">
        <v>146759.46</v>
      </c>
      <c r="FQ143" s="205">
        <v>28840.799999999999</v>
      </c>
      <c r="FR143" s="208">
        <f t="shared" si="393"/>
        <v>426101.1</v>
      </c>
      <c r="FS143" s="203"/>
      <c r="FT143" s="205"/>
      <c r="FU143" s="205"/>
      <c r="FV143" s="205"/>
      <c r="FW143" s="204"/>
      <c r="FX143" s="208">
        <f t="shared" si="424"/>
        <v>0</v>
      </c>
      <c r="FY143" s="203"/>
      <c r="FZ143" s="205"/>
      <c r="GA143" s="205"/>
      <c r="GB143" s="205">
        <v>27808.996999999999</v>
      </c>
      <c r="GC143" s="204"/>
      <c r="GD143" s="208">
        <f t="shared" si="425"/>
        <v>27808.996999999999</v>
      </c>
      <c r="GE143" s="208">
        <f t="shared" si="394"/>
        <v>453910.09699999995</v>
      </c>
      <c r="GF143" s="203"/>
      <c r="GG143" s="205"/>
      <c r="GH143" s="205"/>
      <c r="GI143" s="205">
        <v>27580</v>
      </c>
      <c r="GJ143" s="205"/>
      <c r="GK143" s="208">
        <f t="shared" si="426"/>
        <v>27580</v>
      </c>
      <c r="GL143" s="203"/>
      <c r="GM143" s="205"/>
      <c r="GN143" s="205"/>
      <c r="GO143" s="204"/>
      <c r="GP143" s="208">
        <f t="shared" si="427"/>
        <v>0</v>
      </c>
      <c r="GQ143" s="203"/>
      <c r="GR143" s="205"/>
      <c r="GS143" s="205"/>
      <c r="GT143" s="205"/>
      <c r="GU143" s="204"/>
      <c r="GV143" s="208">
        <f t="shared" si="428"/>
        <v>0</v>
      </c>
      <c r="GW143" s="203"/>
      <c r="GX143" s="205">
        <v>149498.23999999999</v>
      </c>
      <c r="GY143" s="205"/>
      <c r="GZ143" s="205"/>
      <c r="HA143" s="205"/>
      <c r="HB143" s="204"/>
      <c r="HC143" s="208">
        <f t="shared" si="429"/>
        <v>149498.23999999999</v>
      </c>
      <c r="HD143" s="208">
        <f t="shared" si="430"/>
        <v>177078.24</v>
      </c>
      <c r="HE143" s="203"/>
      <c r="HF143" s="205"/>
      <c r="HG143" s="205"/>
      <c r="HH143" s="205"/>
      <c r="HI143" s="208">
        <f t="shared" ref="HI143:HI183" si="436">SUM(HE143:HH143)</f>
        <v>0</v>
      </c>
      <c r="HJ143" s="203"/>
      <c r="HK143" s="205"/>
      <c r="HL143" s="205"/>
      <c r="HM143" s="205"/>
      <c r="HN143" s="204"/>
      <c r="HO143" s="245">
        <f t="shared" ref="HO143:HO183" si="437">SUM(HJ143:HN143)</f>
        <v>0</v>
      </c>
      <c r="HP143" s="203">
        <v>33891.328000000001</v>
      </c>
      <c r="HQ143" s="205"/>
      <c r="HR143" s="205"/>
      <c r="HS143" s="205"/>
      <c r="HT143" s="204">
        <v>24625</v>
      </c>
      <c r="HU143" s="208">
        <f t="shared" ref="HU143:HU183" si="438">SUM(HP143:HT143)</f>
        <v>58516.328000000001</v>
      </c>
      <c r="HV143" s="203"/>
      <c r="HW143" s="205"/>
      <c r="HX143" s="205"/>
      <c r="HY143" s="208">
        <f t="shared" si="395"/>
        <v>0</v>
      </c>
      <c r="HZ143" s="203"/>
      <c r="IA143" s="205"/>
      <c r="IB143" s="204"/>
      <c r="IC143" s="208">
        <f t="shared" ref="IC143:IC183" si="439">SUM(HZ143:IB143)</f>
        <v>0</v>
      </c>
      <c r="ID143" s="208">
        <f t="shared" si="396"/>
        <v>58516.328000000001</v>
      </c>
      <c r="IE143" s="203"/>
      <c r="IF143" s="204"/>
      <c r="IG143" s="208">
        <f t="shared" ref="IG143:IG183" si="440">SUM(IE143:IF143)</f>
        <v>0</v>
      </c>
      <c r="IH143" s="203"/>
      <c r="II143" s="205"/>
      <c r="IJ143" s="205"/>
      <c r="IK143" s="205"/>
      <c r="IL143" s="204"/>
      <c r="IM143" s="208">
        <f t="shared" ref="IM143:IM183" si="441">SUM(IH143:IL143)</f>
        <v>0</v>
      </c>
      <c r="IN143" s="203"/>
      <c r="IO143" s="205">
        <f>102205.02+130591.1+100595.5</f>
        <v>333391.62</v>
      </c>
      <c r="IP143" s="204"/>
      <c r="IQ143" s="208">
        <f t="shared" ref="IQ143:IQ183" si="442">SUM(IN143:IP143)</f>
        <v>333391.62</v>
      </c>
      <c r="IR143" s="203">
        <v>31520</v>
      </c>
      <c r="IS143" s="205"/>
      <c r="IT143" s="205"/>
      <c r="IU143" s="205"/>
      <c r="IV143" s="204">
        <v>29776.177</v>
      </c>
      <c r="IW143" s="208">
        <f t="shared" ref="IW143:IW183" si="443">SUM(IR143:IV143)</f>
        <v>61296.176999999996</v>
      </c>
      <c r="IX143" s="203"/>
      <c r="IY143" s="205"/>
      <c r="IZ143" s="205"/>
      <c r="JA143" s="205"/>
      <c r="JB143" s="204">
        <v>33995.572</v>
      </c>
      <c r="JC143" s="208">
        <f t="shared" ref="JC143:JC183" si="444">SUM(IX143:JB143)</f>
        <v>33995.572</v>
      </c>
      <c r="JD143" s="208">
        <f t="shared" si="431"/>
        <v>428683.36900000001</v>
      </c>
      <c r="JE143" s="203"/>
      <c r="JF143" s="205"/>
      <c r="JG143" s="205"/>
      <c r="JH143" s="205">
        <v>24625</v>
      </c>
      <c r="JI143" s="204"/>
      <c r="JJ143" s="208">
        <f t="shared" ref="JJ143:JJ183" si="445">SUM(JE143:JI143)</f>
        <v>24625</v>
      </c>
      <c r="JK143" s="203"/>
      <c r="JL143" s="205"/>
      <c r="JM143" s="205"/>
      <c r="JN143" s="205"/>
      <c r="JO143" s="204"/>
      <c r="JP143" s="208">
        <f t="shared" ref="JP143:JP183" si="446">SUM(JK143:JO143)</f>
        <v>0</v>
      </c>
      <c r="JQ143" s="203"/>
      <c r="JR143" s="205"/>
      <c r="JS143" s="205"/>
      <c r="JT143" s="205"/>
      <c r="JU143" s="204"/>
      <c r="JV143" s="208">
        <f t="shared" ref="JV143:JV183" si="447">SUM(JQ143:JU143)</f>
        <v>0</v>
      </c>
      <c r="JW143" s="203"/>
      <c r="JX143" s="205"/>
      <c r="JY143" s="205"/>
      <c r="JZ143" s="205"/>
      <c r="KA143" s="205"/>
      <c r="KB143" s="204"/>
      <c r="KC143" s="208">
        <f t="shared" ref="KC143:KC183" si="448">SUM(JW143:KB143)</f>
        <v>0</v>
      </c>
      <c r="KD143" s="208">
        <f t="shared" ref="KD143:KD183" si="449">JJ143+JP143+JV143+KC143</f>
        <v>24625</v>
      </c>
      <c r="KE143" s="203"/>
      <c r="KF143" s="205"/>
      <c r="KG143" s="205"/>
      <c r="KH143" s="205"/>
      <c r="KI143" s="204"/>
      <c r="KJ143" s="208">
        <f t="shared" ref="KJ143:KJ183" si="450">SUM(KE143:KI143)</f>
        <v>0</v>
      </c>
      <c r="KK143" s="203"/>
      <c r="KL143" s="205"/>
      <c r="KM143" s="205"/>
      <c r="KN143" s="205"/>
      <c r="KO143" s="204"/>
      <c r="KP143" s="208">
        <f t="shared" ref="KP143:KP183" si="451">SUM(KK143:KO143)</f>
        <v>0</v>
      </c>
      <c r="KQ143" s="203"/>
      <c r="KR143" s="205"/>
      <c r="KS143" s="205"/>
      <c r="KT143" s="205"/>
      <c r="KU143" s="204"/>
      <c r="KV143" s="208">
        <f t="shared" ref="KV143:KV183" si="452">SUM(KQ143:KU143)</f>
        <v>0</v>
      </c>
      <c r="KW143" s="203"/>
      <c r="KX143" s="205"/>
      <c r="KY143" s="205"/>
      <c r="KZ143" s="205"/>
      <c r="LA143" s="204"/>
      <c r="LB143" s="208">
        <f t="shared" ref="LB143:LB183" si="453">SUM(KW143:LA143)</f>
        <v>0</v>
      </c>
      <c r="LC143" s="202"/>
      <c r="LD143" s="244"/>
      <c r="LE143" s="245"/>
      <c r="LF143" s="208">
        <f t="shared" ref="LF143:LF183" si="454">SUM(LC143:LE143)</f>
        <v>0</v>
      </c>
      <c r="LG143" s="208">
        <f t="shared" ref="LG143:LG183" si="455">LF143+LB143+KV143+KP143+KJ143</f>
        <v>0</v>
      </c>
    </row>
    <row r="144" spans="2:325" s="91" customFormat="1">
      <c r="B144" s="167" t="s">
        <v>78</v>
      </c>
      <c r="C144" s="167"/>
      <c r="D144" s="202">
        <f t="shared" si="389"/>
        <v>0</v>
      </c>
      <c r="E144" s="167"/>
      <c r="F144" s="177"/>
      <c r="G144" s="177"/>
      <c r="H144" s="177"/>
      <c r="I144" s="178"/>
      <c r="J144" s="202">
        <f t="shared" si="432"/>
        <v>0</v>
      </c>
      <c r="K144" s="167"/>
      <c r="L144" s="177"/>
      <c r="M144" s="177"/>
      <c r="N144" s="178"/>
      <c r="O144" s="202">
        <f t="shared" si="433"/>
        <v>0</v>
      </c>
      <c r="P144" s="167"/>
      <c r="Q144" s="177"/>
      <c r="R144" s="177"/>
      <c r="S144" s="177"/>
      <c r="T144" s="178"/>
      <c r="U144" s="202">
        <f t="shared" si="397"/>
        <v>0</v>
      </c>
      <c r="V144" s="167"/>
      <c r="W144" s="177"/>
      <c r="X144" s="177"/>
      <c r="Y144" s="177"/>
      <c r="Z144" s="177"/>
      <c r="AA144" s="208">
        <f t="shared" si="398"/>
        <v>0</v>
      </c>
      <c r="AB144" s="208">
        <f t="shared" si="434"/>
        <v>0</v>
      </c>
      <c r="AC144" s="203"/>
      <c r="AD144" s="205"/>
      <c r="AE144" s="205"/>
      <c r="AF144" s="205"/>
      <c r="AG144" s="204"/>
      <c r="AH144" s="208">
        <f t="shared" si="399"/>
        <v>0</v>
      </c>
      <c r="AI144" s="203"/>
      <c r="AJ144" s="205"/>
      <c r="AK144" s="205"/>
      <c r="AL144" s="205">
        <v>34231.531000000003</v>
      </c>
      <c r="AM144" s="204"/>
      <c r="AN144" s="208">
        <f t="shared" si="400"/>
        <v>34231.531000000003</v>
      </c>
      <c r="AO144" s="203"/>
      <c r="AP144" s="205"/>
      <c r="AQ144" s="205"/>
      <c r="AR144" s="205">
        <f>9919.216+11467.587</f>
        <v>21386.803</v>
      </c>
      <c r="AS144" s="204"/>
      <c r="AT144" s="208">
        <f t="shared" si="401"/>
        <v>21386.803</v>
      </c>
      <c r="AU144" s="203"/>
      <c r="AV144" s="205"/>
      <c r="AW144" s="205"/>
      <c r="AX144" s="205"/>
      <c r="AY144" s="204"/>
      <c r="AZ144" s="208">
        <f t="shared" si="402"/>
        <v>0</v>
      </c>
      <c r="BA144" s="208">
        <f t="shared" si="435"/>
        <v>55618.334000000003</v>
      </c>
      <c r="BB144" s="203"/>
      <c r="BC144" s="205"/>
      <c r="BD144" s="205"/>
      <c r="BE144" s="205"/>
      <c r="BF144" s="204"/>
      <c r="BG144" s="208">
        <f t="shared" si="403"/>
        <v>0</v>
      </c>
      <c r="BH144" s="203"/>
      <c r="BI144" s="205"/>
      <c r="BJ144" s="205"/>
      <c r="BK144" s="205"/>
      <c r="BL144" s="204"/>
      <c r="BM144" s="208">
        <f t="shared" si="404"/>
        <v>0</v>
      </c>
      <c r="BN144" s="203"/>
      <c r="BO144" s="205"/>
      <c r="BP144" s="205"/>
      <c r="BQ144" s="204"/>
      <c r="BR144" s="208">
        <f t="shared" si="405"/>
        <v>0</v>
      </c>
      <c r="BS144" s="203"/>
      <c r="BT144" s="205"/>
      <c r="BU144" s="205"/>
      <c r="BV144" s="205"/>
      <c r="BW144" s="204">
        <v>17865.68</v>
      </c>
      <c r="BX144" s="208">
        <f t="shared" si="390"/>
        <v>17865.68</v>
      </c>
      <c r="BY144" s="203"/>
      <c r="BZ144" s="205">
        <v>6986.15</v>
      </c>
      <c r="CA144" s="208">
        <f t="shared" si="406"/>
        <v>6986.15</v>
      </c>
      <c r="CB144" s="208">
        <f t="shared" si="407"/>
        <v>24851.83</v>
      </c>
      <c r="CC144" s="203"/>
      <c r="CD144" s="205"/>
      <c r="CE144" s="205"/>
      <c r="CF144" s="208">
        <f t="shared" si="408"/>
        <v>0</v>
      </c>
      <c r="CG144" s="203"/>
      <c r="CH144" s="205"/>
      <c r="CI144" s="205"/>
      <c r="CJ144" s="204"/>
      <c r="CK144" s="208">
        <f t="shared" si="391"/>
        <v>0</v>
      </c>
      <c r="CL144" s="203"/>
      <c r="CM144" s="205"/>
      <c r="CN144" s="205"/>
      <c r="CO144" s="205"/>
      <c r="CP144" s="204"/>
      <c r="CQ144" s="208">
        <f t="shared" si="409"/>
        <v>0</v>
      </c>
      <c r="CR144" s="203"/>
      <c r="CS144" s="205"/>
      <c r="CT144" s="205"/>
      <c r="CU144" s="205"/>
      <c r="CV144" s="204"/>
      <c r="CW144" s="208">
        <f t="shared" si="392"/>
        <v>0</v>
      </c>
      <c r="CX144" s="203"/>
      <c r="CY144" s="205"/>
      <c r="CZ144" s="205"/>
      <c r="DA144" s="204"/>
      <c r="DB144" s="208">
        <f t="shared" si="410"/>
        <v>0</v>
      </c>
      <c r="DC144" s="208">
        <f t="shared" si="411"/>
        <v>0</v>
      </c>
      <c r="DD144" s="203"/>
      <c r="DE144" s="205"/>
      <c r="DF144" s="205">
        <v>7334.99</v>
      </c>
      <c r="DG144" s="205"/>
      <c r="DH144" s="205"/>
      <c r="DI144" s="208">
        <f t="shared" si="412"/>
        <v>7334.99</v>
      </c>
      <c r="DJ144" s="203"/>
      <c r="DK144" s="205"/>
      <c r="DL144" s="205"/>
      <c r="DM144" s="205"/>
      <c r="DN144" s="204"/>
      <c r="DO144" s="208">
        <f t="shared" si="413"/>
        <v>0</v>
      </c>
      <c r="DP144" s="203"/>
      <c r="DQ144" s="205"/>
      <c r="DR144" s="205"/>
      <c r="DS144" s="205"/>
      <c r="DT144" s="204"/>
      <c r="DU144" s="245">
        <f t="shared" si="414"/>
        <v>0</v>
      </c>
      <c r="DV144" s="203"/>
      <c r="DW144" s="205"/>
      <c r="DX144" s="205"/>
      <c r="DY144" s="205"/>
      <c r="DZ144" s="204"/>
      <c r="EA144" s="208">
        <f t="shared" si="415"/>
        <v>0</v>
      </c>
      <c r="EB144" s="208">
        <f t="shared" si="416"/>
        <v>7334.99</v>
      </c>
      <c r="EC144" s="203"/>
      <c r="ED144" s="205"/>
      <c r="EE144" s="205"/>
      <c r="EF144" s="205"/>
      <c r="EG144" s="204"/>
      <c r="EH144" s="208">
        <f t="shared" si="417"/>
        <v>0</v>
      </c>
      <c r="EI144" s="203"/>
      <c r="EJ144" s="205"/>
      <c r="EK144" s="205"/>
      <c r="EL144" s="205"/>
      <c r="EM144" s="204"/>
      <c r="EN144" s="208">
        <f t="shared" si="418"/>
        <v>0</v>
      </c>
      <c r="EO144" s="203"/>
      <c r="EP144" s="205"/>
      <c r="EQ144" s="205"/>
      <c r="ER144" s="205"/>
      <c r="ES144" s="204"/>
      <c r="ET144" s="308">
        <f t="shared" si="419"/>
        <v>0</v>
      </c>
      <c r="EU144" s="203"/>
      <c r="EV144" s="205"/>
      <c r="EW144" s="205"/>
      <c r="EX144" s="205"/>
      <c r="EY144" s="205"/>
      <c r="EZ144" s="205"/>
      <c r="FA144" s="204"/>
      <c r="FB144" s="208">
        <f t="shared" si="420"/>
        <v>0</v>
      </c>
      <c r="FC144" s="208">
        <f t="shared" si="421"/>
        <v>0</v>
      </c>
      <c r="FD144" s="203"/>
      <c r="FE144" s="205"/>
      <c r="FF144" s="204"/>
      <c r="FG144" s="208">
        <f t="shared" si="422"/>
        <v>0</v>
      </c>
      <c r="FH144" s="203"/>
      <c r="FI144" s="205"/>
      <c r="FJ144" s="205"/>
      <c r="FK144" s="205"/>
      <c r="FL144" s="204"/>
      <c r="FM144" s="208">
        <f t="shared" si="423"/>
        <v>0</v>
      </c>
      <c r="FN144" s="203"/>
      <c r="FO144" s="205"/>
      <c r="FP144" s="205"/>
      <c r="FQ144" s="205"/>
      <c r="FR144" s="208">
        <f t="shared" si="393"/>
        <v>0</v>
      </c>
      <c r="FS144" s="203"/>
      <c r="FT144" s="205"/>
      <c r="FU144" s="205"/>
      <c r="FV144" s="205"/>
      <c r="FW144" s="204"/>
      <c r="FX144" s="208">
        <f t="shared" si="424"/>
        <v>0</v>
      </c>
      <c r="FY144" s="203"/>
      <c r="FZ144" s="205"/>
      <c r="GA144" s="205"/>
      <c r="GB144" s="205"/>
      <c r="GC144" s="204"/>
      <c r="GD144" s="208">
        <f t="shared" si="425"/>
        <v>0</v>
      </c>
      <c r="GE144" s="208">
        <f t="shared" si="394"/>
        <v>0</v>
      </c>
      <c r="GF144" s="203"/>
      <c r="GG144" s="205"/>
      <c r="GH144" s="205"/>
      <c r="GI144" s="205"/>
      <c r="GJ144" s="205"/>
      <c r="GK144" s="208">
        <f t="shared" si="426"/>
        <v>0</v>
      </c>
      <c r="GL144" s="203"/>
      <c r="GM144" s="205"/>
      <c r="GN144" s="205"/>
      <c r="GO144" s="204"/>
      <c r="GP144" s="208">
        <f t="shared" si="427"/>
        <v>0</v>
      </c>
      <c r="GQ144" s="203"/>
      <c r="GR144" s="205"/>
      <c r="GS144" s="205"/>
      <c r="GT144" s="205"/>
      <c r="GU144" s="204"/>
      <c r="GV144" s="208">
        <f t="shared" si="428"/>
        <v>0</v>
      </c>
      <c r="GW144" s="203"/>
      <c r="GX144" s="205"/>
      <c r="GY144" s="205"/>
      <c r="GZ144" s="205"/>
      <c r="HA144" s="205"/>
      <c r="HB144" s="204"/>
      <c r="HC144" s="208">
        <f t="shared" si="429"/>
        <v>0</v>
      </c>
      <c r="HD144" s="208">
        <f t="shared" si="430"/>
        <v>0</v>
      </c>
      <c r="HE144" s="203"/>
      <c r="HF144" s="205"/>
      <c r="HG144" s="205"/>
      <c r="HH144" s="205"/>
      <c r="HI144" s="208">
        <f t="shared" si="436"/>
        <v>0</v>
      </c>
      <c r="HJ144" s="203"/>
      <c r="HK144" s="205"/>
      <c r="HL144" s="205"/>
      <c r="HM144" s="205"/>
      <c r="HN144" s="204"/>
      <c r="HO144" s="245">
        <f t="shared" si="437"/>
        <v>0</v>
      </c>
      <c r="HP144" s="203">
        <v>17017.743999999999</v>
      </c>
      <c r="HQ144" s="205"/>
      <c r="HR144" s="205"/>
      <c r="HS144" s="205"/>
      <c r="HT144" s="204"/>
      <c r="HU144" s="208">
        <f t="shared" si="438"/>
        <v>17017.743999999999</v>
      </c>
      <c r="HV144" s="203"/>
      <c r="HW144" s="205"/>
      <c r="HX144" s="205"/>
      <c r="HY144" s="208">
        <f t="shared" si="395"/>
        <v>0</v>
      </c>
      <c r="HZ144" s="203"/>
      <c r="IA144" s="205"/>
      <c r="IB144" s="204"/>
      <c r="IC144" s="208">
        <f t="shared" si="439"/>
        <v>0</v>
      </c>
      <c r="ID144" s="208">
        <f t="shared" si="396"/>
        <v>17017.743999999999</v>
      </c>
      <c r="IE144" s="203"/>
      <c r="IF144" s="204"/>
      <c r="IG144" s="208">
        <f t="shared" si="440"/>
        <v>0</v>
      </c>
      <c r="IH144" s="203"/>
      <c r="II144" s="205"/>
      <c r="IJ144" s="205"/>
      <c r="IK144" s="205"/>
      <c r="IL144" s="204"/>
      <c r="IM144" s="208">
        <f t="shared" si="441"/>
        <v>0</v>
      </c>
      <c r="IN144" s="203"/>
      <c r="IO144" s="205"/>
      <c r="IP144" s="204"/>
      <c r="IQ144" s="208">
        <f t="shared" si="442"/>
        <v>0</v>
      </c>
      <c r="IR144" s="203"/>
      <c r="IS144" s="205"/>
      <c r="IT144" s="205"/>
      <c r="IU144" s="205"/>
      <c r="IV144" s="204"/>
      <c r="IW144" s="208">
        <f t="shared" si="443"/>
        <v>0</v>
      </c>
      <c r="IX144" s="203"/>
      <c r="IY144" s="205"/>
      <c r="IZ144" s="205"/>
      <c r="JA144" s="205"/>
      <c r="JB144" s="204"/>
      <c r="JC144" s="208">
        <f t="shared" si="444"/>
        <v>0</v>
      </c>
      <c r="JD144" s="208">
        <f t="shared" si="431"/>
        <v>0</v>
      </c>
      <c r="JE144" s="203"/>
      <c r="JF144" s="205"/>
      <c r="JG144" s="205"/>
      <c r="JH144" s="205"/>
      <c r="JI144" s="204"/>
      <c r="JJ144" s="208">
        <f t="shared" si="445"/>
        <v>0</v>
      </c>
      <c r="JK144" s="203"/>
      <c r="JL144" s="205"/>
      <c r="JM144" s="205"/>
      <c r="JN144" s="205"/>
      <c r="JO144" s="204"/>
      <c r="JP144" s="208">
        <f t="shared" si="446"/>
        <v>0</v>
      </c>
      <c r="JQ144" s="203"/>
      <c r="JR144" s="205"/>
      <c r="JS144" s="205"/>
      <c r="JT144" s="205"/>
      <c r="JU144" s="204"/>
      <c r="JV144" s="208">
        <f t="shared" si="447"/>
        <v>0</v>
      </c>
      <c r="JW144" s="203"/>
      <c r="JX144" s="205"/>
      <c r="JY144" s="205"/>
      <c r="JZ144" s="205"/>
      <c r="KA144" s="205"/>
      <c r="KB144" s="204"/>
      <c r="KC144" s="208">
        <f t="shared" si="448"/>
        <v>0</v>
      </c>
      <c r="KD144" s="208">
        <f t="shared" si="449"/>
        <v>0</v>
      </c>
      <c r="KE144" s="203"/>
      <c r="KF144" s="205"/>
      <c r="KG144" s="205"/>
      <c r="KH144" s="205"/>
      <c r="KI144" s="204"/>
      <c r="KJ144" s="208">
        <f t="shared" si="450"/>
        <v>0</v>
      </c>
      <c r="KK144" s="203"/>
      <c r="KL144" s="205"/>
      <c r="KM144" s="205"/>
      <c r="KN144" s="205"/>
      <c r="KO144" s="204"/>
      <c r="KP144" s="208">
        <f t="shared" si="451"/>
        <v>0</v>
      </c>
      <c r="KQ144" s="203"/>
      <c r="KR144" s="205"/>
      <c r="KS144" s="205"/>
      <c r="KT144" s="205"/>
      <c r="KU144" s="204"/>
      <c r="KV144" s="208">
        <f t="shared" si="452"/>
        <v>0</v>
      </c>
      <c r="KW144" s="203"/>
      <c r="KX144" s="205"/>
      <c r="KY144" s="205"/>
      <c r="KZ144" s="205"/>
      <c r="LA144" s="204"/>
      <c r="LB144" s="208">
        <f t="shared" si="453"/>
        <v>0</v>
      </c>
      <c r="LC144" s="202"/>
      <c r="LD144" s="244"/>
      <c r="LE144" s="245"/>
      <c r="LF144" s="208">
        <f t="shared" si="454"/>
        <v>0</v>
      </c>
      <c r="LG144" s="208">
        <f t="shared" si="455"/>
        <v>0</v>
      </c>
    </row>
    <row r="145" spans="2:319" s="91" customFormat="1">
      <c r="B145" s="203" t="s">
        <v>404</v>
      </c>
      <c r="C145" s="167"/>
      <c r="D145" s="202">
        <f t="shared" si="389"/>
        <v>0</v>
      </c>
      <c r="E145" s="167"/>
      <c r="F145" s="177"/>
      <c r="G145" s="177"/>
      <c r="H145" s="177"/>
      <c r="I145" s="178"/>
      <c r="J145" s="202">
        <f t="shared" si="432"/>
        <v>0</v>
      </c>
      <c r="K145" s="167">
        <f>7127.717+4365.126</f>
        <v>11492.843000000001</v>
      </c>
      <c r="L145" s="177"/>
      <c r="M145" s="177">
        <f>2050.473+3472.284</f>
        <v>5522.7569999999996</v>
      </c>
      <c r="N145" s="178"/>
      <c r="O145" s="202">
        <f t="shared" si="433"/>
        <v>17015.599999999999</v>
      </c>
      <c r="P145" s="167"/>
      <c r="Q145" s="177"/>
      <c r="R145" s="177"/>
      <c r="S145" s="177"/>
      <c r="T145" s="178"/>
      <c r="U145" s="202">
        <f t="shared" si="397"/>
        <v>0</v>
      </c>
      <c r="V145" s="167">
        <f>7071.926+1566.057</f>
        <v>8637.9830000000002</v>
      </c>
      <c r="W145" s="177"/>
      <c r="X145" s="177"/>
      <c r="Y145" s="177">
        <v>6883.634</v>
      </c>
      <c r="Z145" s="177">
        <f>6509.372+4469.93</f>
        <v>10979.302</v>
      </c>
      <c r="AA145" s="208">
        <f t="shared" si="398"/>
        <v>26500.919000000002</v>
      </c>
      <c r="AB145" s="208">
        <f t="shared" si="434"/>
        <v>43516.519</v>
      </c>
      <c r="AC145" s="203">
        <v>15371.812</v>
      </c>
      <c r="AD145" s="205"/>
      <c r="AE145" s="205"/>
      <c r="AF145" s="205"/>
      <c r="AG145" s="204">
        <f>14642.272+1676.841</f>
        <v>16319.113000000001</v>
      </c>
      <c r="AH145" s="208">
        <f t="shared" si="399"/>
        <v>31690.925000000003</v>
      </c>
      <c r="AI145" s="203"/>
      <c r="AJ145" s="205">
        <v>1902.6559999999999</v>
      </c>
      <c r="AK145" s="205"/>
      <c r="AL145" s="205">
        <v>7434.5640000000003</v>
      </c>
      <c r="AM145" s="204"/>
      <c r="AN145" s="208">
        <f t="shared" si="400"/>
        <v>9337.2200000000012</v>
      </c>
      <c r="AO145" s="203">
        <v>10348.307000000001</v>
      </c>
      <c r="AP145" s="205"/>
      <c r="AQ145" s="205"/>
      <c r="AR145" s="205"/>
      <c r="AS145" s="204">
        <v>16403.473999999998</v>
      </c>
      <c r="AT145" s="208">
        <f t="shared" si="401"/>
        <v>26751.780999999999</v>
      </c>
      <c r="AU145" s="203">
        <v>7092.848</v>
      </c>
      <c r="AV145" s="205"/>
      <c r="AW145" s="205"/>
      <c r="AX145" s="205">
        <v>955.98900000000003</v>
      </c>
      <c r="AY145" s="204">
        <v>1186.039</v>
      </c>
      <c r="AZ145" s="208">
        <f t="shared" si="402"/>
        <v>9234.8760000000002</v>
      </c>
      <c r="BA145" s="208">
        <f t="shared" si="435"/>
        <v>77014.801999999996</v>
      </c>
      <c r="BB145" s="203">
        <v>1424.2529999999999</v>
      </c>
      <c r="BC145" s="205">
        <v>2067.11</v>
      </c>
      <c r="BD145" s="205">
        <v>14642.272000000001</v>
      </c>
      <c r="BE145" s="205"/>
      <c r="BF145" s="204">
        <v>4210.3370000000004</v>
      </c>
      <c r="BG145" s="208">
        <f t="shared" si="403"/>
        <v>22343.972000000002</v>
      </c>
      <c r="BH145" s="203">
        <v>7218.3760000000002</v>
      </c>
      <c r="BI145" s="205"/>
      <c r="BJ145" s="205"/>
      <c r="BK145" s="205"/>
      <c r="BL145" s="204"/>
      <c r="BM145" s="208">
        <f t="shared" si="404"/>
        <v>7218.3760000000002</v>
      </c>
      <c r="BN145" s="203">
        <f>743.9+698.765</f>
        <v>1442.665</v>
      </c>
      <c r="BO145" s="205"/>
      <c r="BP145" s="205"/>
      <c r="BQ145" s="204"/>
      <c r="BR145" s="208">
        <f t="shared" si="405"/>
        <v>1442.665</v>
      </c>
      <c r="BS145" s="203"/>
      <c r="BT145" s="205"/>
      <c r="BU145" s="205"/>
      <c r="BV145" s="205"/>
      <c r="BW145" s="204">
        <v>3117.9569999999999</v>
      </c>
      <c r="BX145" s="208">
        <f t="shared" si="390"/>
        <v>3117.9569999999999</v>
      </c>
      <c r="BY145" s="203"/>
      <c r="BZ145" s="205">
        <v>228.512</v>
      </c>
      <c r="CA145" s="208">
        <f t="shared" si="406"/>
        <v>228.512</v>
      </c>
      <c r="CB145" s="208">
        <f t="shared" si="407"/>
        <v>34351.482000000004</v>
      </c>
      <c r="CC145" s="203"/>
      <c r="CD145" s="205"/>
      <c r="CE145" s="205"/>
      <c r="CF145" s="208">
        <f t="shared" si="408"/>
        <v>0</v>
      </c>
      <c r="CG145" s="203"/>
      <c r="CH145" s="205"/>
      <c r="CI145" s="205"/>
      <c r="CJ145" s="204"/>
      <c r="CK145" s="208">
        <f t="shared" si="391"/>
        <v>0</v>
      </c>
      <c r="CL145" s="203"/>
      <c r="CM145" s="205"/>
      <c r="CN145" s="205"/>
      <c r="CO145" s="205">
        <f>1702.578+7750.626+2367.283+4089.629</f>
        <v>15910.115999999998</v>
      </c>
      <c r="CP145" s="204"/>
      <c r="CQ145" s="208">
        <f t="shared" si="409"/>
        <v>15910.115999999998</v>
      </c>
      <c r="CR145" s="203">
        <v>5877.3069999999998</v>
      </c>
      <c r="CS145" s="205"/>
      <c r="CT145" s="205"/>
      <c r="CU145" s="205"/>
      <c r="CV145" s="204"/>
      <c r="CW145" s="208">
        <f t="shared" si="392"/>
        <v>5877.3069999999998</v>
      </c>
      <c r="CX145" s="203"/>
      <c r="CY145" s="205"/>
      <c r="CZ145" s="205"/>
      <c r="DA145" s="204"/>
      <c r="DB145" s="208">
        <f t="shared" si="410"/>
        <v>0</v>
      </c>
      <c r="DC145" s="208">
        <f t="shared" si="411"/>
        <v>21787.422999999999</v>
      </c>
      <c r="DD145" s="203">
        <f>7413.642+6044.453</f>
        <v>13458.095000000001</v>
      </c>
      <c r="DE145" s="205">
        <v>3162.473</v>
      </c>
      <c r="DF145" s="205"/>
      <c r="DG145" s="205"/>
      <c r="DH145" s="205"/>
      <c r="DI145" s="208">
        <f t="shared" si="412"/>
        <v>16620.567999999999</v>
      </c>
      <c r="DJ145" s="203">
        <v>595.03</v>
      </c>
      <c r="DK145" s="205">
        <v>4639.4560000000001</v>
      </c>
      <c r="DL145" s="205"/>
      <c r="DM145" s="205"/>
      <c r="DN145" s="204"/>
      <c r="DO145" s="208">
        <f t="shared" si="413"/>
        <v>5234.4859999999999</v>
      </c>
      <c r="DP145" s="203">
        <v>7322.9830000000002</v>
      </c>
      <c r="DQ145" s="205"/>
      <c r="DR145" s="205"/>
      <c r="DS145" s="205"/>
      <c r="DT145" s="204"/>
      <c r="DU145" s="245">
        <f t="shared" si="414"/>
        <v>7322.9830000000002</v>
      </c>
      <c r="DV145" s="203"/>
      <c r="DW145" s="205">
        <v>2050.1350000000002</v>
      </c>
      <c r="DX145" s="205"/>
      <c r="DY145" s="205"/>
      <c r="DZ145" s="204"/>
      <c r="EA145" s="208">
        <f t="shared" si="415"/>
        <v>2050.1350000000002</v>
      </c>
      <c r="EB145" s="208">
        <f t="shared" si="416"/>
        <v>31228.171999999999</v>
      </c>
      <c r="EC145" s="203"/>
      <c r="ED145" s="205"/>
      <c r="EE145" s="205"/>
      <c r="EF145" s="205"/>
      <c r="EG145" s="204"/>
      <c r="EH145" s="208">
        <f t="shared" si="417"/>
        <v>0</v>
      </c>
      <c r="EI145" s="203"/>
      <c r="EJ145" s="205"/>
      <c r="EK145" s="205">
        <v>2585.7399999999998</v>
      </c>
      <c r="EL145" s="205"/>
      <c r="EM145" s="204"/>
      <c r="EN145" s="208">
        <f t="shared" si="418"/>
        <v>2585.7399999999998</v>
      </c>
      <c r="EO145" s="203">
        <v>6567.2280000000001</v>
      </c>
      <c r="EP145" s="205"/>
      <c r="EQ145" s="205"/>
      <c r="ER145" s="205"/>
      <c r="ES145" s="204"/>
      <c r="ET145" s="308">
        <f t="shared" si="419"/>
        <v>6567.2280000000001</v>
      </c>
      <c r="EU145" s="203">
        <v>3860.3609999999999</v>
      </c>
      <c r="EV145" s="205"/>
      <c r="EW145" s="205"/>
      <c r="EX145" s="205"/>
      <c r="EY145" s="205"/>
      <c r="EZ145" s="205"/>
      <c r="FA145" s="204">
        <f>300.02+1353.585</f>
        <v>1653.605</v>
      </c>
      <c r="FB145" s="208">
        <f t="shared" si="420"/>
        <v>5513.9660000000003</v>
      </c>
      <c r="FC145" s="208">
        <f t="shared" si="421"/>
        <v>14666.933999999999</v>
      </c>
      <c r="FD145" s="203"/>
      <c r="FE145" s="205"/>
      <c r="FF145" s="204">
        <v>7811.9319999999998</v>
      </c>
      <c r="FG145" s="208">
        <f t="shared" si="422"/>
        <v>7811.9319999999998</v>
      </c>
      <c r="FH145" s="203">
        <v>1848.7180000000001</v>
      </c>
      <c r="FI145" s="205"/>
      <c r="FJ145" s="205"/>
      <c r="FK145" s="205"/>
      <c r="FL145" s="204"/>
      <c r="FM145" s="208">
        <f t="shared" si="423"/>
        <v>1848.7180000000001</v>
      </c>
      <c r="FN145" s="203">
        <v>7169.5590000000002</v>
      </c>
      <c r="FO145" s="205">
        <f>1133.465+1675.141</f>
        <v>2808.6059999999998</v>
      </c>
      <c r="FP145" s="205">
        <f>2666.652</f>
        <v>2666.652</v>
      </c>
      <c r="FQ145" s="205"/>
      <c r="FR145" s="208">
        <f t="shared" si="393"/>
        <v>12644.817000000001</v>
      </c>
      <c r="FS145" s="203"/>
      <c r="FT145" s="205"/>
      <c r="FU145" s="205"/>
      <c r="FV145" s="205"/>
      <c r="FW145" s="204"/>
      <c r="FX145" s="208">
        <f t="shared" si="424"/>
        <v>0</v>
      </c>
      <c r="FY145" s="203"/>
      <c r="FZ145" s="205"/>
      <c r="GA145" s="205"/>
      <c r="GB145" s="205"/>
      <c r="GC145" s="204">
        <v>1494.4559999999999</v>
      </c>
      <c r="GD145" s="208">
        <f t="shared" si="425"/>
        <v>1494.4559999999999</v>
      </c>
      <c r="GE145" s="208">
        <f t="shared" si="394"/>
        <v>23799.922999999999</v>
      </c>
      <c r="GF145" s="203"/>
      <c r="GG145" s="205"/>
      <c r="GH145" s="205"/>
      <c r="GI145" s="205"/>
      <c r="GJ145" s="205"/>
      <c r="GK145" s="208">
        <f t="shared" si="426"/>
        <v>0</v>
      </c>
      <c r="GL145" s="203"/>
      <c r="GM145" s="205"/>
      <c r="GN145" s="205"/>
      <c r="GO145" s="204"/>
      <c r="GP145" s="208">
        <f t="shared" si="427"/>
        <v>0</v>
      </c>
      <c r="GQ145" s="203"/>
      <c r="GR145" s="205"/>
      <c r="GS145" s="205"/>
      <c r="GT145" s="205"/>
      <c r="GU145" s="204"/>
      <c r="GV145" s="208">
        <f t="shared" si="428"/>
        <v>0</v>
      </c>
      <c r="GW145" s="203"/>
      <c r="GX145" s="205"/>
      <c r="GY145" s="205"/>
      <c r="GZ145" s="205"/>
      <c r="HA145" s="205"/>
      <c r="HB145" s="204">
        <f>477.22+12052.208</f>
        <v>12529.428</v>
      </c>
      <c r="HC145" s="208">
        <f t="shared" si="429"/>
        <v>12529.428</v>
      </c>
      <c r="HD145" s="208">
        <f t="shared" si="430"/>
        <v>12529.428</v>
      </c>
      <c r="HE145" s="203"/>
      <c r="HF145" s="205"/>
      <c r="HG145" s="205"/>
      <c r="HH145" s="205"/>
      <c r="HI145" s="208">
        <f t="shared" si="436"/>
        <v>0</v>
      </c>
      <c r="HJ145" s="203"/>
      <c r="HK145" s="205"/>
      <c r="HL145" s="205"/>
      <c r="HM145" s="205"/>
      <c r="HN145" s="204"/>
      <c r="HO145" s="245">
        <f t="shared" si="437"/>
        <v>0</v>
      </c>
      <c r="HP145" s="203"/>
      <c r="HQ145" s="205"/>
      <c r="HR145" s="205"/>
      <c r="HS145" s="205">
        <v>7277.6530000000002</v>
      </c>
      <c r="HT145" s="204"/>
      <c r="HU145" s="208">
        <f t="shared" si="438"/>
        <v>7277.6530000000002</v>
      </c>
      <c r="HV145" s="203"/>
      <c r="HW145" s="205"/>
      <c r="HX145" s="205"/>
      <c r="HY145" s="208">
        <f t="shared" si="395"/>
        <v>0</v>
      </c>
      <c r="HZ145" s="203"/>
      <c r="IA145" s="205"/>
      <c r="IB145" s="204"/>
      <c r="IC145" s="208">
        <f t="shared" si="439"/>
        <v>0</v>
      </c>
      <c r="ID145" s="208">
        <f t="shared" si="396"/>
        <v>7277.6530000000002</v>
      </c>
      <c r="IE145" s="203">
        <v>7120.7430000000004</v>
      </c>
      <c r="IF145" s="204">
        <f>5157.841+243.627</f>
        <v>5401.4680000000008</v>
      </c>
      <c r="IG145" s="208">
        <f t="shared" si="440"/>
        <v>12522.211000000001</v>
      </c>
      <c r="IH145" s="203"/>
      <c r="II145" s="205"/>
      <c r="IJ145" s="205"/>
      <c r="IK145" s="205">
        <f>7134.69+3860.72+2009.471</f>
        <v>13004.880999999999</v>
      </c>
      <c r="IL145" s="204"/>
      <c r="IM145" s="208">
        <f t="shared" si="441"/>
        <v>13004.880999999999</v>
      </c>
      <c r="IN145" s="203"/>
      <c r="IO145" s="205"/>
      <c r="IP145" s="204">
        <v>25810.155999999999</v>
      </c>
      <c r="IQ145" s="208">
        <f t="shared" si="442"/>
        <v>25810.155999999999</v>
      </c>
      <c r="IR145" s="203"/>
      <c r="IS145" s="205"/>
      <c r="IT145" s="205"/>
      <c r="IU145" s="205"/>
      <c r="IV145" s="204"/>
      <c r="IW145" s="208">
        <f t="shared" si="443"/>
        <v>0</v>
      </c>
      <c r="IX145" s="203"/>
      <c r="IY145" s="205"/>
      <c r="IZ145" s="205"/>
      <c r="JA145" s="205"/>
      <c r="JB145" s="204"/>
      <c r="JC145" s="208">
        <f t="shared" si="444"/>
        <v>0</v>
      </c>
      <c r="JD145" s="208">
        <f t="shared" si="431"/>
        <v>51337.248</v>
      </c>
      <c r="JE145" s="203"/>
      <c r="JF145" s="205">
        <v>14624.552</v>
      </c>
      <c r="JG145" s="205"/>
      <c r="JH145" s="205"/>
      <c r="JI145" s="204"/>
      <c r="JJ145" s="208">
        <f t="shared" si="445"/>
        <v>14624.552</v>
      </c>
      <c r="JK145" s="203"/>
      <c r="JL145" s="205"/>
      <c r="JM145" s="205"/>
      <c r="JN145" s="205"/>
      <c r="JO145" s="204"/>
      <c r="JP145" s="208">
        <f t="shared" si="446"/>
        <v>0</v>
      </c>
      <c r="JQ145" s="203"/>
      <c r="JR145" s="205"/>
      <c r="JS145" s="205"/>
      <c r="JT145" s="205"/>
      <c r="JU145" s="204"/>
      <c r="JV145" s="208">
        <f t="shared" si="447"/>
        <v>0</v>
      </c>
      <c r="JW145" s="203"/>
      <c r="JX145" s="205"/>
      <c r="JY145" s="205"/>
      <c r="JZ145" s="205"/>
      <c r="KA145" s="205"/>
      <c r="KB145" s="204"/>
      <c r="KC145" s="208">
        <f t="shared" si="448"/>
        <v>0</v>
      </c>
      <c r="KD145" s="208">
        <f t="shared" si="449"/>
        <v>14624.552</v>
      </c>
      <c r="KE145" s="203"/>
      <c r="KF145" s="205"/>
      <c r="KG145" s="205"/>
      <c r="KH145" s="205"/>
      <c r="KI145" s="204"/>
      <c r="KJ145" s="208">
        <f t="shared" si="450"/>
        <v>0</v>
      </c>
      <c r="KK145" s="203"/>
      <c r="KL145" s="205"/>
      <c r="KM145" s="205"/>
      <c r="KN145" s="205"/>
      <c r="KO145" s="204"/>
      <c r="KP145" s="208">
        <f t="shared" si="451"/>
        <v>0</v>
      </c>
      <c r="KQ145" s="203"/>
      <c r="KR145" s="205"/>
      <c r="KS145" s="205"/>
      <c r="KT145" s="205"/>
      <c r="KU145" s="204"/>
      <c r="KV145" s="208">
        <f t="shared" si="452"/>
        <v>0</v>
      </c>
      <c r="KW145" s="203"/>
      <c r="KX145" s="205"/>
      <c r="KY145" s="205"/>
      <c r="KZ145" s="205"/>
      <c r="LA145" s="204"/>
      <c r="LB145" s="208">
        <f t="shared" si="453"/>
        <v>0</v>
      </c>
      <c r="LC145" s="202"/>
      <c r="LD145" s="244"/>
      <c r="LE145" s="245"/>
      <c r="LF145" s="208">
        <f t="shared" si="454"/>
        <v>0</v>
      </c>
      <c r="LG145" s="208">
        <f t="shared" si="455"/>
        <v>0</v>
      </c>
    </row>
    <row r="146" spans="2:319" s="91" customFormat="1">
      <c r="B146" s="203" t="s">
        <v>405</v>
      </c>
      <c r="C146" s="167"/>
      <c r="D146" s="202">
        <f t="shared" si="389"/>
        <v>0</v>
      </c>
      <c r="E146" s="167"/>
      <c r="F146" s="177"/>
      <c r="G146" s="177"/>
      <c r="H146" s="177"/>
      <c r="I146" s="178"/>
      <c r="J146" s="202">
        <f t="shared" si="432"/>
        <v>0</v>
      </c>
      <c r="K146" s="167"/>
      <c r="L146" s="177"/>
      <c r="M146" s="177"/>
      <c r="N146" s="178"/>
      <c r="O146" s="202">
        <f t="shared" si="433"/>
        <v>0</v>
      </c>
      <c r="P146" s="167"/>
      <c r="Q146" s="177"/>
      <c r="R146" s="177">
        <f>564.036+1004.72</f>
        <v>1568.7559999999999</v>
      </c>
      <c r="S146" s="177">
        <f>163.34+1031.339</f>
        <v>1194.6789999999999</v>
      </c>
      <c r="T146" s="178">
        <f>907.625+1004.72</f>
        <v>1912.345</v>
      </c>
      <c r="U146" s="202">
        <f t="shared" si="397"/>
        <v>4675.78</v>
      </c>
      <c r="V146" s="167">
        <v>141.02600000000001</v>
      </c>
      <c r="W146" s="177"/>
      <c r="X146" s="177"/>
      <c r="Y146" s="177">
        <v>830</v>
      </c>
      <c r="Z146" s="177"/>
      <c r="AA146" s="208">
        <f t="shared" si="398"/>
        <v>971.02600000000007</v>
      </c>
      <c r="AB146" s="208">
        <f t="shared" si="434"/>
        <v>5646.8059999999996</v>
      </c>
      <c r="AC146" s="203"/>
      <c r="AD146" s="205"/>
      <c r="AE146" s="205">
        <v>543.29999999999995</v>
      </c>
      <c r="AF146" s="205"/>
      <c r="AG146" s="204">
        <v>693.87</v>
      </c>
      <c r="AH146" s="208">
        <f t="shared" si="399"/>
        <v>1237.17</v>
      </c>
      <c r="AI146" s="203"/>
      <c r="AJ146" s="205"/>
      <c r="AK146" s="205"/>
      <c r="AL146" s="205"/>
      <c r="AM146" s="204"/>
      <c r="AN146" s="208">
        <f t="shared" si="400"/>
        <v>0</v>
      </c>
      <c r="AO146" s="203"/>
      <c r="AP146" s="205"/>
      <c r="AQ146" s="205"/>
      <c r="AR146" s="205"/>
      <c r="AS146" s="204"/>
      <c r="AT146" s="208">
        <f t="shared" si="401"/>
        <v>0</v>
      </c>
      <c r="AU146" s="203"/>
      <c r="AV146" s="205">
        <v>1938.1610000000001</v>
      </c>
      <c r="AW146" s="205"/>
      <c r="AX146" s="205"/>
      <c r="AY146" s="204"/>
      <c r="AZ146" s="208">
        <f t="shared" si="402"/>
        <v>1938.1610000000001</v>
      </c>
      <c r="BA146" s="208">
        <f t="shared" si="435"/>
        <v>3175.3310000000001</v>
      </c>
      <c r="BB146" s="203"/>
      <c r="BC146" s="205"/>
      <c r="BD146" s="205"/>
      <c r="BE146" s="205"/>
      <c r="BF146" s="204"/>
      <c r="BG146" s="208">
        <f t="shared" si="403"/>
        <v>0</v>
      </c>
      <c r="BH146" s="203"/>
      <c r="BI146" s="205"/>
      <c r="BJ146" s="205">
        <v>450</v>
      </c>
      <c r="BK146" s="205">
        <v>2216.25</v>
      </c>
      <c r="BL146" s="204"/>
      <c r="BM146" s="208">
        <f t="shared" si="404"/>
        <v>2666.25</v>
      </c>
      <c r="BN146" s="203"/>
      <c r="BO146" s="205"/>
      <c r="BP146" s="205"/>
      <c r="BQ146" s="204"/>
      <c r="BR146" s="208">
        <f t="shared" si="405"/>
        <v>0</v>
      </c>
      <c r="BS146" s="203">
        <v>595.03</v>
      </c>
      <c r="BT146" s="205"/>
      <c r="BU146" s="205">
        <v>16978.703000000001</v>
      </c>
      <c r="BV146" s="205">
        <v>953.94</v>
      </c>
      <c r="BW146" s="204"/>
      <c r="BX146" s="208">
        <f t="shared" si="390"/>
        <v>18527.672999999999</v>
      </c>
      <c r="BY146" s="203">
        <v>595.03</v>
      </c>
      <c r="BZ146" s="205"/>
      <c r="CA146" s="208">
        <f t="shared" si="406"/>
        <v>595.03</v>
      </c>
      <c r="CB146" s="208">
        <f t="shared" si="407"/>
        <v>21788.952999999998</v>
      </c>
      <c r="CC146" s="203">
        <f>450+1820</f>
        <v>2270</v>
      </c>
      <c r="CD146" s="205"/>
      <c r="CE146" s="205">
        <v>6044.4530000000004</v>
      </c>
      <c r="CF146" s="208">
        <f t="shared" si="408"/>
        <v>8314.4530000000013</v>
      </c>
      <c r="CG146" s="203"/>
      <c r="CH146" s="205"/>
      <c r="CI146" s="205">
        <v>450</v>
      </c>
      <c r="CJ146" s="204"/>
      <c r="CK146" s="208">
        <f t="shared" si="391"/>
        <v>450</v>
      </c>
      <c r="CL146" s="203">
        <v>8126.4970000000003</v>
      </c>
      <c r="CM146" s="205"/>
      <c r="CN146" s="205"/>
      <c r="CO146" s="205"/>
      <c r="CP146" s="204"/>
      <c r="CQ146" s="208">
        <f t="shared" si="409"/>
        <v>8126.4970000000003</v>
      </c>
      <c r="CR146" s="203">
        <v>6044.4530000000004</v>
      </c>
      <c r="CS146" s="205">
        <v>595.03</v>
      </c>
      <c r="CT146" s="205"/>
      <c r="CU146" s="205">
        <v>2076.3609999999999</v>
      </c>
      <c r="CV146" s="204"/>
      <c r="CW146" s="208">
        <f t="shared" si="392"/>
        <v>8715.844000000001</v>
      </c>
      <c r="CX146" s="203">
        <v>2216.25</v>
      </c>
      <c r="CY146" s="205">
        <v>8126.4970000000003</v>
      </c>
      <c r="CZ146" s="205"/>
      <c r="DA146" s="204">
        <v>698.76499999999999</v>
      </c>
      <c r="DB146" s="208">
        <f t="shared" si="410"/>
        <v>11041.511999999999</v>
      </c>
      <c r="DC146" s="208">
        <f t="shared" si="411"/>
        <v>36648.305999999997</v>
      </c>
      <c r="DD146" s="203"/>
      <c r="DE146" s="205"/>
      <c r="DF146" s="205">
        <v>450</v>
      </c>
      <c r="DG146" s="205"/>
      <c r="DH146" s="205"/>
      <c r="DI146" s="208">
        <f t="shared" si="412"/>
        <v>450</v>
      </c>
      <c r="DJ146" s="203">
        <f>16985.242+18003.792</f>
        <v>34989.034</v>
      </c>
      <c r="DK146" s="205">
        <v>248.3</v>
      </c>
      <c r="DL146" s="205"/>
      <c r="DM146" s="205"/>
      <c r="DN146" s="204">
        <v>7555.4430000000002</v>
      </c>
      <c r="DO146" s="208">
        <f t="shared" si="413"/>
        <v>42792.777000000002</v>
      </c>
      <c r="DP146" s="203"/>
      <c r="DQ146" s="205"/>
      <c r="DR146" s="205"/>
      <c r="DS146" s="205"/>
      <c r="DT146" s="204"/>
      <c r="DU146" s="245">
        <f t="shared" si="414"/>
        <v>0</v>
      </c>
      <c r="DV146" s="203"/>
      <c r="DW146" s="205">
        <v>2954.9859999999999</v>
      </c>
      <c r="DX146" s="205">
        <f>8287.692+698.765</f>
        <v>8986.4569999999985</v>
      </c>
      <c r="DY146" s="205">
        <v>1368.9849999999999</v>
      </c>
      <c r="DZ146" s="204">
        <v>955.98900000000003</v>
      </c>
      <c r="EA146" s="208">
        <f t="shared" si="415"/>
        <v>14266.416999999999</v>
      </c>
      <c r="EB146" s="208">
        <f t="shared" si="416"/>
        <v>57509.194000000003</v>
      </c>
      <c r="EC146" s="203"/>
      <c r="ED146" s="205"/>
      <c r="EE146" s="205"/>
      <c r="EF146" s="205"/>
      <c r="EG146" s="204"/>
      <c r="EH146" s="208">
        <f t="shared" si="417"/>
        <v>0</v>
      </c>
      <c r="EI146" s="203"/>
      <c r="EJ146" s="205">
        <v>931.52</v>
      </c>
      <c r="EK146" s="205">
        <v>595.03</v>
      </c>
      <c r="EL146" s="205"/>
      <c r="EM146" s="204"/>
      <c r="EN146" s="208">
        <f t="shared" si="418"/>
        <v>1526.55</v>
      </c>
      <c r="EO146" s="203"/>
      <c r="EP146" s="205"/>
      <c r="EQ146" s="205"/>
      <c r="ER146" s="205"/>
      <c r="ES146" s="204"/>
      <c r="ET146" s="308">
        <f t="shared" si="419"/>
        <v>0</v>
      </c>
      <c r="EU146" s="203"/>
      <c r="EV146" s="205"/>
      <c r="EW146" s="205">
        <v>450</v>
      </c>
      <c r="EX146" s="205"/>
      <c r="EY146" s="205">
        <v>1004.72</v>
      </c>
      <c r="EZ146" s="205"/>
      <c r="FA146" s="204"/>
      <c r="FB146" s="208">
        <f t="shared" si="420"/>
        <v>1454.72</v>
      </c>
      <c r="FC146" s="208">
        <f t="shared" si="421"/>
        <v>2981.27</v>
      </c>
      <c r="FD146" s="203"/>
      <c r="FE146" s="205"/>
      <c r="FF146" s="204">
        <v>11388.654</v>
      </c>
      <c r="FG146" s="208">
        <f t="shared" si="422"/>
        <v>11388.654</v>
      </c>
      <c r="FH146" s="203"/>
      <c r="FI146" s="205"/>
      <c r="FJ146" s="205"/>
      <c r="FK146" s="205">
        <f>660.12+396.98</f>
        <v>1057.0999999999999</v>
      </c>
      <c r="FL146" s="204"/>
      <c r="FM146" s="208">
        <f t="shared" si="423"/>
        <v>1057.0999999999999</v>
      </c>
      <c r="FN146" s="203"/>
      <c r="FO146" s="205">
        <v>2216.25</v>
      </c>
      <c r="FP146" s="205"/>
      <c r="FQ146" s="205"/>
      <c r="FR146" s="208">
        <f t="shared" si="393"/>
        <v>2216.25</v>
      </c>
      <c r="FS146" s="203"/>
      <c r="FT146" s="205">
        <v>1098.866</v>
      </c>
      <c r="FU146" s="205"/>
      <c r="FV146" s="205">
        <v>1186.039</v>
      </c>
      <c r="FW146" s="204"/>
      <c r="FX146" s="208">
        <f t="shared" si="424"/>
        <v>2284.9049999999997</v>
      </c>
      <c r="FY146" s="203"/>
      <c r="FZ146" s="205">
        <v>931.52</v>
      </c>
      <c r="GA146" s="205"/>
      <c r="GB146" s="205"/>
      <c r="GC146" s="204"/>
      <c r="GD146" s="208">
        <f t="shared" si="425"/>
        <v>931.52</v>
      </c>
      <c r="GE146" s="208">
        <f t="shared" si="394"/>
        <v>17878.429</v>
      </c>
      <c r="GF146" s="203">
        <v>2216.25</v>
      </c>
      <c r="GG146" s="205"/>
      <c r="GH146" s="205">
        <f>13317.047+595.03</f>
        <v>13912.077000000001</v>
      </c>
      <c r="GI146" s="205"/>
      <c r="GJ146" s="205"/>
      <c r="GK146" s="208">
        <f t="shared" si="426"/>
        <v>16128.327000000001</v>
      </c>
      <c r="GL146" s="203"/>
      <c r="GM146" s="205"/>
      <c r="GN146" s="205"/>
      <c r="GO146" s="204"/>
      <c r="GP146" s="208">
        <f t="shared" si="427"/>
        <v>0</v>
      </c>
      <c r="GQ146" s="203"/>
      <c r="GR146" s="205"/>
      <c r="GS146" s="205">
        <v>19899.098999999998</v>
      </c>
      <c r="GT146" s="205"/>
      <c r="GU146" s="204"/>
      <c r="GV146" s="208">
        <f t="shared" si="428"/>
        <v>19899.098999999998</v>
      </c>
      <c r="GW146" s="203">
        <v>2216.25</v>
      </c>
      <c r="GX146" s="205">
        <v>1255.777</v>
      </c>
      <c r="GY146" s="205"/>
      <c r="GZ146" s="205"/>
      <c r="HA146" s="205"/>
      <c r="HB146" s="204"/>
      <c r="HC146" s="208">
        <f t="shared" si="429"/>
        <v>3472.027</v>
      </c>
      <c r="HD146" s="208">
        <f t="shared" si="430"/>
        <v>39499.453000000001</v>
      </c>
      <c r="HE146" s="203"/>
      <c r="HF146" s="205">
        <v>595.03</v>
      </c>
      <c r="HG146" s="205"/>
      <c r="HH146" s="205">
        <v>2258.261</v>
      </c>
      <c r="HI146" s="208">
        <f t="shared" si="436"/>
        <v>2853.2910000000002</v>
      </c>
      <c r="HJ146" s="203"/>
      <c r="HK146" s="205"/>
      <c r="HL146" s="205"/>
      <c r="HM146" s="205"/>
      <c r="HN146" s="204"/>
      <c r="HO146" s="245">
        <f t="shared" si="437"/>
        <v>0</v>
      </c>
      <c r="HP146" s="203"/>
      <c r="HQ146" s="205">
        <f>1191.269+12318.503+202.175+3190+3500</f>
        <v>20401.947</v>
      </c>
      <c r="HR146" s="205">
        <v>405</v>
      </c>
      <c r="HS146" s="205"/>
      <c r="HT146" s="204">
        <v>765.14</v>
      </c>
      <c r="HU146" s="208">
        <f t="shared" si="438"/>
        <v>21572.087</v>
      </c>
      <c r="HV146" s="203"/>
      <c r="HW146" s="205">
        <f>262.82+15990.49</f>
        <v>16253.31</v>
      </c>
      <c r="HX146" s="205">
        <v>2170.35</v>
      </c>
      <c r="HY146" s="208">
        <f t="shared" si="395"/>
        <v>18423.66</v>
      </c>
      <c r="HZ146" s="203"/>
      <c r="IA146" s="205"/>
      <c r="IB146" s="204"/>
      <c r="IC146" s="208">
        <f t="shared" si="439"/>
        <v>0</v>
      </c>
      <c r="ID146" s="208">
        <f t="shared" si="396"/>
        <v>42849.038</v>
      </c>
      <c r="IE146" s="203">
        <v>2216.25</v>
      </c>
      <c r="IF146" s="204"/>
      <c r="IG146" s="208">
        <f t="shared" si="440"/>
        <v>2216.25</v>
      </c>
      <c r="IH146" s="203">
        <v>270</v>
      </c>
      <c r="II146" s="205"/>
      <c r="IJ146" s="205"/>
      <c r="IK146" s="205"/>
      <c r="IL146" s="204"/>
      <c r="IM146" s="208">
        <f t="shared" si="441"/>
        <v>270</v>
      </c>
      <c r="IN146" s="203"/>
      <c r="IO146" s="205"/>
      <c r="IP146" s="204">
        <v>14776.57</v>
      </c>
      <c r="IQ146" s="208">
        <f t="shared" si="442"/>
        <v>14776.57</v>
      </c>
      <c r="IR146" s="203"/>
      <c r="IS146" s="205"/>
      <c r="IT146" s="205"/>
      <c r="IU146" s="205">
        <v>595.03</v>
      </c>
      <c r="IV146" s="204"/>
      <c r="IW146" s="208">
        <f t="shared" si="443"/>
        <v>595.03</v>
      </c>
      <c r="IX146" s="203"/>
      <c r="IY146" s="205"/>
      <c r="IZ146" s="205"/>
      <c r="JA146" s="205"/>
      <c r="JB146" s="204">
        <v>1342.9490000000001</v>
      </c>
      <c r="JC146" s="208">
        <f t="shared" si="444"/>
        <v>1342.9490000000001</v>
      </c>
      <c r="JD146" s="208">
        <f t="shared" si="431"/>
        <v>19200.798999999999</v>
      </c>
      <c r="JE146" s="203">
        <f>298.55+73.778</f>
        <v>372.32800000000003</v>
      </c>
      <c r="JF146" s="205"/>
      <c r="JG146" s="205"/>
      <c r="JH146" s="205">
        <v>1379.4929999999999</v>
      </c>
      <c r="JI146" s="204">
        <v>2758.4929999999999</v>
      </c>
      <c r="JJ146" s="208">
        <f t="shared" si="445"/>
        <v>4510.3140000000003</v>
      </c>
      <c r="JK146" s="203"/>
      <c r="JL146" s="205"/>
      <c r="JM146" s="205"/>
      <c r="JN146" s="205"/>
      <c r="JO146" s="204"/>
      <c r="JP146" s="208">
        <f t="shared" si="446"/>
        <v>0</v>
      </c>
      <c r="JQ146" s="203"/>
      <c r="JR146" s="205"/>
      <c r="JS146" s="205"/>
      <c r="JT146" s="205"/>
      <c r="JU146" s="204"/>
      <c r="JV146" s="208">
        <f t="shared" si="447"/>
        <v>0</v>
      </c>
      <c r="JW146" s="203"/>
      <c r="JX146" s="205"/>
      <c r="JY146" s="205"/>
      <c r="JZ146" s="205"/>
      <c r="KA146" s="205"/>
      <c r="KB146" s="204"/>
      <c r="KC146" s="208">
        <f t="shared" si="448"/>
        <v>0</v>
      </c>
      <c r="KD146" s="208">
        <f t="shared" si="449"/>
        <v>4510.3140000000003</v>
      </c>
      <c r="KE146" s="203"/>
      <c r="KF146" s="205"/>
      <c r="KG146" s="205"/>
      <c r="KH146" s="205"/>
      <c r="KI146" s="204"/>
      <c r="KJ146" s="208">
        <f t="shared" si="450"/>
        <v>0</v>
      </c>
      <c r="KK146" s="203"/>
      <c r="KL146" s="205"/>
      <c r="KM146" s="205"/>
      <c r="KN146" s="205"/>
      <c r="KO146" s="204"/>
      <c r="KP146" s="208">
        <f t="shared" si="451"/>
        <v>0</v>
      </c>
      <c r="KQ146" s="203"/>
      <c r="KR146" s="205"/>
      <c r="KS146" s="205"/>
      <c r="KT146" s="205"/>
      <c r="KU146" s="204"/>
      <c r="KV146" s="208">
        <f t="shared" si="452"/>
        <v>0</v>
      </c>
      <c r="KW146" s="203"/>
      <c r="KX146" s="205"/>
      <c r="KY146" s="205"/>
      <c r="KZ146" s="205"/>
      <c r="LA146" s="204"/>
      <c r="LB146" s="208">
        <f t="shared" si="453"/>
        <v>0</v>
      </c>
      <c r="LC146" s="202"/>
      <c r="LD146" s="244"/>
      <c r="LE146" s="245"/>
      <c r="LF146" s="208">
        <f t="shared" si="454"/>
        <v>0</v>
      </c>
      <c r="LG146" s="208">
        <f t="shared" si="455"/>
        <v>0</v>
      </c>
    </row>
    <row r="147" spans="2:319" s="91" customFormat="1">
      <c r="B147" s="167" t="s">
        <v>109</v>
      </c>
      <c r="C147" s="167"/>
      <c r="D147" s="202">
        <f t="shared" si="389"/>
        <v>0</v>
      </c>
      <c r="E147" s="167"/>
      <c r="F147" s="177"/>
      <c r="G147" s="177"/>
      <c r="H147" s="177"/>
      <c r="I147" s="178"/>
      <c r="J147" s="202">
        <f t="shared" si="432"/>
        <v>0</v>
      </c>
      <c r="K147" s="167"/>
      <c r="L147" s="177">
        <v>3052.0410000000002</v>
      </c>
      <c r="M147" s="177"/>
      <c r="N147" s="178">
        <v>5027.7749999999996</v>
      </c>
      <c r="O147" s="202">
        <f t="shared" si="433"/>
        <v>8079.8159999999998</v>
      </c>
      <c r="P147" s="167">
        <v>2035.288</v>
      </c>
      <c r="Q147" s="177"/>
      <c r="R147" s="177"/>
      <c r="S147" s="177"/>
      <c r="T147" s="178"/>
      <c r="U147" s="202">
        <f t="shared" si="397"/>
        <v>2035.288</v>
      </c>
      <c r="V147" s="167">
        <v>1993.3430000000001</v>
      </c>
      <c r="W147" s="177"/>
      <c r="X147" s="177"/>
      <c r="Y147" s="177">
        <f>5530.713+5610.222</f>
        <v>11140.934999999999</v>
      </c>
      <c r="Z147" s="177"/>
      <c r="AA147" s="208">
        <f t="shared" si="398"/>
        <v>13134.278</v>
      </c>
      <c r="AB147" s="208">
        <f t="shared" si="434"/>
        <v>23249.382000000001</v>
      </c>
      <c r="AC147" s="203"/>
      <c r="AD147" s="205">
        <f>5971.581+3762.184</f>
        <v>9733.7649999999994</v>
      </c>
      <c r="AE147" s="205"/>
      <c r="AF147" s="205"/>
      <c r="AG147" s="204">
        <v>1829.144</v>
      </c>
      <c r="AH147" s="208">
        <f t="shared" si="399"/>
        <v>11562.909</v>
      </c>
      <c r="AI147" s="203"/>
      <c r="AJ147" s="205"/>
      <c r="AK147" s="205"/>
      <c r="AL147" s="205">
        <f>3431.476+2185.246</f>
        <v>5616.7219999999998</v>
      </c>
      <c r="AM147" s="204"/>
      <c r="AN147" s="208">
        <f t="shared" si="400"/>
        <v>5616.7219999999998</v>
      </c>
      <c r="AO147" s="203"/>
      <c r="AP147" s="205"/>
      <c r="AQ147" s="205"/>
      <c r="AR147" s="205"/>
      <c r="AS147" s="204"/>
      <c r="AT147" s="208">
        <f t="shared" si="401"/>
        <v>0</v>
      </c>
      <c r="AU147" s="203"/>
      <c r="AV147" s="205"/>
      <c r="AW147" s="205">
        <v>4800.49</v>
      </c>
      <c r="AX147" s="205"/>
      <c r="AY147" s="204"/>
      <c r="AZ147" s="208">
        <f t="shared" si="402"/>
        <v>4800.49</v>
      </c>
      <c r="BA147" s="208">
        <f t="shared" si="435"/>
        <v>21980.120999999999</v>
      </c>
      <c r="BB147" s="203"/>
      <c r="BC147" s="205">
        <v>4450.973</v>
      </c>
      <c r="BD147" s="205"/>
      <c r="BE147" s="205"/>
      <c r="BF147" s="204">
        <v>7561.0990000000002</v>
      </c>
      <c r="BG147" s="208">
        <f t="shared" si="403"/>
        <v>12012.072</v>
      </c>
      <c r="BH147" s="203"/>
      <c r="BI147" s="205"/>
      <c r="BJ147" s="205"/>
      <c r="BK147" s="205"/>
      <c r="BL147" s="204"/>
      <c r="BM147" s="208">
        <f t="shared" si="404"/>
        <v>0</v>
      </c>
      <c r="BN147" s="203"/>
      <c r="BO147" s="205"/>
      <c r="BP147" s="205"/>
      <c r="BQ147" s="204">
        <f>14563.638+1672.011</f>
        <v>16235.649000000001</v>
      </c>
      <c r="BR147" s="208">
        <f t="shared" si="405"/>
        <v>16235.649000000001</v>
      </c>
      <c r="BS147" s="203"/>
      <c r="BT147" s="205"/>
      <c r="BU147" s="205"/>
      <c r="BV147" s="205">
        <v>5071.3729999999996</v>
      </c>
      <c r="BW147" s="204"/>
      <c r="BX147" s="208">
        <f t="shared" si="390"/>
        <v>5071.3729999999996</v>
      </c>
      <c r="BY147" s="203"/>
      <c r="BZ147" s="205"/>
      <c r="CA147" s="208">
        <f t="shared" si="406"/>
        <v>0</v>
      </c>
      <c r="CB147" s="208">
        <f t="shared" si="407"/>
        <v>33319.093999999997</v>
      </c>
      <c r="CC147" s="203"/>
      <c r="CD147" s="205"/>
      <c r="CE147" s="205"/>
      <c r="CF147" s="208">
        <f t="shared" si="408"/>
        <v>0</v>
      </c>
      <c r="CG147" s="203"/>
      <c r="CH147" s="205"/>
      <c r="CI147" s="205"/>
      <c r="CJ147" s="204"/>
      <c r="CK147" s="208">
        <f t="shared" si="391"/>
        <v>0</v>
      </c>
      <c r="CL147" s="203"/>
      <c r="CM147" s="205"/>
      <c r="CN147" s="205"/>
      <c r="CO147" s="205">
        <v>2700.78</v>
      </c>
      <c r="CP147" s="204"/>
      <c r="CQ147" s="208">
        <f t="shared" si="409"/>
        <v>2700.78</v>
      </c>
      <c r="CR147" s="203"/>
      <c r="CS147" s="205">
        <v>8592.7360000000008</v>
      </c>
      <c r="CT147" s="205"/>
      <c r="CU147" s="205"/>
      <c r="CV147" s="204"/>
      <c r="CW147" s="208">
        <f t="shared" si="392"/>
        <v>8592.7360000000008</v>
      </c>
      <c r="CX147" s="203"/>
      <c r="CY147" s="205"/>
      <c r="CZ147" s="205"/>
      <c r="DA147" s="204"/>
      <c r="DB147" s="208">
        <f t="shared" si="410"/>
        <v>0</v>
      </c>
      <c r="DC147" s="208">
        <f t="shared" si="411"/>
        <v>11293.516000000001</v>
      </c>
      <c r="DD147" s="203"/>
      <c r="DE147" s="205"/>
      <c r="DF147" s="205">
        <f>1713.016+3817.138</f>
        <v>5530.1540000000005</v>
      </c>
      <c r="DG147" s="205"/>
      <c r="DH147" s="205"/>
      <c r="DI147" s="208">
        <f t="shared" si="412"/>
        <v>5530.1540000000005</v>
      </c>
      <c r="DJ147" s="203"/>
      <c r="DK147" s="205"/>
      <c r="DL147" s="205"/>
      <c r="DM147" s="205"/>
      <c r="DN147" s="204"/>
      <c r="DO147" s="208">
        <f t="shared" si="413"/>
        <v>0</v>
      </c>
      <c r="DP147" s="203"/>
      <c r="DQ147" s="205"/>
      <c r="DR147" s="205"/>
      <c r="DS147" s="205">
        <v>2244.5149999999999</v>
      </c>
      <c r="DT147" s="204"/>
      <c r="DU147" s="245">
        <f t="shared" si="414"/>
        <v>2244.5149999999999</v>
      </c>
      <c r="DV147" s="203"/>
      <c r="DW147" s="205"/>
      <c r="DX147" s="205"/>
      <c r="DY147" s="205"/>
      <c r="DZ147" s="204"/>
      <c r="EA147" s="208">
        <f t="shared" si="415"/>
        <v>0</v>
      </c>
      <c r="EB147" s="208">
        <f t="shared" si="416"/>
        <v>7774.6689999999999</v>
      </c>
      <c r="EC147" s="203"/>
      <c r="ED147" s="205"/>
      <c r="EE147" s="205"/>
      <c r="EF147" s="205"/>
      <c r="EG147" s="204"/>
      <c r="EH147" s="208">
        <f t="shared" si="417"/>
        <v>0</v>
      </c>
      <c r="EI147" s="203"/>
      <c r="EJ147" s="205">
        <f>6097.326+4348.627</f>
        <v>10445.953000000001</v>
      </c>
      <c r="EK147" s="205"/>
      <c r="EL147" s="205"/>
      <c r="EM147" s="204"/>
      <c r="EN147" s="208">
        <f t="shared" si="418"/>
        <v>10445.953000000001</v>
      </c>
      <c r="EO147" s="203"/>
      <c r="EP147" s="205"/>
      <c r="EQ147" s="205"/>
      <c r="ER147" s="205"/>
      <c r="ES147" s="204"/>
      <c r="ET147" s="308">
        <f t="shared" si="419"/>
        <v>0</v>
      </c>
      <c r="EU147" s="203"/>
      <c r="EV147" s="205"/>
      <c r="EW147" s="205"/>
      <c r="EX147" s="205"/>
      <c r="EY147" s="205"/>
      <c r="EZ147" s="205"/>
      <c r="FA147" s="204"/>
      <c r="FB147" s="208">
        <f t="shared" si="420"/>
        <v>0</v>
      </c>
      <c r="FC147" s="208">
        <f t="shared" si="421"/>
        <v>10445.953000000001</v>
      </c>
      <c r="FD147" s="203"/>
      <c r="FE147" s="205"/>
      <c r="FF147" s="204">
        <v>600.48</v>
      </c>
      <c r="FG147" s="208">
        <f t="shared" si="422"/>
        <v>600.48</v>
      </c>
      <c r="FH147" s="203"/>
      <c r="FI147" s="205"/>
      <c r="FJ147" s="205"/>
      <c r="FK147" s="205">
        <f>19247.056+57675.367</f>
        <v>76922.422999999995</v>
      </c>
      <c r="FL147" s="204">
        <f>6474.434+8683.889+5993.072</f>
        <v>21151.395</v>
      </c>
      <c r="FM147" s="208">
        <f t="shared" si="423"/>
        <v>98073.817999999999</v>
      </c>
      <c r="FN147" s="203"/>
      <c r="FO147" s="205"/>
      <c r="FP147" s="205"/>
      <c r="FQ147" s="205">
        <v>5971.2280000000001</v>
      </c>
      <c r="FR147" s="208">
        <f t="shared" si="393"/>
        <v>5971.2280000000001</v>
      </c>
      <c r="FS147" s="203"/>
      <c r="FT147" s="205"/>
      <c r="FU147" s="205"/>
      <c r="FV147" s="205"/>
      <c r="FW147" s="204"/>
      <c r="FX147" s="208">
        <f t="shared" si="424"/>
        <v>0</v>
      </c>
      <c r="FY147" s="203"/>
      <c r="FZ147" s="205"/>
      <c r="GA147" s="205"/>
      <c r="GB147" s="205"/>
      <c r="GC147" s="204"/>
      <c r="GD147" s="208">
        <f t="shared" si="425"/>
        <v>0</v>
      </c>
      <c r="GE147" s="208">
        <f t="shared" si="394"/>
        <v>104645.526</v>
      </c>
      <c r="GF147" s="203"/>
      <c r="GG147" s="205"/>
      <c r="GH147" s="205"/>
      <c r="GI147" s="205"/>
      <c r="GJ147" s="205"/>
      <c r="GK147" s="208">
        <f t="shared" si="426"/>
        <v>0</v>
      </c>
      <c r="GL147" s="203"/>
      <c r="GM147" s="205"/>
      <c r="GN147" s="205"/>
      <c r="GO147" s="204"/>
      <c r="GP147" s="208">
        <f t="shared" si="427"/>
        <v>0</v>
      </c>
      <c r="GQ147" s="203"/>
      <c r="GR147" s="205"/>
      <c r="GS147" s="205"/>
      <c r="GT147" s="205"/>
      <c r="GU147" s="204"/>
      <c r="GV147" s="208">
        <f t="shared" si="428"/>
        <v>0</v>
      </c>
      <c r="GW147" s="203"/>
      <c r="GX147" s="205"/>
      <c r="GY147" s="205"/>
      <c r="GZ147" s="205">
        <v>151.81399999999999</v>
      </c>
      <c r="HA147" s="205"/>
      <c r="HB147" s="204"/>
      <c r="HC147" s="208">
        <f t="shared" si="429"/>
        <v>151.81399999999999</v>
      </c>
      <c r="HD147" s="208">
        <f t="shared" si="430"/>
        <v>151.81399999999999</v>
      </c>
      <c r="HE147" s="203"/>
      <c r="HF147" s="205"/>
      <c r="HG147" s="205">
        <f>7050.256+4927.484+6067.444</f>
        <v>18045.184000000001</v>
      </c>
      <c r="HH147" s="205"/>
      <c r="HI147" s="208">
        <f t="shared" si="436"/>
        <v>18045.184000000001</v>
      </c>
      <c r="HJ147" s="203"/>
      <c r="HK147" s="205"/>
      <c r="HL147" s="205"/>
      <c r="HM147" s="205"/>
      <c r="HN147" s="204"/>
      <c r="HO147" s="245">
        <f t="shared" si="437"/>
        <v>0</v>
      </c>
      <c r="HP147" s="203"/>
      <c r="HQ147" s="205"/>
      <c r="HR147" s="205"/>
      <c r="HS147" s="205"/>
      <c r="HT147" s="204">
        <v>9956.4920000000002</v>
      </c>
      <c r="HU147" s="208">
        <f t="shared" si="438"/>
        <v>9956.4920000000002</v>
      </c>
      <c r="HV147" s="203"/>
      <c r="HW147" s="205"/>
      <c r="HX147" s="205"/>
      <c r="HY147" s="208">
        <f t="shared" si="395"/>
        <v>0</v>
      </c>
      <c r="HZ147" s="203"/>
      <c r="IA147" s="205"/>
      <c r="IB147" s="204"/>
      <c r="IC147" s="208">
        <f t="shared" si="439"/>
        <v>0</v>
      </c>
      <c r="ID147" s="208">
        <f t="shared" si="396"/>
        <v>28001.675999999999</v>
      </c>
      <c r="IE147" s="203">
        <v>5113.4340000000002</v>
      </c>
      <c r="IF147" s="204"/>
      <c r="IG147" s="208">
        <f t="shared" si="440"/>
        <v>5113.4340000000002</v>
      </c>
      <c r="IH147" s="203"/>
      <c r="II147" s="205"/>
      <c r="IJ147" s="205"/>
      <c r="IK147" s="205"/>
      <c r="IL147" s="204"/>
      <c r="IM147" s="208">
        <f t="shared" si="441"/>
        <v>0</v>
      </c>
      <c r="IN147" s="203"/>
      <c r="IO147" s="205"/>
      <c r="IP147" s="204"/>
      <c r="IQ147" s="208">
        <f t="shared" si="442"/>
        <v>0</v>
      </c>
      <c r="IR147" s="203"/>
      <c r="IS147" s="205"/>
      <c r="IT147" s="205"/>
      <c r="IU147" s="205"/>
      <c r="IV147" s="204"/>
      <c r="IW147" s="208">
        <f t="shared" si="443"/>
        <v>0</v>
      </c>
      <c r="IX147" s="203"/>
      <c r="IY147" s="205"/>
      <c r="IZ147" s="205"/>
      <c r="JA147" s="205"/>
      <c r="JB147" s="204"/>
      <c r="JC147" s="208">
        <f t="shared" si="444"/>
        <v>0</v>
      </c>
      <c r="JD147" s="208">
        <f t="shared" si="431"/>
        <v>5113.4340000000002</v>
      </c>
      <c r="JE147" s="203"/>
      <c r="JF147" s="205"/>
      <c r="JG147" s="205">
        <f>671.546+5839.91+9857.472</f>
        <v>16368.928</v>
      </c>
      <c r="JH147" s="205"/>
      <c r="JI147" s="204"/>
      <c r="JJ147" s="208">
        <f t="shared" si="445"/>
        <v>16368.928</v>
      </c>
      <c r="JK147" s="203"/>
      <c r="JL147" s="205"/>
      <c r="JM147" s="205"/>
      <c r="JN147" s="205"/>
      <c r="JO147" s="204"/>
      <c r="JP147" s="208">
        <f t="shared" si="446"/>
        <v>0</v>
      </c>
      <c r="JQ147" s="203"/>
      <c r="JR147" s="205"/>
      <c r="JS147" s="205"/>
      <c r="JT147" s="205"/>
      <c r="JU147" s="204"/>
      <c r="JV147" s="208">
        <f t="shared" si="447"/>
        <v>0</v>
      </c>
      <c r="JW147" s="203"/>
      <c r="JX147" s="205"/>
      <c r="JY147" s="205"/>
      <c r="JZ147" s="205"/>
      <c r="KA147" s="205"/>
      <c r="KB147" s="204"/>
      <c r="KC147" s="208">
        <f t="shared" si="448"/>
        <v>0</v>
      </c>
      <c r="KD147" s="208">
        <f t="shared" si="449"/>
        <v>16368.928</v>
      </c>
      <c r="KE147" s="203"/>
      <c r="KF147" s="205"/>
      <c r="KG147" s="205"/>
      <c r="KH147" s="205"/>
      <c r="KI147" s="204"/>
      <c r="KJ147" s="208">
        <f t="shared" si="450"/>
        <v>0</v>
      </c>
      <c r="KK147" s="203"/>
      <c r="KL147" s="205"/>
      <c r="KM147" s="205"/>
      <c r="KN147" s="205"/>
      <c r="KO147" s="204"/>
      <c r="KP147" s="208">
        <f t="shared" si="451"/>
        <v>0</v>
      </c>
      <c r="KQ147" s="203"/>
      <c r="KR147" s="205"/>
      <c r="KS147" s="205"/>
      <c r="KT147" s="205"/>
      <c r="KU147" s="204"/>
      <c r="KV147" s="208">
        <f t="shared" si="452"/>
        <v>0</v>
      </c>
      <c r="KW147" s="203"/>
      <c r="KX147" s="205"/>
      <c r="KY147" s="205"/>
      <c r="KZ147" s="205"/>
      <c r="LA147" s="204"/>
      <c r="LB147" s="208">
        <f t="shared" si="453"/>
        <v>0</v>
      </c>
      <c r="LC147" s="202"/>
      <c r="LD147" s="244"/>
      <c r="LE147" s="245"/>
      <c r="LF147" s="208">
        <f t="shared" si="454"/>
        <v>0</v>
      </c>
      <c r="LG147" s="208">
        <f t="shared" si="455"/>
        <v>0</v>
      </c>
    </row>
    <row r="148" spans="2:319" s="91" customFormat="1">
      <c r="B148" s="167" t="s">
        <v>104</v>
      </c>
      <c r="C148" s="167"/>
      <c r="D148" s="202">
        <f t="shared" si="389"/>
        <v>0</v>
      </c>
      <c r="E148" s="167"/>
      <c r="F148" s="177"/>
      <c r="G148" s="177"/>
      <c r="H148" s="177"/>
      <c r="I148" s="178"/>
      <c r="J148" s="202">
        <f t="shared" si="432"/>
        <v>0</v>
      </c>
      <c r="K148" s="167"/>
      <c r="L148" s="177"/>
      <c r="M148" s="177"/>
      <c r="N148" s="178"/>
      <c r="O148" s="202">
        <f t="shared" si="433"/>
        <v>0</v>
      </c>
      <c r="P148" s="167"/>
      <c r="Q148" s="177"/>
      <c r="R148" s="177"/>
      <c r="S148" s="177"/>
      <c r="T148" s="178"/>
      <c r="U148" s="202">
        <f t="shared" si="397"/>
        <v>0</v>
      </c>
      <c r="V148" s="167"/>
      <c r="W148" s="177"/>
      <c r="X148" s="177"/>
      <c r="Y148" s="177"/>
      <c r="Z148" s="177"/>
      <c r="AA148" s="208">
        <f t="shared" si="398"/>
        <v>0</v>
      </c>
      <c r="AB148" s="208">
        <f t="shared" si="434"/>
        <v>0</v>
      </c>
      <c r="AC148" s="203"/>
      <c r="AD148" s="205"/>
      <c r="AE148" s="205"/>
      <c r="AF148" s="205"/>
      <c r="AG148" s="204"/>
      <c r="AH148" s="208">
        <f t="shared" si="399"/>
        <v>0</v>
      </c>
      <c r="AI148" s="203"/>
      <c r="AJ148" s="205"/>
      <c r="AK148" s="205"/>
      <c r="AL148" s="205"/>
      <c r="AM148" s="204"/>
      <c r="AN148" s="208">
        <f t="shared" si="400"/>
        <v>0</v>
      </c>
      <c r="AO148" s="203"/>
      <c r="AP148" s="205"/>
      <c r="AQ148" s="205"/>
      <c r="AR148" s="205"/>
      <c r="AS148" s="204"/>
      <c r="AT148" s="208">
        <f t="shared" si="401"/>
        <v>0</v>
      </c>
      <c r="AU148" s="203"/>
      <c r="AV148" s="205"/>
      <c r="AW148" s="205"/>
      <c r="AX148" s="205"/>
      <c r="AY148" s="204"/>
      <c r="AZ148" s="208">
        <f t="shared" si="402"/>
        <v>0</v>
      </c>
      <c r="BA148" s="208">
        <f t="shared" si="435"/>
        <v>0</v>
      </c>
      <c r="BB148" s="203"/>
      <c r="BC148" s="205"/>
      <c r="BD148" s="205"/>
      <c r="BE148" s="205"/>
      <c r="BF148" s="204"/>
      <c r="BG148" s="208">
        <f t="shared" si="403"/>
        <v>0</v>
      </c>
      <c r="BH148" s="203"/>
      <c r="BI148" s="205"/>
      <c r="BJ148" s="205"/>
      <c r="BK148" s="205"/>
      <c r="BL148" s="204"/>
      <c r="BM148" s="208">
        <f t="shared" si="404"/>
        <v>0</v>
      </c>
      <c r="BN148" s="203"/>
      <c r="BO148" s="205"/>
      <c r="BP148" s="205"/>
      <c r="BQ148" s="204"/>
      <c r="BR148" s="208">
        <f t="shared" si="405"/>
        <v>0</v>
      </c>
      <c r="BS148" s="203"/>
      <c r="BT148" s="205"/>
      <c r="BU148" s="205"/>
      <c r="BV148" s="205"/>
      <c r="BW148" s="204"/>
      <c r="BX148" s="208">
        <f t="shared" si="390"/>
        <v>0</v>
      </c>
      <c r="BY148" s="203"/>
      <c r="BZ148" s="205"/>
      <c r="CA148" s="208">
        <f t="shared" si="406"/>
        <v>0</v>
      </c>
      <c r="CB148" s="208">
        <f t="shared" si="407"/>
        <v>0</v>
      </c>
      <c r="CC148" s="203"/>
      <c r="CD148" s="205"/>
      <c r="CE148" s="205"/>
      <c r="CF148" s="208">
        <f t="shared" si="408"/>
        <v>0</v>
      </c>
      <c r="CG148" s="203"/>
      <c r="CH148" s="205"/>
      <c r="CI148" s="205"/>
      <c r="CJ148" s="204"/>
      <c r="CK148" s="208">
        <f t="shared" si="391"/>
        <v>0</v>
      </c>
      <c r="CL148" s="203"/>
      <c r="CM148" s="205"/>
      <c r="CN148" s="205"/>
      <c r="CO148" s="205"/>
      <c r="CP148" s="204"/>
      <c r="CQ148" s="208">
        <f t="shared" si="409"/>
        <v>0</v>
      </c>
      <c r="CR148" s="203"/>
      <c r="CS148" s="205"/>
      <c r="CT148" s="205"/>
      <c r="CU148" s="205"/>
      <c r="CV148" s="204"/>
      <c r="CW148" s="208">
        <f t="shared" si="392"/>
        <v>0</v>
      </c>
      <c r="CX148" s="203"/>
      <c r="CY148" s="205"/>
      <c r="CZ148" s="205"/>
      <c r="DA148" s="204"/>
      <c r="DB148" s="208">
        <f t="shared" si="410"/>
        <v>0</v>
      </c>
      <c r="DC148" s="208">
        <f t="shared" si="411"/>
        <v>0</v>
      </c>
      <c r="DD148" s="203">
        <v>15000</v>
      </c>
      <c r="DE148" s="205"/>
      <c r="DF148" s="205"/>
      <c r="DG148" s="205"/>
      <c r="DH148" s="205"/>
      <c r="DI148" s="208">
        <f t="shared" si="412"/>
        <v>15000</v>
      </c>
      <c r="DJ148" s="203"/>
      <c r="DK148" s="205"/>
      <c r="DL148" s="205"/>
      <c r="DM148" s="205"/>
      <c r="DN148" s="204"/>
      <c r="DO148" s="208">
        <f t="shared" si="413"/>
        <v>0</v>
      </c>
      <c r="DP148" s="203"/>
      <c r="DQ148" s="205"/>
      <c r="DR148" s="205"/>
      <c r="DS148" s="205"/>
      <c r="DT148" s="204"/>
      <c r="DU148" s="245">
        <f t="shared" si="414"/>
        <v>0</v>
      </c>
      <c r="DV148" s="203"/>
      <c r="DW148" s="205"/>
      <c r="DX148" s="205"/>
      <c r="DY148" s="205"/>
      <c r="DZ148" s="204"/>
      <c r="EA148" s="208">
        <f t="shared" si="415"/>
        <v>0</v>
      </c>
      <c r="EB148" s="208">
        <f t="shared" si="416"/>
        <v>15000</v>
      </c>
      <c r="EC148" s="203"/>
      <c r="ED148" s="205"/>
      <c r="EE148" s="205"/>
      <c r="EF148" s="205"/>
      <c r="EG148" s="204"/>
      <c r="EH148" s="208">
        <f t="shared" si="417"/>
        <v>0</v>
      </c>
      <c r="EI148" s="203"/>
      <c r="EJ148" s="205"/>
      <c r="EK148" s="205"/>
      <c r="EL148" s="205"/>
      <c r="EM148" s="204"/>
      <c r="EN148" s="208">
        <f t="shared" si="418"/>
        <v>0</v>
      </c>
      <c r="EO148" s="203"/>
      <c r="EP148" s="205"/>
      <c r="EQ148" s="205"/>
      <c r="ER148" s="205"/>
      <c r="ES148" s="204"/>
      <c r="ET148" s="308">
        <f t="shared" si="419"/>
        <v>0</v>
      </c>
      <c r="EU148" s="203"/>
      <c r="EV148" s="205"/>
      <c r="EW148" s="205"/>
      <c r="EX148" s="205"/>
      <c r="EY148" s="205"/>
      <c r="EZ148" s="660">
        <v>150000</v>
      </c>
      <c r="FA148" s="204"/>
      <c r="FB148" s="208">
        <f t="shared" si="420"/>
        <v>150000</v>
      </c>
      <c r="FC148" s="208">
        <f t="shared" si="421"/>
        <v>150000</v>
      </c>
      <c r="FD148" s="203"/>
      <c r="FE148" s="205"/>
      <c r="FF148" s="204"/>
      <c r="FG148" s="208">
        <f t="shared" si="422"/>
        <v>0</v>
      </c>
      <c r="FH148" s="203"/>
      <c r="FI148" s="205"/>
      <c r="FJ148" s="205"/>
      <c r="FK148" s="205"/>
      <c r="FL148" s="204"/>
      <c r="FM148" s="208">
        <f t="shared" si="423"/>
        <v>0</v>
      </c>
      <c r="FN148" s="203"/>
      <c r="FO148" s="205"/>
      <c r="FP148" s="205"/>
      <c r="FQ148" s="205"/>
      <c r="FR148" s="208">
        <f t="shared" si="393"/>
        <v>0</v>
      </c>
      <c r="FS148" s="203"/>
      <c r="FT148" s="205"/>
      <c r="FU148" s="205"/>
      <c r="FV148" s="205"/>
      <c r="FW148" s="204"/>
      <c r="FX148" s="208">
        <f t="shared" si="424"/>
        <v>0</v>
      </c>
      <c r="FY148" s="203"/>
      <c r="FZ148" s="205"/>
      <c r="GA148" s="205"/>
      <c r="GB148" s="205"/>
      <c r="GC148" s="204"/>
      <c r="GD148" s="208">
        <f t="shared" si="425"/>
        <v>0</v>
      </c>
      <c r="GE148" s="208">
        <f t="shared" si="394"/>
        <v>0</v>
      </c>
      <c r="GF148" s="203"/>
      <c r="GG148" s="205"/>
      <c r="GH148" s="205"/>
      <c r="GI148" s="205"/>
      <c r="GJ148" s="205"/>
      <c r="GK148" s="208">
        <f t="shared" si="426"/>
        <v>0</v>
      </c>
      <c r="GL148" s="203"/>
      <c r="GM148" s="205"/>
      <c r="GN148" s="205"/>
      <c r="GO148" s="204"/>
      <c r="GP148" s="208">
        <f t="shared" si="427"/>
        <v>0</v>
      </c>
      <c r="GQ148" s="203"/>
      <c r="GR148" s="205"/>
      <c r="GS148" s="205"/>
      <c r="GT148" s="205"/>
      <c r="GU148" s="204"/>
      <c r="GV148" s="208">
        <f t="shared" si="428"/>
        <v>0</v>
      </c>
      <c r="GW148" s="203"/>
      <c r="GX148" s="205"/>
      <c r="GY148" s="205"/>
      <c r="GZ148" s="205"/>
      <c r="HA148" s="205"/>
      <c r="HB148" s="204"/>
      <c r="HC148" s="208">
        <f t="shared" si="429"/>
        <v>0</v>
      </c>
      <c r="HD148" s="208">
        <f t="shared" si="430"/>
        <v>0</v>
      </c>
      <c r="HE148" s="203"/>
      <c r="HF148" s="205"/>
      <c r="HG148" s="205"/>
      <c r="HH148" s="205"/>
      <c r="HI148" s="208">
        <f t="shared" si="436"/>
        <v>0</v>
      </c>
      <c r="HJ148" s="203"/>
      <c r="HK148" s="205"/>
      <c r="HL148" s="205"/>
      <c r="HM148" s="205"/>
      <c r="HN148" s="204"/>
      <c r="HO148" s="245">
        <f t="shared" si="437"/>
        <v>0</v>
      </c>
      <c r="HP148" s="203"/>
      <c r="HQ148" s="205"/>
      <c r="HR148" s="205"/>
      <c r="HS148" s="205"/>
      <c r="HT148" s="204"/>
      <c r="HU148" s="208">
        <f t="shared" si="438"/>
        <v>0</v>
      </c>
      <c r="HV148" s="203"/>
      <c r="HW148" s="205"/>
      <c r="HX148" s="205"/>
      <c r="HY148" s="208">
        <f t="shared" si="395"/>
        <v>0</v>
      </c>
      <c r="HZ148" s="203"/>
      <c r="IA148" s="205"/>
      <c r="IB148" s="204"/>
      <c r="IC148" s="208">
        <f t="shared" si="439"/>
        <v>0</v>
      </c>
      <c r="ID148" s="208">
        <f t="shared" si="396"/>
        <v>0</v>
      </c>
      <c r="IE148" s="203"/>
      <c r="IF148" s="204"/>
      <c r="IG148" s="208">
        <f t="shared" si="440"/>
        <v>0</v>
      </c>
      <c r="IH148" s="203"/>
      <c r="II148" s="205"/>
      <c r="IJ148" s="205"/>
      <c r="IK148" s="205"/>
      <c r="IL148" s="204"/>
      <c r="IM148" s="208">
        <f t="shared" si="441"/>
        <v>0</v>
      </c>
      <c r="IN148" s="203"/>
      <c r="IO148" s="205"/>
      <c r="IP148" s="204"/>
      <c r="IQ148" s="208">
        <f t="shared" si="442"/>
        <v>0</v>
      </c>
      <c r="IR148" s="203"/>
      <c r="IS148" s="205"/>
      <c r="IT148" s="205"/>
      <c r="IU148" s="205"/>
      <c r="IV148" s="204"/>
      <c r="IW148" s="208">
        <f t="shared" si="443"/>
        <v>0</v>
      </c>
      <c r="IX148" s="203"/>
      <c r="IY148" s="205">
        <v>246250</v>
      </c>
      <c r="IZ148" s="205"/>
      <c r="JA148" s="205"/>
      <c r="JB148" s="204"/>
      <c r="JC148" s="208">
        <f t="shared" si="444"/>
        <v>246250</v>
      </c>
      <c r="JD148" s="208">
        <f t="shared" si="431"/>
        <v>246250</v>
      </c>
      <c r="JE148" s="203"/>
      <c r="JF148" s="205"/>
      <c r="JG148" s="205"/>
      <c r="JH148" s="205">
        <v>246250</v>
      </c>
      <c r="JI148" s="204"/>
      <c r="JJ148" s="208">
        <f t="shared" si="445"/>
        <v>246250</v>
      </c>
      <c r="JK148" s="203"/>
      <c r="JL148" s="205"/>
      <c r="JM148" s="205"/>
      <c r="JN148" s="205"/>
      <c r="JO148" s="204"/>
      <c r="JP148" s="208">
        <f t="shared" si="446"/>
        <v>0</v>
      </c>
      <c r="JQ148" s="203"/>
      <c r="JR148" s="205"/>
      <c r="JS148" s="205"/>
      <c r="JT148" s="205"/>
      <c r="JU148" s="204"/>
      <c r="JV148" s="208">
        <f t="shared" si="447"/>
        <v>0</v>
      </c>
      <c r="JW148" s="203"/>
      <c r="JX148" s="205"/>
      <c r="JY148" s="205"/>
      <c r="JZ148" s="205"/>
      <c r="KA148" s="205"/>
      <c r="KB148" s="204"/>
      <c r="KC148" s="208">
        <f t="shared" si="448"/>
        <v>0</v>
      </c>
      <c r="KD148" s="208">
        <f t="shared" si="449"/>
        <v>246250</v>
      </c>
      <c r="KE148" s="203"/>
      <c r="KF148" s="205"/>
      <c r="KG148" s="205"/>
      <c r="KH148" s="205"/>
      <c r="KI148" s="204"/>
      <c r="KJ148" s="208">
        <f t="shared" si="450"/>
        <v>0</v>
      </c>
      <c r="KK148" s="203"/>
      <c r="KL148" s="205"/>
      <c r="KM148" s="205"/>
      <c r="KN148" s="205"/>
      <c r="KO148" s="204"/>
      <c r="KP148" s="208">
        <f t="shared" si="451"/>
        <v>0</v>
      </c>
      <c r="KQ148" s="203"/>
      <c r="KR148" s="205"/>
      <c r="KS148" s="205"/>
      <c r="KT148" s="205"/>
      <c r="KU148" s="204"/>
      <c r="KV148" s="208">
        <f t="shared" si="452"/>
        <v>0</v>
      </c>
      <c r="KW148" s="203"/>
      <c r="KX148" s="205"/>
      <c r="KY148" s="205"/>
      <c r="KZ148" s="205"/>
      <c r="LA148" s="204"/>
      <c r="LB148" s="208">
        <f t="shared" si="453"/>
        <v>0</v>
      </c>
      <c r="LC148" s="202"/>
      <c r="LD148" s="244"/>
      <c r="LE148" s="245"/>
      <c r="LF148" s="208">
        <f t="shared" si="454"/>
        <v>0</v>
      </c>
      <c r="LG148" s="208">
        <f t="shared" si="455"/>
        <v>0</v>
      </c>
    </row>
    <row r="149" spans="2:319" s="91" customFormat="1">
      <c r="B149" s="167" t="s">
        <v>117</v>
      </c>
      <c r="C149" s="167"/>
      <c r="D149" s="202">
        <f t="shared" si="389"/>
        <v>0</v>
      </c>
      <c r="E149" s="167"/>
      <c r="F149" s="177"/>
      <c r="G149" s="177"/>
      <c r="H149" s="177"/>
      <c r="I149" s="178"/>
      <c r="J149" s="202">
        <f t="shared" si="432"/>
        <v>0</v>
      </c>
      <c r="K149" s="167"/>
      <c r="L149" s="177"/>
      <c r="M149" s="177"/>
      <c r="N149" s="178"/>
      <c r="O149" s="202">
        <f t="shared" si="433"/>
        <v>0</v>
      </c>
      <c r="P149" s="167"/>
      <c r="Q149" s="177"/>
      <c r="R149" s="177"/>
      <c r="S149" s="177"/>
      <c r="T149" s="178"/>
      <c r="U149" s="202">
        <f t="shared" si="397"/>
        <v>0</v>
      </c>
      <c r="V149" s="167"/>
      <c r="W149" s="177"/>
      <c r="X149" s="177"/>
      <c r="Y149" s="177"/>
      <c r="Z149" s="177"/>
      <c r="AA149" s="208">
        <f t="shared" si="398"/>
        <v>0</v>
      </c>
      <c r="AB149" s="208">
        <f t="shared" si="434"/>
        <v>0</v>
      </c>
      <c r="AC149" s="203"/>
      <c r="AD149" s="205"/>
      <c r="AE149" s="205"/>
      <c r="AF149" s="205"/>
      <c r="AG149" s="204"/>
      <c r="AH149" s="208">
        <f t="shared" si="399"/>
        <v>0</v>
      </c>
      <c r="AI149" s="203"/>
      <c r="AJ149" s="205"/>
      <c r="AK149" s="205"/>
      <c r="AL149" s="205"/>
      <c r="AM149" s="204"/>
      <c r="AN149" s="208">
        <f t="shared" si="400"/>
        <v>0</v>
      </c>
      <c r="AO149" s="203"/>
      <c r="AP149" s="205"/>
      <c r="AQ149" s="205"/>
      <c r="AR149" s="205"/>
      <c r="AS149" s="204"/>
      <c r="AT149" s="208">
        <f t="shared" si="401"/>
        <v>0</v>
      </c>
      <c r="AU149" s="203"/>
      <c r="AV149" s="205"/>
      <c r="AW149" s="205"/>
      <c r="AX149" s="205"/>
      <c r="AY149" s="204"/>
      <c r="AZ149" s="208">
        <f t="shared" si="402"/>
        <v>0</v>
      </c>
      <c r="BA149" s="208">
        <f t="shared" si="435"/>
        <v>0</v>
      </c>
      <c r="BB149" s="203"/>
      <c r="BC149" s="205"/>
      <c r="BD149" s="205"/>
      <c r="BE149" s="205"/>
      <c r="BF149" s="204"/>
      <c r="BG149" s="208">
        <f t="shared" si="403"/>
        <v>0</v>
      </c>
      <c r="BH149" s="203"/>
      <c r="BI149" s="205"/>
      <c r="BJ149" s="205"/>
      <c r="BK149" s="205"/>
      <c r="BL149" s="204"/>
      <c r="BM149" s="208">
        <f t="shared" si="404"/>
        <v>0</v>
      </c>
      <c r="BN149" s="203"/>
      <c r="BO149" s="205"/>
      <c r="BP149" s="205"/>
      <c r="BQ149" s="204"/>
      <c r="BR149" s="208">
        <f t="shared" si="405"/>
        <v>0</v>
      </c>
      <c r="BS149" s="203"/>
      <c r="BT149" s="205"/>
      <c r="BU149" s="205"/>
      <c r="BV149" s="205"/>
      <c r="BW149" s="204"/>
      <c r="BX149" s="208">
        <f t="shared" si="390"/>
        <v>0</v>
      </c>
      <c r="BY149" s="203"/>
      <c r="BZ149" s="205"/>
      <c r="CA149" s="208">
        <f t="shared" si="406"/>
        <v>0</v>
      </c>
      <c r="CB149" s="208">
        <f t="shared" si="407"/>
        <v>0</v>
      </c>
      <c r="CC149" s="203"/>
      <c r="CD149" s="205"/>
      <c r="CE149" s="205"/>
      <c r="CF149" s="208">
        <f t="shared" si="408"/>
        <v>0</v>
      </c>
      <c r="CG149" s="203"/>
      <c r="CH149" s="205"/>
      <c r="CI149" s="205"/>
      <c r="CJ149" s="204"/>
      <c r="CK149" s="208">
        <f t="shared" si="391"/>
        <v>0</v>
      </c>
      <c r="CL149" s="203"/>
      <c r="CM149" s="205"/>
      <c r="CN149" s="205"/>
      <c r="CO149" s="205"/>
      <c r="CP149" s="204"/>
      <c r="CQ149" s="208">
        <f t="shared" si="409"/>
        <v>0</v>
      </c>
      <c r="CR149" s="203"/>
      <c r="CS149" s="205"/>
      <c r="CT149" s="205"/>
      <c r="CU149" s="205"/>
      <c r="CV149" s="204"/>
      <c r="CW149" s="208">
        <f t="shared" si="392"/>
        <v>0</v>
      </c>
      <c r="CX149" s="203"/>
      <c r="CY149" s="205"/>
      <c r="CZ149" s="205"/>
      <c r="DA149" s="204"/>
      <c r="DB149" s="208">
        <f t="shared" si="410"/>
        <v>0</v>
      </c>
      <c r="DC149" s="208">
        <f t="shared" si="411"/>
        <v>0</v>
      </c>
      <c r="DD149" s="203"/>
      <c r="DE149" s="205"/>
      <c r="DF149" s="205"/>
      <c r="DG149" s="205"/>
      <c r="DH149" s="205"/>
      <c r="DI149" s="208">
        <f t="shared" si="412"/>
        <v>0</v>
      </c>
      <c r="DJ149" s="203"/>
      <c r="DK149" s="205"/>
      <c r="DL149" s="205"/>
      <c r="DM149" s="205"/>
      <c r="DN149" s="204"/>
      <c r="DO149" s="208">
        <f t="shared" si="413"/>
        <v>0</v>
      </c>
      <c r="DP149" s="203"/>
      <c r="DQ149" s="205"/>
      <c r="DR149" s="205"/>
      <c r="DS149" s="205"/>
      <c r="DT149" s="204"/>
      <c r="DU149" s="245">
        <f t="shared" si="414"/>
        <v>0</v>
      </c>
      <c r="DV149" s="203"/>
      <c r="DW149" s="205"/>
      <c r="DX149" s="205"/>
      <c r="DY149" s="205">
        <v>878.86599999999999</v>
      </c>
      <c r="DZ149" s="204"/>
      <c r="EA149" s="208">
        <f t="shared" si="415"/>
        <v>878.86599999999999</v>
      </c>
      <c r="EB149" s="208">
        <f t="shared" si="416"/>
        <v>878.86599999999999</v>
      </c>
      <c r="EC149" s="203"/>
      <c r="ED149" s="205"/>
      <c r="EE149" s="205"/>
      <c r="EF149" s="205"/>
      <c r="EG149" s="204"/>
      <c r="EH149" s="208">
        <f t="shared" si="417"/>
        <v>0</v>
      </c>
      <c r="EI149" s="203"/>
      <c r="EJ149" s="205"/>
      <c r="EK149" s="205"/>
      <c r="EL149" s="205"/>
      <c r="EM149" s="204"/>
      <c r="EN149" s="208">
        <f t="shared" si="418"/>
        <v>0</v>
      </c>
      <c r="EO149" s="203"/>
      <c r="EP149" s="205"/>
      <c r="EQ149" s="205"/>
      <c r="ER149" s="205"/>
      <c r="ES149" s="204"/>
      <c r="ET149" s="308">
        <f t="shared" si="419"/>
        <v>0</v>
      </c>
      <c r="EU149" s="203"/>
      <c r="EV149" s="205"/>
      <c r="EW149" s="205"/>
      <c r="EX149" s="205">
        <v>879.96400000000006</v>
      </c>
      <c r="EY149" s="205"/>
      <c r="EZ149" s="205"/>
      <c r="FA149" s="204"/>
      <c r="FB149" s="208">
        <f t="shared" si="420"/>
        <v>879.96400000000006</v>
      </c>
      <c r="FC149" s="208">
        <f t="shared" si="421"/>
        <v>879.96400000000006</v>
      </c>
      <c r="FD149" s="203"/>
      <c r="FE149" s="205"/>
      <c r="FF149" s="204"/>
      <c r="FG149" s="208">
        <f t="shared" si="422"/>
        <v>0</v>
      </c>
      <c r="FH149" s="203"/>
      <c r="FI149" s="205"/>
      <c r="FJ149" s="205"/>
      <c r="FK149" s="205"/>
      <c r="FL149" s="204"/>
      <c r="FM149" s="208">
        <f t="shared" si="423"/>
        <v>0</v>
      </c>
      <c r="FN149" s="203"/>
      <c r="FO149" s="205"/>
      <c r="FP149" s="205"/>
      <c r="FQ149" s="205"/>
      <c r="FR149" s="208">
        <f t="shared" si="393"/>
        <v>0</v>
      </c>
      <c r="FS149" s="203"/>
      <c r="FT149" s="205"/>
      <c r="FU149" s="205"/>
      <c r="FV149" s="205"/>
      <c r="FW149" s="204"/>
      <c r="FX149" s="208">
        <f t="shared" si="424"/>
        <v>0</v>
      </c>
      <c r="FY149" s="203">
        <v>879.96400000000006</v>
      </c>
      <c r="FZ149" s="205"/>
      <c r="GA149" s="205"/>
      <c r="GB149" s="205"/>
      <c r="GC149" s="204"/>
      <c r="GD149" s="208">
        <f t="shared" si="425"/>
        <v>879.96400000000006</v>
      </c>
      <c r="GE149" s="208">
        <f t="shared" si="394"/>
        <v>879.96400000000006</v>
      </c>
      <c r="GF149" s="203"/>
      <c r="GG149" s="205"/>
      <c r="GH149" s="205"/>
      <c r="GI149" s="205"/>
      <c r="GJ149" s="205"/>
      <c r="GK149" s="208">
        <f t="shared" si="426"/>
        <v>0</v>
      </c>
      <c r="GL149" s="203"/>
      <c r="GM149" s="205"/>
      <c r="GN149" s="205"/>
      <c r="GO149" s="204"/>
      <c r="GP149" s="208">
        <f t="shared" si="427"/>
        <v>0</v>
      </c>
      <c r="GQ149" s="203"/>
      <c r="GR149" s="205"/>
      <c r="GS149" s="205"/>
      <c r="GT149" s="205"/>
      <c r="GU149" s="204"/>
      <c r="GV149" s="208">
        <f t="shared" si="428"/>
        <v>0</v>
      </c>
      <c r="GW149" s="203"/>
      <c r="GX149" s="205">
        <v>879.96400000000006</v>
      </c>
      <c r="GY149" s="205"/>
      <c r="GZ149" s="205"/>
      <c r="HA149" s="205"/>
      <c r="HB149" s="204"/>
      <c r="HC149" s="208">
        <f t="shared" si="429"/>
        <v>879.96400000000006</v>
      </c>
      <c r="HD149" s="208">
        <f t="shared" si="430"/>
        <v>879.96400000000006</v>
      </c>
      <c r="HE149" s="203"/>
      <c r="HF149" s="205"/>
      <c r="HG149" s="205"/>
      <c r="HH149" s="205"/>
      <c r="HI149" s="208">
        <f t="shared" si="436"/>
        <v>0</v>
      </c>
      <c r="HJ149" s="203"/>
      <c r="HK149" s="205"/>
      <c r="HL149" s="205"/>
      <c r="HM149" s="205"/>
      <c r="HN149" s="204"/>
      <c r="HO149" s="245">
        <f t="shared" si="437"/>
        <v>0</v>
      </c>
      <c r="HP149" s="203"/>
      <c r="HQ149" s="205"/>
      <c r="HR149" s="205"/>
      <c r="HS149" s="205"/>
      <c r="HT149" s="204"/>
      <c r="HU149" s="208">
        <f t="shared" si="438"/>
        <v>0</v>
      </c>
      <c r="HV149" s="203"/>
      <c r="HW149" s="205"/>
      <c r="HX149" s="205"/>
      <c r="HY149" s="208">
        <f t="shared" si="395"/>
        <v>0</v>
      </c>
      <c r="HZ149" s="203">
        <v>879.96400000000006</v>
      </c>
      <c r="IA149" s="205"/>
      <c r="IB149" s="204"/>
      <c r="IC149" s="208">
        <f t="shared" si="439"/>
        <v>879.96400000000006</v>
      </c>
      <c r="ID149" s="208">
        <f t="shared" si="396"/>
        <v>879.96400000000006</v>
      </c>
      <c r="IE149" s="203"/>
      <c r="IF149" s="204"/>
      <c r="IG149" s="208">
        <f t="shared" si="440"/>
        <v>0</v>
      </c>
      <c r="IH149" s="203"/>
      <c r="II149" s="205"/>
      <c r="IJ149" s="205"/>
      <c r="IK149" s="205"/>
      <c r="IL149" s="204"/>
      <c r="IM149" s="208">
        <f t="shared" si="441"/>
        <v>0</v>
      </c>
      <c r="IN149" s="203"/>
      <c r="IO149" s="205"/>
      <c r="IP149" s="204"/>
      <c r="IQ149" s="208">
        <f t="shared" si="442"/>
        <v>0</v>
      </c>
      <c r="IR149" s="203"/>
      <c r="IS149" s="205"/>
      <c r="IT149" s="205"/>
      <c r="IU149" s="205"/>
      <c r="IV149" s="204"/>
      <c r="IW149" s="208">
        <f t="shared" si="443"/>
        <v>0</v>
      </c>
      <c r="IX149" s="203">
        <v>879.96400000000006</v>
      </c>
      <c r="IY149" s="205"/>
      <c r="IZ149" s="205"/>
      <c r="JA149" s="205"/>
      <c r="JB149" s="204"/>
      <c r="JC149" s="208">
        <f t="shared" si="444"/>
        <v>879.96400000000006</v>
      </c>
      <c r="JD149" s="208">
        <f t="shared" si="431"/>
        <v>879.96400000000006</v>
      </c>
      <c r="JE149" s="203"/>
      <c r="JF149" s="205"/>
      <c r="JG149" s="205"/>
      <c r="JH149" s="205"/>
      <c r="JI149" s="204"/>
      <c r="JJ149" s="208">
        <f t="shared" si="445"/>
        <v>0</v>
      </c>
      <c r="JK149" s="203"/>
      <c r="JL149" s="205"/>
      <c r="JM149" s="205"/>
      <c r="JN149" s="205"/>
      <c r="JO149" s="204"/>
      <c r="JP149" s="208">
        <f t="shared" si="446"/>
        <v>0</v>
      </c>
      <c r="JQ149" s="203"/>
      <c r="JR149" s="205"/>
      <c r="JS149" s="205"/>
      <c r="JT149" s="205"/>
      <c r="JU149" s="204"/>
      <c r="JV149" s="208">
        <f t="shared" si="447"/>
        <v>0</v>
      </c>
      <c r="JW149" s="203"/>
      <c r="JX149" s="205"/>
      <c r="JY149" s="205"/>
      <c r="JZ149" s="205"/>
      <c r="KA149" s="205"/>
      <c r="KB149" s="204"/>
      <c r="KC149" s="208">
        <f t="shared" si="448"/>
        <v>0</v>
      </c>
      <c r="KD149" s="208">
        <v>880</v>
      </c>
      <c r="KE149" s="203"/>
      <c r="KF149" s="205"/>
      <c r="KG149" s="205"/>
      <c r="KH149" s="205"/>
      <c r="KI149" s="204"/>
      <c r="KJ149" s="208">
        <f t="shared" si="450"/>
        <v>0</v>
      </c>
      <c r="KK149" s="203"/>
      <c r="KL149" s="205"/>
      <c r="KM149" s="205"/>
      <c r="KN149" s="205"/>
      <c r="KO149" s="204"/>
      <c r="KP149" s="208">
        <f t="shared" si="451"/>
        <v>0</v>
      </c>
      <c r="KQ149" s="203"/>
      <c r="KR149" s="205"/>
      <c r="KS149" s="205"/>
      <c r="KT149" s="205"/>
      <c r="KU149" s="204"/>
      <c r="KV149" s="208">
        <f t="shared" si="452"/>
        <v>0</v>
      </c>
      <c r="KW149" s="203"/>
      <c r="KX149" s="205"/>
      <c r="KY149" s="205"/>
      <c r="KZ149" s="205"/>
      <c r="LA149" s="204"/>
      <c r="LB149" s="208">
        <f t="shared" si="453"/>
        <v>0</v>
      </c>
      <c r="LC149" s="202"/>
      <c r="LD149" s="244"/>
      <c r="LE149" s="245"/>
      <c r="LF149" s="208">
        <f t="shared" si="454"/>
        <v>0</v>
      </c>
      <c r="LG149" s="208">
        <v>880</v>
      </c>
    </row>
    <row r="150" spans="2:319" s="91" customFormat="1">
      <c r="B150" s="167" t="s">
        <v>80</v>
      </c>
      <c r="C150" s="167"/>
      <c r="D150" s="202">
        <f t="shared" si="389"/>
        <v>0</v>
      </c>
      <c r="E150" s="167"/>
      <c r="F150" s="177"/>
      <c r="G150" s="177"/>
      <c r="H150" s="177"/>
      <c r="I150" s="178"/>
      <c r="J150" s="202">
        <f t="shared" si="432"/>
        <v>0</v>
      </c>
      <c r="K150" s="167">
        <f>11544.67+11000</f>
        <v>22544.67</v>
      </c>
      <c r="L150" s="177"/>
      <c r="M150" s="177"/>
      <c r="N150" s="178"/>
      <c r="O150" s="202">
        <f t="shared" si="433"/>
        <v>22544.67</v>
      </c>
      <c r="P150" s="167">
        <v>1929.9849999999999</v>
      </c>
      <c r="Q150" s="177">
        <v>116.38200000000001</v>
      </c>
      <c r="R150" s="177"/>
      <c r="S150" s="177"/>
      <c r="T150" s="178"/>
      <c r="U150" s="202">
        <f t="shared" si="397"/>
        <v>2046.367</v>
      </c>
      <c r="V150" s="167"/>
      <c r="W150" s="177"/>
      <c r="X150" s="177"/>
      <c r="Y150" s="177">
        <v>148</v>
      </c>
      <c r="Z150" s="177"/>
      <c r="AA150" s="208">
        <f t="shared" si="398"/>
        <v>148</v>
      </c>
      <c r="AB150" s="208">
        <f t="shared" si="434"/>
        <v>24739.036999999997</v>
      </c>
      <c r="AC150" s="203">
        <v>3772.846</v>
      </c>
      <c r="AD150" s="205">
        <v>65.400000000000006</v>
      </c>
      <c r="AE150" s="205">
        <v>2122.2469999999998</v>
      </c>
      <c r="AF150" s="205"/>
      <c r="AG150" s="204">
        <f>194.632+3712.01+3863.218</f>
        <v>7769.8600000000006</v>
      </c>
      <c r="AH150" s="208">
        <f t="shared" si="399"/>
        <v>13730.353000000001</v>
      </c>
      <c r="AI150" s="203"/>
      <c r="AJ150" s="205"/>
      <c r="AK150" s="205">
        <v>219.685</v>
      </c>
      <c r="AL150" s="205"/>
      <c r="AM150" s="204"/>
      <c r="AN150" s="208">
        <f t="shared" si="400"/>
        <v>219.685</v>
      </c>
      <c r="AO150" s="203">
        <v>1264.5429999999999</v>
      </c>
      <c r="AP150" s="205">
        <v>2275.81</v>
      </c>
      <c r="AQ150" s="205">
        <v>64.421000000000006</v>
      </c>
      <c r="AR150" s="205">
        <v>540.85</v>
      </c>
      <c r="AS150" s="204"/>
      <c r="AT150" s="208">
        <f t="shared" si="401"/>
        <v>4145.6239999999998</v>
      </c>
      <c r="AU150" s="203">
        <v>512.88400000000001</v>
      </c>
      <c r="AV150" s="205"/>
      <c r="AW150" s="205"/>
      <c r="AX150" s="205"/>
      <c r="AY150" s="204"/>
      <c r="AZ150" s="208">
        <f t="shared" si="402"/>
        <v>512.88400000000001</v>
      </c>
      <c r="BA150" s="208">
        <f t="shared" si="435"/>
        <v>18608.546000000002</v>
      </c>
      <c r="BB150" s="203">
        <v>2409.0700000000002</v>
      </c>
      <c r="BC150" s="205"/>
      <c r="BD150" s="205">
        <v>386.89100000000002</v>
      </c>
      <c r="BE150" s="205"/>
      <c r="BF150" s="204"/>
      <c r="BG150" s="208">
        <f t="shared" si="403"/>
        <v>2795.9610000000002</v>
      </c>
      <c r="BH150" s="203"/>
      <c r="BI150" s="205"/>
      <c r="BJ150" s="205">
        <v>3888.4319999999998</v>
      </c>
      <c r="BK150" s="205"/>
      <c r="BL150" s="204"/>
      <c r="BM150" s="208">
        <f t="shared" si="404"/>
        <v>3888.4319999999998</v>
      </c>
      <c r="BN150" s="203"/>
      <c r="BO150" s="205">
        <f>3897.58+732.5</f>
        <v>4630.08</v>
      </c>
      <c r="BP150" s="205"/>
      <c r="BQ150" s="204"/>
      <c r="BR150" s="208">
        <f t="shared" si="405"/>
        <v>4630.08</v>
      </c>
      <c r="BS150" s="203"/>
      <c r="BT150" s="205">
        <v>80.893000000000001</v>
      </c>
      <c r="BU150" s="205"/>
      <c r="BV150" s="205"/>
      <c r="BW150" s="204"/>
      <c r="BX150" s="208">
        <f t="shared" si="390"/>
        <v>80.893000000000001</v>
      </c>
      <c r="BY150" s="203"/>
      <c r="BZ150" s="205">
        <v>3972.288</v>
      </c>
      <c r="CA150" s="208">
        <f t="shared" si="406"/>
        <v>3972.288</v>
      </c>
      <c r="CB150" s="208">
        <f t="shared" si="407"/>
        <v>15367.653999999999</v>
      </c>
      <c r="CC150" s="203"/>
      <c r="CD150" s="205">
        <f>3253.834+2960.18</f>
        <v>6214.0139999999992</v>
      </c>
      <c r="CE150" s="205"/>
      <c r="CF150" s="208">
        <f t="shared" si="408"/>
        <v>6214.0139999999992</v>
      </c>
      <c r="CG150" s="203"/>
      <c r="CH150" s="205"/>
      <c r="CI150" s="205"/>
      <c r="CJ150" s="204"/>
      <c r="CK150" s="208">
        <f t="shared" si="391"/>
        <v>0</v>
      </c>
      <c r="CL150" s="203"/>
      <c r="CM150" s="205"/>
      <c r="CN150" s="205"/>
      <c r="CO150" s="205"/>
      <c r="CP150" s="204">
        <v>1875.8720000000001</v>
      </c>
      <c r="CQ150" s="208">
        <f t="shared" si="409"/>
        <v>1875.8720000000001</v>
      </c>
      <c r="CR150" s="203"/>
      <c r="CS150" s="205"/>
      <c r="CT150" s="205"/>
      <c r="CU150" s="205">
        <v>1952.16</v>
      </c>
      <c r="CV150" s="204"/>
      <c r="CW150" s="208">
        <f t="shared" si="392"/>
        <v>1952.16</v>
      </c>
      <c r="CX150" s="203"/>
      <c r="CY150" s="205"/>
      <c r="CZ150" s="205"/>
      <c r="DA150" s="204"/>
      <c r="DB150" s="208">
        <f t="shared" si="410"/>
        <v>0</v>
      </c>
      <c r="DC150" s="208">
        <f t="shared" si="411"/>
        <v>10042.045999999998</v>
      </c>
      <c r="DD150" s="203"/>
      <c r="DE150" s="205"/>
      <c r="DF150" s="205"/>
      <c r="DG150" s="205"/>
      <c r="DH150" s="205"/>
      <c r="DI150" s="208">
        <f t="shared" si="412"/>
        <v>0</v>
      </c>
      <c r="DJ150" s="203"/>
      <c r="DK150" s="205"/>
      <c r="DL150" s="205"/>
      <c r="DM150" s="205"/>
      <c r="DN150" s="204"/>
      <c r="DO150" s="208">
        <f t="shared" si="413"/>
        <v>0</v>
      </c>
      <c r="DP150" s="203"/>
      <c r="DQ150" s="205"/>
      <c r="DR150" s="205"/>
      <c r="DS150" s="205"/>
      <c r="DT150" s="204"/>
      <c r="DU150" s="245">
        <f t="shared" si="414"/>
        <v>0</v>
      </c>
      <c r="DV150" s="203"/>
      <c r="DW150" s="205"/>
      <c r="DX150" s="205">
        <f>1202.502+61.353+109.65</f>
        <v>1373.5050000000001</v>
      </c>
      <c r="DY150" s="205"/>
      <c r="DZ150" s="204"/>
      <c r="EA150" s="208">
        <f t="shared" si="415"/>
        <v>1373.5050000000001</v>
      </c>
      <c r="EB150" s="208">
        <f t="shared" si="416"/>
        <v>1373.5050000000001</v>
      </c>
      <c r="EC150" s="203"/>
      <c r="ED150" s="205"/>
      <c r="EE150" s="205"/>
      <c r="EF150" s="205"/>
      <c r="EG150" s="204"/>
      <c r="EH150" s="208">
        <f t="shared" si="417"/>
        <v>0</v>
      </c>
      <c r="EI150" s="203"/>
      <c r="EJ150" s="205"/>
      <c r="EK150" s="205"/>
      <c r="EL150" s="205"/>
      <c r="EM150" s="204"/>
      <c r="EN150" s="208">
        <f t="shared" si="418"/>
        <v>0</v>
      </c>
      <c r="EO150" s="203"/>
      <c r="EP150" s="205">
        <v>3904.4859999999999</v>
      </c>
      <c r="EQ150" s="205">
        <v>108.8</v>
      </c>
      <c r="ER150" s="205"/>
      <c r="ES150" s="204">
        <v>4862.942</v>
      </c>
      <c r="ET150" s="308">
        <f t="shared" si="419"/>
        <v>8876.2279999999992</v>
      </c>
      <c r="EU150" s="203"/>
      <c r="EV150" s="205"/>
      <c r="EW150" s="205"/>
      <c r="EX150" s="205"/>
      <c r="EY150" s="205">
        <v>650.1</v>
      </c>
      <c r="EZ150" s="205"/>
      <c r="FA150" s="204"/>
      <c r="FB150" s="208">
        <f t="shared" si="420"/>
        <v>650.1</v>
      </c>
      <c r="FC150" s="208">
        <f t="shared" si="421"/>
        <v>9526.3279999999995</v>
      </c>
      <c r="FD150" s="203"/>
      <c r="FE150" s="205"/>
      <c r="FF150" s="204"/>
      <c r="FG150" s="208">
        <f t="shared" si="422"/>
        <v>0</v>
      </c>
      <c r="FH150" s="203"/>
      <c r="FI150" s="205"/>
      <c r="FJ150" s="205"/>
      <c r="FK150" s="205"/>
      <c r="FL150" s="204"/>
      <c r="FM150" s="208">
        <f t="shared" si="423"/>
        <v>0</v>
      </c>
      <c r="FN150" s="203"/>
      <c r="FO150" s="205"/>
      <c r="FP150" s="205">
        <f>3673.01+2249.183</f>
        <v>5922.1930000000002</v>
      </c>
      <c r="FQ150" s="205">
        <v>67.406000000000006</v>
      </c>
      <c r="FR150" s="208">
        <f t="shared" si="393"/>
        <v>5989.5990000000002</v>
      </c>
      <c r="FS150" s="203">
        <f>1113.089+39413.596+73.07</f>
        <v>40599.754999999997</v>
      </c>
      <c r="FT150" s="205"/>
      <c r="FU150" s="205"/>
      <c r="FV150" s="205"/>
      <c r="FW150" s="204">
        <v>1680.9380000000001</v>
      </c>
      <c r="FX150" s="208">
        <f t="shared" si="424"/>
        <v>42280.692999999999</v>
      </c>
      <c r="FY150" s="203"/>
      <c r="FZ150" s="205"/>
      <c r="GA150" s="205">
        <v>369.51400000000001</v>
      </c>
      <c r="GB150" s="205"/>
      <c r="GC150" s="204"/>
      <c r="GD150" s="208">
        <f t="shared" si="425"/>
        <v>369.51400000000001</v>
      </c>
      <c r="GE150" s="208">
        <f t="shared" si="394"/>
        <v>48639.806000000004</v>
      </c>
      <c r="GF150" s="203"/>
      <c r="GG150" s="205">
        <v>265.5</v>
      </c>
      <c r="GH150" s="205"/>
      <c r="GI150" s="205">
        <v>4308.8450000000003</v>
      </c>
      <c r="GJ150" s="205">
        <v>1197.02</v>
      </c>
      <c r="GK150" s="208">
        <f t="shared" si="426"/>
        <v>5771.3649999999998</v>
      </c>
      <c r="GL150" s="203"/>
      <c r="GM150" s="205"/>
      <c r="GN150" s="205"/>
      <c r="GO150" s="204"/>
      <c r="GP150" s="208">
        <f t="shared" si="427"/>
        <v>0</v>
      </c>
      <c r="GQ150" s="203"/>
      <c r="GR150" s="205"/>
      <c r="GS150" s="205"/>
      <c r="GT150" s="205"/>
      <c r="GU150" s="204"/>
      <c r="GV150" s="208">
        <f t="shared" si="428"/>
        <v>0</v>
      </c>
      <c r="GW150" s="203"/>
      <c r="GX150" s="205"/>
      <c r="GY150" s="205"/>
      <c r="GZ150" s="205"/>
      <c r="HA150" s="205">
        <v>8880.4650000000001</v>
      </c>
      <c r="HB150" s="204"/>
      <c r="HC150" s="208">
        <f t="shared" si="429"/>
        <v>8880.4650000000001</v>
      </c>
      <c r="HD150" s="208">
        <f t="shared" si="430"/>
        <v>14651.83</v>
      </c>
      <c r="HE150" s="203">
        <v>638.64800000000002</v>
      </c>
      <c r="HF150" s="205"/>
      <c r="HG150" s="205"/>
      <c r="HH150" s="205">
        <v>9595.2309999999998</v>
      </c>
      <c r="HI150" s="208">
        <f t="shared" si="436"/>
        <v>10233.878999999999</v>
      </c>
      <c r="HJ150" s="203">
        <v>3694.94</v>
      </c>
      <c r="HK150" s="205"/>
      <c r="HL150" s="205"/>
      <c r="HM150" s="205">
        <v>9130.3590000000004</v>
      </c>
      <c r="HN150" s="204">
        <v>6826.1949999999997</v>
      </c>
      <c r="HO150" s="245">
        <f t="shared" si="437"/>
        <v>19651.493999999999</v>
      </c>
      <c r="HP150" s="203"/>
      <c r="HQ150" s="205"/>
      <c r="HR150" s="205"/>
      <c r="HS150" s="205">
        <v>1884.1010000000001</v>
      </c>
      <c r="HT150" s="204"/>
      <c r="HU150" s="208">
        <f t="shared" si="438"/>
        <v>1884.1010000000001</v>
      </c>
      <c r="HV150" s="203"/>
      <c r="HW150" s="205">
        <f>586.016+376.948</f>
        <v>962.96399999999994</v>
      </c>
      <c r="HX150" s="205"/>
      <c r="HY150" s="208">
        <f t="shared" si="395"/>
        <v>962.96399999999994</v>
      </c>
      <c r="HZ150" s="203"/>
      <c r="IA150" s="205"/>
      <c r="IB150" s="204">
        <f>8776.02</f>
        <v>8776.02</v>
      </c>
      <c r="IC150" s="208">
        <f t="shared" si="439"/>
        <v>8776.02</v>
      </c>
      <c r="ID150" s="208">
        <f t="shared" si="396"/>
        <v>41508.457999999999</v>
      </c>
      <c r="IE150" s="203"/>
      <c r="IF150" s="204"/>
      <c r="IG150" s="208">
        <f t="shared" si="440"/>
        <v>0</v>
      </c>
      <c r="IH150" s="203">
        <f>3694.94+7376.031</f>
        <v>11070.971</v>
      </c>
      <c r="II150" s="205"/>
      <c r="IJ150" s="205"/>
      <c r="IK150" s="205"/>
      <c r="IL150" s="204"/>
      <c r="IM150" s="208">
        <f t="shared" si="441"/>
        <v>11070.971</v>
      </c>
      <c r="IN150" s="203"/>
      <c r="IO150" s="205"/>
      <c r="IP150" s="204"/>
      <c r="IQ150" s="208">
        <f t="shared" si="442"/>
        <v>0</v>
      </c>
      <c r="IR150" s="203"/>
      <c r="IS150" s="205"/>
      <c r="IT150" s="205"/>
      <c r="IU150" s="205"/>
      <c r="IV150" s="204"/>
      <c r="IW150" s="208">
        <f t="shared" si="443"/>
        <v>0</v>
      </c>
      <c r="IX150" s="203"/>
      <c r="IY150" s="205"/>
      <c r="IZ150" s="205"/>
      <c r="JA150" s="205"/>
      <c r="JB150" s="204"/>
      <c r="JC150" s="208">
        <f t="shared" si="444"/>
        <v>0</v>
      </c>
      <c r="JD150" s="208">
        <f t="shared" si="431"/>
        <v>11070.971</v>
      </c>
      <c r="JE150" s="203"/>
      <c r="JF150" s="205"/>
      <c r="JG150" s="205"/>
      <c r="JH150" s="205"/>
      <c r="JI150" s="204">
        <v>3694.94</v>
      </c>
      <c r="JJ150" s="208">
        <f t="shared" si="445"/>
        <v>3694.94</v>
      </c>
      <c r="JK150" s="203"/>
      <c r="JL150" s="205"/>
      <c r="JM150" s="205"/>
      <c r="JN150" s="205"/>
      <c r="JO150" s="204"/>
      <c r="JP150" s="208">
        <f t="shared" si="446"/>
        <v>0</v>
      </c>
      <c r="JQ150" s="203"/>
      <c r="JR150" s="205"/>
      <c r="JS150" s="205"/>
      <c r="JT150" s="205"/>
      <c r="JU150" s="204"/>
      <c r="JV150" s="208">
        <f t="shared" si="447"/>
        <v>0</v>
      </c>
      <c r="JW150" s="203"/>
      <c r="JX150" s="205"/>
      <c r="JY150" s="205"/>
      <c r="JZ150" s="205"/>
      <c r="KA150" s="205"/>
      <c r="KB150" s="204"/>
      <c r="KC150" s="208">
        <f t="shared" si="448"/>
        <v>0</v>
      </c>
      <c r="KD150" s="208">
        <f t="shared" si="449"/>
        <v>3694.94</v>
      </c>
      <c r="KE150" s="203"/>
      <c r="KF150" s="205"/>
      <c r="KG150" s="205"/>
      <c r="KH150" s="205"/>
      <c r="KI150" s="204"/>
      <c r="KJ150" s="208">
        <f t="shared" si="450"/>
        <v>0</v>
      </c>
      <c r="KK150" s="203"/>
      <c r="KL150" s="205"/>
      <c r="KM150" s="205"/>
      <c r="KN150" s="205"/>
      <c r="KO150" s="204"/>
      <c r="KP150" s="208">
        <f t="shared" si="451"/>
        <v>0</v>
      </c>
      <c r="KQ150" s="203"/>
      <c r="KR150" s="205"/>
      <c r="KS150" s="205"/>
      <c r="KT150" s="205"/>
      <c r="KU150" s="204"/>
      <c r="KV150" s="208">
        <f t="shared" si="452"/>
        <v>0</v>
      </c>
      <c r="KW150" s="203"/>
      <c r="KX150" s="205"/>
      <c r="KY150" s="205"/>
      <c r="KZ150" s="205"/>
      <c r="LA150" s="204"/>
      <c r="LB150" s="208">
        <f t="shared" si="453"/>
        <v>0</v>
      </c>
      <c r="LC150" s="202"/>
      <c r="LD150" s="244"/>
      <c r="LE150" s="245"/>
      <c r="LF150" s="208">
        <f t="shared" si="454"/>
        <v>0</v>
      </c>
      <c r="LG150" s="208">
        <f t="shared" si="455"/>
        <v>0</v>
      </c>
    </row>
    <row r="151" spans="2:319" s="91" customFormat="1">
      <c r="B151" s="167" t="s">
        <v>81</v>
      </c>
      <c r="C151" s="167"/>
      <c r="D151" s="202">
        <f t="shared" si="389"/>
        <v>0</v>
      </c>
      <c r="E151" s="167"/>
      <c r="F151" s="177"/>
      <c r="G151" s="177"/>
      <c r="H151" s="177"/>
      <c r="I151" s="178"/>
      <c r="J151" s="202">
        <f t="shared" si="432"/>
        <v>0</v>
      </c>
      <c r="K151" s="167"/>
      <c r="L151" s="177"/>
      <c r="M151" s="177"/>
      <c r="N151" s="178"/>
      <c r="O151" s="202">
        <f t="shared" ref="O151:O165" si="456">SUM(K151:N151)</f>
        <v>0</v>
      </c>
      <c r="P151" s="167"/>
      <c r="Q151" s="177"/>
      <c r="R151" s="177"/>
      <c r="S151" s="177"/>
      <c r="T151" s="178"/>
      <c r="U151" s="202">
        <f t="shared" si="397"/>
        <v>0</v>
      </c>
      <c r="V151" s="167"/>
      <c r="W151" s="177"/>
      <c r="X151" s="177"/>
      <c r="Y151" s="177"/>
      <c r="Z151" s="177"/>
      <c r="AA151" s="208">
        <f t="shared" si="398"/>
        <v>0</v>
      </c>
      <c r="AB151" s="208">
        <f t="shared" si="434"/>
        <v>0</v>
      </c>
      <c r="AC151" s="203">
        <f>13865.91+13622.088</f>
        <v>27487.998</v>
      </c>
      <c r="AD151" s="205"/>
      <c r="AE151" s="205"/>
      <c r="AF151" s="205"/>
      <c r="AG151" s="204">
        <v>13815.1</v>
      </c>
      <c r="AH151" s="208">
        <f t="shared" si="399"/>
        <v>41303.097999999998</v>
      </c>
      <c r="AI151" s="203"/>
      <c r="AJ151" s="205"/>
      <c r="AK151" s="205"/>
      <c r="AL151" s="205"/>
      <c r="AM151" s="204"/>
      <c r="AN151" s="208">
        <f t="shared" si="400"/>
        <v>0</v>
      </c>
      <c r="AO151" s="203"/>
      <c r="AP151" s="205"/>
      <c r="AQ151" s="205"/>
      <c r="AR151" s="205"/>
      <c r="AS151" s="204"/>
      <c r="AT151" s="208">
        <f t="shared" si="401"/>
        <v>0</v>
      </c>
      <c r="AU151" s="203"/>
      <c r="AV151" s="205"/>
      <c r="AW151" s="205"/>
      <c r="AX151" s="205"/>
      <c r="AY151" s="204"/>
      <c r="AZ151" s="208">
        <f t="shared" si="402"/>
        <v>0</v>
      </c>
      <c r="BA151" s="208">
        <f t="shared" si="435"/>
        <v>41303.097999999998</v>
      </c>
      <c r="BB151" s="203"/>
      <c r="BC151" s="205"/>
      <c r="BD151" s="205"/>
      <c r="BE151" s="205"/>
      <c r="BF151" s="204"/>
      <c r="BG151" s="208">
        <f t="shared" si="403"/>
        <v>0</v>
      </c>
      <c r="BH151" s="203">
        <v>11783.1</v>
      </c>
      <c r="BI151" s="205"/>
      <c r="BJ151" s="205"/>
      <c r="BK151" s="205"/>
      <c r="BL151" s="204"/>
      <c r="BM151" s="208">
        <f t="shared" si="404"/>
        <v>11783.1</v>
      </c>
      <c r="BN151" s="203"/>
      <c r="BO151" s="205"/>
      <c r="BP151" s="205"/>
      <c r="BQ151" s="204"/>
      <c r="BR151" s="208">
        <f t="shared" si="405"/>
        <v>0</v>
      </c>
      <c r="BS151" s="203"/>
      <c r="BT151" s="205"/>
      <c r="BU151" s="205"/>
      <c r="BV151" s="205"/>
      <c r="BW151" s="204"/>
      <c r="BX151" s="208">
        <f t="shared" si="390"/>
        <v>0</v>
      </c>
      <c r="BY151" s="203"/>
      <c r="BZ151" s="205"/>
      <c r="CA151" s="208">
        <f t="shared" si="406"/>
        <v>0</v>
      </c>
      <c r="CB151" s="208">
        <f t="shared" si="407"/>
        <v>11783.1</v>
      </c>
      <c r="CC151" s="203"/>
      <c r="CD151" s="205"/>
      <c r="CE151" s="205"/>
      <c r="CF151" s="208">
        <f t="shared" si="408"/>
        <v>0</v>
      </c>
      <c r="CG151" s="203">
        <v>11015.66</v>
      </c>
      <c r="CH151" s="205"/>
      <c r="CI151" s="205"/>
      <c r="CJ151" s="204"/>
      <c r="CK151" s="208">
        <f t="shared" si="391"/>
        <v>11015.66</v>
      </c>
      <c r="CL151" s="203"/>
      <c r="CM151" s="205"/>
      <c r="CN151" s="205"/>
      <c r="CO151" s="205"/>
      <c r="CP151" s="204"/>
      <c r="CQ151" s="208">
        <f t="shared" si="409"/>
        <v>0</v>
      </c>
      <c r="CR151" s="203"/>
      <c r="CS151" s="205"/>
      <c r="CT151" s="205"/>
      <c r="CU151" s="205"/>
      <c r="CV151" s="204"/>
      <c r="CW151" s="208">
        <f t="shared" si="392"/>
        <v>0</v>
      </c>
      <c r="CX151" s="203"/>
      <c r="CY151" s="205"/>
      <c r="CZ151" s="205"/>
      <c r="DA151" s="204"/>
      <c r="DB151" s="208">
        <f t="shared" si="410"/>
        <v>0</v>
      </c>
      <c r="DC151" s="208">
        <f t="shared" si="411"/>
        <v>11015.66</v>
      </c>
      <c r="DD151" s="203"/>
      <c r="DE151" s="205">
        <v>11501.674999999999</v>
      </c>
      <c r="DF151" s="205"/>
      <c r="DG151" s="205"/>
      <c r="DH151" s="205"/>
      <c r="DI151" s="208">
        <f t="shared" si="412"/>
        <v>11501.674999999999</v>
      </c>
      <c r="DJ151" s="203"/>
      <c r="DK151" s="205"/>
      <c r="DL151" s="205"/>
      <c r="DM151" s="205"/>
      <c r="DN151" s="204"/>
      <c r="DO151" s="208">
        <f t="shared" si="413"/>
        <v>0</v>
      </c>
      <c r="DP151" s="203"/>
      <c r="DQ151" s="205"/>
      <c r="DR151" s="205"/>
      <c r="DS151" s="205"/>
      <c r="DT151" s="204"/>
      <c r="DU151" s="245">
        <f t="shared" si="414"/>
        <v>0</v>
      </c>
      <c r="DV151" s="203"/>
      <c r="DW151" s="205"/>
      <c r="DX151" s="205"/>
      <c r="DY151" s="205"/>
      <c r="DZ151" s="204"/>
      <c r="EA151" s="208">
        <f t="shared" si="415"/>
        <v>0</v>
      </c>
      <c r="EB151" s="208">
        <f t="shared" si="416"/>
        <v>11501.674999999999</v>
      </c>
      <c r="EC151" s="203"/>
      <c r="ED151" s="205"/>
      <c r="EE151" s="205"/>
      <c r="EF151" s="205"/>
      <c r="EG151" s="204"/>
      <c r="EH151" s="208">
        <f t="shared" si="417"/>
        <v>0</v>
      </c>
      <c r="EI151" s="203"/>
      <c r="EJ151" s="205"/>
      <c r="EK151" s="205"/>
      <c r="EL151" s="205"/>
      <c r="EM151" s="204"/>
      <c r="EN151" s="208">
        <f t="shared" si="418"/>
        <v>0</v>
      </c>
      <c r="EO151" s="203"/>
      <c r="EP151" s="205"/>
      <c r="EQ151" s="205"/>
      <c r="ER151" s="205"/>
      <c r="ES151" s="204"/>
      <c r="ET151" s="308">
        <f t="shared" si="419"/>
        <v>0</v>
      </c>
      <c r="EU151" s="203"/>
      <c r="EV151" s="205"/>
      <c r="EW151" s="205"/>
      <c r="EX151" s="205"/>
      <c r="EY151" s="205"/>
      <c r="EZ151" s="205"/>
      <c r="FA151" s="204"/>
      <c r="FB151" s="208">
        <f t="shared" si="420"/>
        <v>0</v>
      </c>
      <c r="FC151" s="208">
        <f t="shared" si="421"/>
        <v>0</v>
      </c>
      <c r="FD151" s="203"/>
      <c r="FE151" s="205"/>
      <c r="FF151" s="204"/>
      <c r="FG151" s="208">
        <f t="shared" si="422"/>
        <v>0</v>
      </c>
      <c r="FH151" s="203">
        <v>11558.55</v>
      </c>
      <c r="FI151" s="205"/>
      <c r="FJ151" s="205"/>
      <c r="FK151" s="205"/>
      <c r="FL151" s="204"/>
      <c r="FM151" s="208">
        <f t="shared" si="423"/>
        <v>11558.55</v>
      </c>
      <c r="FN151" s="203"/>
      <c r="FO151" s="205"/>
      <c r="FP151" s="205"/>
      <c r="FQ151" s="205"/>
      <c r="FR151" s="208">
        <f t="shared" si="393"/>
        <v>0</v>
      </c>
      <c r="FS151" s="203"/>
      <c r="FT151" s="205"/>
      <c r="FU151" s="205"/>
      <c r="FV151" s="205"/>
      <c r="FW151" s="204"/>
      <c r="FX151" s="208">
        <f t="shared" si="424"/>
        <v>0</v>
      </c>
      <c r="FY151" s="203"/>
      <c r="FZ151" s="205"/>
      <c r="GA151" s="205"/>
      <c r="GB151" s="205"/>
      <c r="GC151" s="204"/>
      <c r="GD151" s="208">
        <f t="shared" si="425"/>
        <v>0</v>
      </c>
      <c r="GE151" s="208">
        <f t="shared" si="394"/>
        <v>11558.55</v>
      </c>
      <c r="GF151" s="203"/>
      <c r="GG151" s="205">
        <v>11071.17</v>
      </c>
      <c r="GH151" s="205"/>
      <c r="GI151" s="205"/>
      <c r="GJ151" s="205"/>
      <c r="GK151" s="208">
        <f t="shared" si="426"/>
        <v>11071.17</v>
      </c>
      <c r="GL151" s="203"/>
      <c r="GM151" s="205"/>
      <c r="GN151" s="205"/>
      <c r="GO151" s="204"/>
      <c r="GP151" s="208">
        <f t="shared" si="427"/>
        <v>0</v>
      </c>
      <c r="GQ151" s="203"/>
      <c r="GR151" s="205"/>
      <c r="GS151" s="205"/>
      <c r="GT151" s="205"/>
      <c r="GU151" s="204"/>
      <c r="GV151" s="208">
        <f t="shared" si="428"/>
        <v>0</v>
      </c>
      <c r="GW151" s="203"/>
      <c r="GX151" s="205"/>
      <c r="GY151" s="205"/>
      <c r="GZ151" s="205"/>
      <c r="HA151" s="205"/>
      <c r="HB151" s="204"/>
      <c r="HC151" s="208">
        <f t="shared" si="429"/>
        <v>0</v>
      </c>
      <c r="HD151" s="208">
        <f t="shared" si="430"/>
        <v>11071.17</v>
      </c>
      <c r="HE151" s="203"/>
      <c r="HF151" s="205"/>
      <c r="HG151" s="205"/>
      <c r="HH151" s="205"/>
      <c r="HI151" s="208">
        <f t="shared" si="436"/>
        <v>0</v>
      </c>
      <c r="HJ151" s="203"/>
      <c r="HK151" s="205"/>
      <c r="HL151" s="205"/>
      <c r="HM151" s="205"/>
      <c r="HN151" s="204"/>
      <c r="HO151" s="245">
        <f t="shared" si="437"/>
        <v>0</v>
      </c>
      <c r="HP151" s="203"/>
      <c r="HQ151" s="205"/>
      <c r="HR151" s="205"/>
      <c r="HS151" s="205"/>
      <c r="HT151" s="204"/>
      <c r="HU151" s="208">
        <f t="shared" si="438"/>
        <v>0</v>
      </c>
      <c r="HV151" s="203"/>
      <c r="HW151" s="205"/>
      <c r="HX151" s="205"/>
      <c r="HY151" s="208">
        <f t="shared" si="395"/>
        <v>0</v>
      </c>
      <c r="HZ151" s="203"/>
      <c r="IA151" s="205"/>
      <c r="IB151" s="204"/>
      <c r="IC151" s="208">
        <f t="shared" si="439"/>
        <v>0</v>
      </c>
      <c r="ID151" s="208">
        <f t="shared" si="396"/>
        <v>0</v>
      </c>
      <c r="IE151" s="203"/>
      <c r="IF151" s="204"/>
      <c r="IG151" s="208">
        <f t="shared" si="440"/>
        <v>0</v>
      </c>
      <c r="IH151" s="203"/>
      <c r="II151" s="205"/>
      <c r="IJ151" s="205"/>
      <c r="IK151" s="205"/>
      <c r="IL151" s="204"/>
      <c r="IM151" s="208">
        <f t="shared" si="441"/>
        <v>0</v>
      </c>
      <c r="IN151" s="203">
        <f>12060.8+12961.15</f>
        <v>25021.949999999997</v>
      </c>
      <c r="IO151" s="205"/>
      <c r="IP151" s="204"/>
      <c r="IQ151" s="208">
        <f t="shared" si="442"/>
        <v>25021.949999999997</v>
      </c>
      <c r="IR151" s="203"/>
      <c r="IS151" s="205"/>
      <c r="IT151" s="205"/>
      <c r="IU151" s="205"/>
      <c r="IV151" s="204"/>
      <c r="IW151" s="208">
        <f t="shared" si="443"/>
        <v>0</v>
      </c>
      <c r="IX151" s="203"/>
      <c r="IY151" s="205"/>
      <c r="IZ151" s="205"/>
      <c r="JA151" s="205"/>
      <c r="JB151" s="204"/>
      <c r="JC151" s="208">
        <f t="shared" si="444"/>
        <v>0</v>
      </c>
      <c r="JD151" s="208">
        <f t="shared" si="431"/>
        <v>25021.949999999997</v>
      </c>
      <c r="JE151" s="203"/>
      <c r="JF151" s="205"/>
      <c r="JG151" s="205"/>
      <c r="JH151" s="205"/>
      <c r="JI151" s="204"/>
      <c r="JJ151" s="208">
        <f t="shared" si="445"/>
        <v>0</v>
      </c>
      <c r="JK151" s="203"/>
      <c r="JL151" s="205"/>
      <c r="JM151" s="205"/>
      <c r="JN151" s="205"/>
      <c r="JO151" s="204"/>
      <c r="JP151" s="208">
        <f t="shared" si="446"/>
        <v>0</v>
      </c>
      <c r="JQ151" s="203"/>
      <c r="JR151" s="205"/>
      <c r="JS151" s="205"/>
      <c r="JT151" s="205"/>
      <c r="JU151" s="204"/>
      <c r="JV151" s="208">
        <f t="shared" si="447"/>
        <v>0</v>
      </c>
      <c r="JW151" s="203"/>
      <c r="JX151" s="205"/>
      <c r="JY151" s="205"/>
      <c r="JZ151" s="205"/>
      <c r="KA151" s="205"/>
      <c r="KB151" s="204"/>
      <c r="KC151" s="208">
        <f t="shared" si="448"/>
        <v>0</v>
      </c>
      <c r="KD151" s="208">
        <f t="shared" si="449"/>
        <v>0</v>
      </c>
      <c r="KE151" s="203"/>
      <c r="KF151" s="205"/>
      <c r="KG151" s="205"/>
      <c r="KH151" s="205"/>
      <c r="KI151" s="204"/>
      <c r="KJ151" s="208">
        <f t="shared" si="450"/>
        <v>0</v>
      </c>
      <c r="KK151" s="203"/>
      <c r="KL151" s="205"/>
      <c r="KM151" s="205"/>
      <c r="KN151" s="205"/>
      <c r="KO151" s="204"/>
      <c r="KP151" s="208">
        <f t="shared" si="451"/>
        <v>0</v>
      </c>
      <c r="KQ151" s="203"/>
      <c r="KR151" s="205"/>
      <c r="KS151" s="205"/>
      <c r="KT151" s="205"/>
      <c r="KU151" s="204"/>
      <c r="KV151" s="208">
        <f t="shared" si="452"/>
        <v>0</v>
      </c>
      <c r="KW151" s="203"/>
      <c r="KX151" s="205"/>
      <c r="KY151" s="205"/>
      <c r="KZ151" s="205"/>
      <c r="LA151" s="204"/>
      <c r="LB151" s="208">
        <f t="shared" si="453"/>
        <v>0</v>
      </c>
      <c r="LC151" s="202"/>
      <c r="LD151" s="244"/>
      <c r="LE151" s="245"/>
      <c r="LF151" s="208">
        <f t="shared" si="454"/>
        <v>0</v>
      </c>
      <c r="LG151" s="208">
        <f t="shared" si="455"/>
        <v>0</v>
      </c>
    </row>
    <row r="152" spans="2:319" s="91" customFormat="1">
      <c r="B152" s="167" t="s">
        <v>82</v>
      </c>
      <c r="C152" s="167"/>
      <c r="D152" s="202">
        <f t="shared" si="389"/>
        <v>0</v>
      </c>
      <c r="E152" s="167"/>
      <c r="F152" s="177"/>
      <c r="G152" s="177"/>
      <c r="H152" s="177"/>
      <c r="I152" s="178"/>
      <c r="J152" s="202">
        <f t="shared" si="432"/>
        <v>0</v>
      </c>
      <c r="K152" s="167"/>
      <c r="L152" s="177"/>
      <c r="M152" s="177"/>
      <c r="N152" s="178"/>
      <c r="O152" s="202">
        <f t="shared" si="456"/>
        <v>0</v>
      </c>
      <c r="P152" s="167"/>
      <c r="Q152" s="177"/>
      <c r="R152" s="177"/>
      <c r="S152" s="177"/>
      <c r="T152" s="178"/>
      <c r="U152" s="202">
        <f t="shared" si="397"/>
        <v>0</v>
      </c>
      <c r="V152" s="167"/>
      <c r="W152" s="177"/>
      <c r="X152" s="177">
        <f>51900.755+37652.999</f>
        <v>89553.754000000001</v>
      </c>
      <c r="Y152" s="177"/>
      <c r="Z152" s="177"/>
      <c r="AA152" s="208">
        <f t="shared" si="398"/>
        <v>89553.754000000001</v>
      </c>
      <c r="AB152" s="208">
        <f t="shared" si="434"/>
        <v>89553.754000000001</v>
      </c>
      <c r="AC152" s="203"/>
      <c r="AD152" s="205"/>
      <c r="AE152" s="205"/>
      <c r="AF152" s="205"/>
      <c r="AG152" s="204"/>
      <c r="AH152" s="208">
        <f t="shared" si="399"/>
        <v>0</v>
      </c>
      <c r="AI152" s="203"/>
      <c r="AJ152" s="205"/>
      <c r="AK152" s="205"/>
      <c r="AL152" s="205"/>
      <c r="AM152" s="204"/>
      <c r="AN152" s="208">
        <f t="shared" si="400"/>
        <v>0</v>
      </c>
      <c r="AO152" s="203"/>
      <c r="AP152" s="205"/>
      <c r="AQ152" s="205"/>
      <c r="AR152" s="205"/>
      <c r="AS152" s="204"/>
      <c r="AT152" s="208">
        <f t="shared" si="401"/>
        <v>0</v>
      </c>
      <c r="AU152" s="203"/>
      <c r="AV152" s="205"/>
      <c r="AW152" s="205"/>
      <c r="AX152" s="205"/>
      <c r="AY152" s="204">
        <f>33341.084+45736.25</f>
        <v>79077.334000000003</v>
      </c>
      <c r="AZ152" s="208">
        <f t="shared" si="402"/>
        <v>79077.334000000003</v>
      </c>
      <c r="BA152" s="208">
        <f t="shared" si="435"/>
        <v>79077.334000000003</v>
      </c>
      <c r="BB152" s="203"/>
      <c r="BC152" s="205"/>
      <c r="BD152" s="205"/>
      <c r="BE152" s="205"/>
      <c r="BF152" s="204"/>
      <c r="BG152" s="208">
        <f t="shared" si="403"/>
        <v>0</v>
      </c>
      <c r="BH152" s="203"/>
      <c r="BI152" s="205"/>
      <c r="BJ152" s="205"/>
      <c r="BK152" s="205"/>
      <c r="BL152" s="204"/>
      <c r="BM152" s="208">
        <f t="shared" si="404"/>
        <v>0</v>
      </c>
      <c r="BN152" s="203"/>
      <c r="BO152" s="205"/>
      <c r="BP152" s="205"/>
      <c r="BQ152" s="204"/>
      <c r="BR152" s="208">
        <f t="shared" si="405"/>
        <v>0</v>
      </c>
      <c r="BS152" s="203"/>
      <c r="BT152" s="205"/>
      <c r="BU152" s="205"/>
      <c r="BV152" s="205"/>
      <c r="BW152" s="204">
        <f>39503.222+37929.541</f>
        <v>77432.763000000006</v>
      </c>
      <c r="BX152" s="208">
        <f t="shared" si="390"/>
        <v>77432.763000000006</v>
      </c>
      <c r="BY152" s="203"/>
      <c r="BZ152" s="205"/>
      <c r="CA152" s="208">
        <f t="shared" si="406"/>
        <v>0</v>
      </c>
      <c r="CB152" s="208">
        <f t="shared" si="407"/>
        <v>77432.763000000006</v>
      </c>
      <c r="CC152" s="203"/>
      <c r="CD152" s="205"/>
      <c r="CE152" s="205"/>
      <c r="CF152" s="208">
        <f t="shared" si="408"/>
        <v>0</v>
      </c>
      <c r="CG152" s="203"/>
      <c r="CH152" s="205"/>
      <c r="CI152" s="205"/>
      <c r="CJ152" s="204"/>
      <c r="CK152" s="208">
        <f t="shared" si="391"/>
        <v>0</v>
      </c>
      <c r="CL152" s="203"/>
      <c r="CM152" s="205"/>
      <c r="CN152" s="205"/>
      <c r="CO152" s="205"/>
      <c r="CP152" s="204"/>
      <c r="CQ152" s="208">
        <f t="shared" si="409"/>
        <v>0</v>
      </c>
      <c r="CR152" s="203"/>
      <c r="CS152" s="205"/>
      <c r="CT152" s="205"/>
      <c r="CU152" s="205"/>
      <c r="CV152" s="204"/>
      <c r="CW152" s="208">
        <f t="shared" si="392"/>
        <v>0</v>
      </c>
      <c r="CX152" s="203"/>
      <c r="CY152" s="205"/>
      <c r="CZ152" s="205"/>
      <c r="DA152" s="204">
        <f>43739.546+41637.82</f>
        <v>85377.366000000009</v>
      </c>
      <c r="DB152" s="208">
        <f t="shared" si="410"/>
        <v>85377.366000000009</v>
      </c>
      <c r="DC152" s="208">
        <f t="shared" si="411"/>
        <v>85377.366000000009</v>
      </c>
      <c r="DD152" s="203"/>
      <c r="DE152" s="205"/>
      <c r="DF152" s="205"/>
      <c r="DG152" s="205"/>
      <c r="DH152" s="205"/>
      <c r="DI152" s="208">
        <f t="shared" si="412"/>
        <v>0</v>
      </c>
      <c r="DJ152" s="203"/>
      <c r="DK152" s="205"/>
      <c r="DL152" s="205"/>
      <c r="DM152" s="205"/>
      <c r="DN152" s="204"/>
      <c r="DO152" s="208">
        <f t="shared" si="413"/>
        <v>0</v>
      </c>
      <c r="DP152" s="203"/>
      <c r="DQ152" s="205"/>
      <c r="DR152" s="205"/>
      <c r="DS152" s="205"/>
      <c r="DT152" s="204"/>
      <c r="DU152" s="245">
        <f t="shared" si="414"/>
        <v>0</v>
      </c>
      <c r="DV152" s="203"/>
      <c r="DW152" s="205"/>
      <c r="DX152" s="205"/>
      <c r="DY152" s="205"/>
      <c r="DZ152" s="204"/>
      <c r="EA152" s="208">
        <f t="shared" si="415"/>
        <v>0</v>
      </c>
      <c r="EB152" s="208">
        <f t="shared" si="416"/>
        <v>0</v>
      </c>
      <c r="EC152" s="203"/>
      <c r="ED152" s="205"/>
      <c r="EE152" s="205">
        <f>25763.09+40735.0979999999</f>
        <v>66498.187999999907</v>
      </c>
      <c r="EF152" s="205"/>
      <c r="EG152" s="204"/>
      <c r="EH152" s="208">
        <f t="shared" si="417"/>
        <v>66498.187999999907</v>
      </c>
      <c r="EI152" s="203"/>
      <c r="EJ152" s="205"/>
      <c r="EK152" s="205"/>
      <c r="EL152" s="205"/>
      <c r="EM152" s="204"/>
      <c r="EN152" s="208">
        <f t="shared" si="418"/>
        <v>0</v>
      </c>
      <c r="EO152" s="203"/>
      <c r="EP152" s="205"/>
      <c r="EQ152" s="205"/>
      <c r="ER152" s="205"/>
      <c r="ES152" s="204"/>
      <c r="ET152" s="308">
        <f t="shared" si="419"/>
        <v>0</v>
      </c>
      <c r="EU152" s="203"/>
      <c r="EV152" s="205"/>
      <c r="EW152" s="205"/>
      <c r="EX152" s="205"/>
      <c r="EY152" s="205"/>
      <c r="EZ152" s="205"/>
      <c r="FA152" s="204">
        <f>46465.355+36952.492</f>
        <v>83417.847000000009</v>
      </c>
      <c r="FB152" s="208">
        <f t="shared" si="420"/>
        <v>83417.847000000009</v>
      </c>
      <c r="FC152" s="208">
        <f t="shared" si="421"/>
        <v>149916.03499999992</v>
      </c>
      <c r="FD152" s="203"/>
      <c r="FE152" s="205"/>
      <c r="FF152" s="204"/>
      <c r="FG152" s="208">
        <f t="shared" si="422"/>
        <v>0</v>
      </c>
      <c r="FH152" s="203"/>
      <c r="FI152" s="205"/>
      <c r="FJ152" s="205"/>
      <c r="FK152" s="205"/>
      <c r="FL152" s="204"/>
      <c r="FM152" s="208">
        <f t="shared" si="423"/>
        <v>0</v>
      </c>
      <c r="FN152" s="203"/>
      <c r="FO152" s="205"/>
      <c r="FP152" s="205"/>
      <c r="FQ152" s="205"/>
      <c r="FR152" s="208">
        <f t="shared" si="393"/>
        <v>0</v>
      </c>
      <c r="FS152" s="203"/>
      <c r="FT152" s="205"/>
      <c r="FU152" s="205"/>
      <c r="FV152" s="205"/>
      <c r="FW152" s="204"/>
      <c r="FX152" s="208">
        <f t="shared" si="424"/>
        <v>0</v>
      </c>
      <c r="FY152" s="203"/>
      <c r="FZ152" s="205"/>
      <c r="GA152" s="205"/>
      <c r="GB152" s="205">
        <f>48672.569+32237.447</f>
        <v>80910.016000000003</v>
      </c>
      <c r="GC152" s="204"/>
      <c r="GD152" s="208">
        <f t="shared" si="425"/>
        <v>80910.016000000003</v>
      </c>
      <c r="GE152" s="208">
        <f t="shared" si="394"/>
        <v>80910.016000000003</v>
      </c>
      <c r="GF152" s="203"/>
      <c r="GG152" s="205"/>
      <c r="GH152" s="205"/>
      <c r="GI152" s="205"/>
      <c r="GJ152" s="205"/>
      <c r="GK152" s="208">
        <f t="shared" si="426"/>
        <v>0</v>
      </c>
      <c r="GL152" s="203"/>
      <c r="GM152" s="205"/>
      <c r="GN152" s="205"/>
      <c r="GO152" s="204"/>
      <c r="GP152" s="208">
        <f t="shared" si="427"/>
        <v>0</v>
      </c>
      <c r="GQ152" s="203"/>
      <c r="GR152" s="205"/>
      <c r="GS152" s="205"/>
      <c r="GT152" s="205"/>
      <c r="GU152" s="204"/>
      <c r="GV152" s="208">
        <f t="shared" si="428"/>
        <v>0</v>
      </c>
      <c r="GW152" s="203">
        <v>813</v>
      </c>
      <c r="GX152" s="205"/>
      <c r="GY152" s="205"/>
      <c r="GZ152" s="205"/>
      <c r="HA152" s="205">
        <f>40720.724+13750.299</f>
        <v>54471.023000000001</v>
      </c>
      <c r="HB152" s="204"/>
      <c r="HC152" s="208">
        <f t="shared" si="429"/>
        <v>55284.023000000001</v>
      </c>
      <c r="HD152" s="208">
        <f t="shared" si="430"/>
        <v>55284.023000000001</v>
      </c>
      <c r="HE152" s="203"/>
      <c r="HF152" s="205"/>
      <c r="HG152" s="205"/>
      <c r="HH152" s="205"/>
      <c r="HI152" s="208">
        <f t="shared" si="436"/>
        <v>0</v>
      </c>
      <c r="HJ152" s="203"/>
      <c r="HK152" s="205"/>
      <c r="HL152" s="205"/>
      <c r="HM152" s="205"/>
      <c r="HN152" s="204"/>
      <c r="HO152" s="245">
        <f t="shared" si="437"/>
        <v>0</v>
      </c>
      <c r="HP152" s="203"/>
      <c r="HQ152" s="205"/>
      <c r="HR152" s="205"/>
      <c r="HS152" s="205"/>
      <c r="HT152" s="204"/>
      <c r="HU152" s="208">
        <f t="shared" si="438"/>
        <v>0</v>
      </c>
      <c r="HV152" s="203"/>
      <c r="HW152" s="205"/>
      <c r="HX152" s="205"/>
      <c r="HY152" s="208">
        <f t="shared" si="395"/>
        <v>0</v>
      </c>
      <c r="HZ152" s="203"/>
      <c r="IA152" s="205"/>
      <c r="IB152" s="204">
        <f>49863.74+34234.07</f>
        <v>84097.81</v>
      </c>
      <c r="IC152" s="208">
        <f t="shared" si="439"/>
        <v>84097.81</v>
      </c>
      <c r="ID152" s="208">
        <f t="shared" si="396"/>
        <v>84097.81</v>
      </c>
      <c r="IE152" s="203"/>
      <c r="IF152" s="204"/>
      <c r="IG152" s="208">
        <f t="shared" si="440"/>
        <v>0</v>
      </c>
      <c r="IH152" s="203"/>
      <c r="II152" s="205"/>
      <c r="IJ152" s="205"/>
      <c r="IK152" s="205"/>
      <c r="IL152" s="204"/>
      <c r="IM152" s="208">
        <f t="shared" si="441"/>
        <v>0</v>
      </c>
      <c r="IN152" s="203"/>
      <c r="IO152" s="205"/>
      <c r="IP152" s="204"/>
      <c r="IQ152" s="208">
        <f t="shared" si="442"/>
        <v>0</v>
      </c>
      <c r="IR152" s="203"/>
      <c r="IS152" s="205"/>
      <c r="IT152" s="205"/>
      <c r="IU152" s="205"/>
      <c r="IV152" s="204"/>
      <c r="IW152" s="208">
        <f t="shared" si="443"/>
        <v>0</v>
      </c>
      <c r="IX152" s="203"/>
      <c r="IY152" s="205"/>
      <c r="IZ152" s="205"/>
      <c r="JA152" s="205">
        <f>49243.83+28084.525</f>
        <v>77328.35500000001</v>
      </c>
      <c r="JB152" s="204"/>
      <c r="JC152" s="208">
        <f t="shared" si="444"/>
        <v>77328.35500000001</v>
      </c>
      <c r="JD152" s="208">
        <f t="shared" si="431"/>
        <v>77328.35500000001</v>
      </c>
      <c r="JE152" s="203"/>
      <c r="JF152" s="205"/>
      <c r="JG152" s="205"/>
      <c r="JH152" s="205"/>
      <c r="JI152" s="204"/>
      <c r="JJ152" s="208">
        <f t="shared" si="445"/>
        <v>0</v>
      </c>
      <c r="JK152" s="203"/>
      <c r="JL152" s="205"/>
      <c r="JM152" s="205"/>
      <c r="JN152" s="205"/>
      <c r="JO152" s="204"/>
      <c r="JP152" s="208">
        <f t="shared" si="446"/>
        <v>0</v>
      </c>
      <c r="JQ152" s="203"/>
      <c r="JR152" s="205"/>
      <c r="JS152" s="205"/>
      <c r="JT152" s="205"/>
      <c r="JU152" s="204"/>
      <c r="JV152" s="208">
        <f t="shared" si="447"/>
        <v>0</v>
      </c>
      <c r="JW152" s="203"/>
      <c r="JX152" s="205"/>
      <c r="JY152" s="205"/>
      <c r="JZ152" s="205"/>
      <c r="KA152" s="205"/>
      <c r="KB152" s="204"/>
      <c r="KC152" s="208">
        <f t="shared" si="448"/>
        <v>0</v>
      </c>
      <c r="KD152" s="208">
        <v>85000</v>
      </c>
      <c r="KE152" s="203"/>
      <c r="KF152" s="205"/>
      <c r="KG152" s="205"/>
      <c r="KH152" s="205"/>
      <c r="KI152" s="204"/>
      <c r="KJ152" s="208">
        <f t="shared" si="450"/>
        <v>0</v>
      </c>
      <c r="KK152" s="203"/>
      <c r="KL152" s="205"/>
      <c r="KM152" s="205"/>
      <c r="KN152" s="205"/>
      <c r="KO152" s="204"/>
      <c r="KP152" s="208">
        <f t="shared" si="451"/>
        <v>0</v>
      </c>
      <c r="KQ152" s="203"/>
      <c r="KR152" s="205"/>
      <c r="KS152" s="205"/>
      <c r="KT152" s="205"/>
      <c r="KU152" s="204"/>
      <c r="KV152" s="208">
        <f t="shared" si="452"/>
        <v>0</v>
      </c>
      <c r="KW152" s="203"/>
      <c r="KX152" s="205"/>
      <c r="KY152" s="205"/>
      <c r="KZ152" s="205"/>
      <c r="LA152" s="204"/>
      <c r="LB152" s="208">
        <f t="shared" si="453"/>
        <v>0</v>
      </c>
      <c r="LC152" s="202"/>
      <c r="LD152" s="244"/>
      <c r="LE152" s="245"/>
      <c r="LF152" s="208">
        <f t="shared" si="454"/>
        <v>0</v>
      </c>
      <c r="LG152" s="208">
        <v>85000</v>
      </c>
    </row>
    <row r="153" spans="2:319" s="91" customFormat="1">
      <c r="B153" s="167" t="s">
        <v>83</v>
      </c>
      <c r="C153" s="167"/>
      <c r="D153" s="202">
        <f t="shared" si="389"/>
        <v>0</v>
      </c>
      <c r="E153" s="167"/>
      <c r="F153" s="177"/>
      <c r="G153" s="177"/>
      <c r="H153" s="177"/>
      <c r="I153" s="178"/>
      <c r="J153" s="202">
        <f t="shared" si="432"/>
        <v>0</v>
      </c>
      <c r="K153" s="167"/>
      <c r="L153" s="177"/>
      <c r="M153" s="177"/>
      <c r="N153" s="178">
        <v>4041.7979999999998</v>
      </c>
      <c r="O153" s="202">
        <f t="shared" si="456"/>
        <v>4041.7979999999998</v>
      </c>
      <c r="P153" s="167"/>
      <c r="Q153" s="177"/>
      <c r="R153" s="177"/>
      <c r="S153" s="177"/>
      <c r="T153" s="178"/>
      <c r="U153" s="202">
        <f t="shared" si="397"/>
        <v>0</v>
      </c>
      <c r="V153" s="167"/>
      <c r="W153" s="177"/>
      <c r="X153" s="177"/>
      <c r="Y153" s="177"/>
      <c r="Z153" s="177"/>
      <c r="AA153" s="208">
        <f t="shared" si="398"/>
        <v>0</v>
      </c>
      <c r="AB153" s="208">
        <f t="shared" si="434"/>
        <v>4041.7979999999998</v>
      </c>
      <c r="AC153" s="203"/>
      <c r="AD153" s="205"/>
      <c r="AE153" s="205"/>
      <c r="AF153" s="205"/>
      <c r="AG153" s="204"/>
      <c r="AH153" s="208">
        <f t="shared" si="399"/>
        <v>0</v>
      </c>
      <c r="AI153" s="203"/>
      <c r="AJ153" s="205"/>
      <c r="AK153" s="205"/>
      <c r="AL153" s="205"/>
      <c r="AM153" s="204"/>
      <c r="AN153" s="208">
        <f t="shared" si="400"/>
        <v>0</v>
      </c>
      <c r="AO153" s="203">
        <v>2932.2979999999998</v>
      </c>
      <c r="AP153" s="205"/>
      <c r="AQ153" s="205"/>
      <c r="AR153" s="205"/>
      <c r="AS153" s="204"/>
      <c r="AT153" s="208">
        <f t="shared" si="401"/>
        <v>2932.2979999999998</v>
      </c>
      <c r="AU153" s="203"/>
      <c r="AV153" s="205"/>
      <c r="AW153" s="205"/>
      <c r="AX153" s="205"/>
      <c r="AY153" s="204"/>
      <c r="AZ153" s="208">
        <f t="shared" si="402"/>
        <v>0</v>
      </c>
      <c r="BA153" s="208">
        <f t="shared" si="435"/>
        <v>2932.2979999999998</v>
      </c>
      <c r="BB153" s="203"/>
      <c r="BC153" s="205"/>
      <c r="BD153" s="205"/>
      <c r="BE153" s="205"/>
      <c r="BF153" s="204"/>
      <c r="BG153" s="208">
        <f t="shared" si="403"/>
        <v>0</v>
      </c>
      <c r="BH153" s="203"/>
      <c r="BI153" s="205"/>
      <c r="BJ153" s="205"/>
      <c r="BK153" s="205"/>
      <c r="BL153" s="204"/>
      <c r="BM153" s="208">
        <f t="shared" si="404"/>
        <v>0</v>
      </c>
      <c r="BN153" s="203"/>
      <c r="BO153" s="205"/>
      <c r="BP153" s="205">
        <v>4393.3980000000001</v>
      </c>
      <c r="BQ153" s="204"/>
      <c r="BR153" s="208">
        <f t="shared" si="405"/>
        <v>4393.3980000000001</v>
      </c>
      <c r="BS153" s="203"/>
      <c r="BT153" s="205"/>
      <c r="BU153" s="205"/>
      <c r="BV153" s="205"/>
      <c r="BW153" s="204"/>
      <c r="BX153" s="208">
        <f t="shared" si="390"/>
        <v>0</v>
      </c>
      <c r="BY153" s="203"/>
      <c r="BZ153" s="205"/>
      <c r="CA153" s="208">
        <f t="shared" si="406"/>
        <v>0</v>
      </c>
      <c r="CB153" s="208">
        <f t="shared" si="407"/>
        <v>4393.3980000000001</v>
      </c>
      <c r="CC153" s="203"/>
      <c r="CD153" s="205"/>
      <c r="CE153" s="205"/>
      <c r="CF153" s="208">
        <f t="shared" si="408"/>
        <v>0</v>
      </c>
      <c r="CG153" s="203"/>
      <c r="CH153" s="205"/>
      <c r="CI153" s="205"/>
      <c r="CJ153" s="204"/>
      <c r="CK153" s="208">
        <f t="shared" si="391"/>
        <v>0</v>
      </c>
      <c r="CL153" s="203"/>
      <c r="CM153" s="205"/>
      <c r="CN153" s="205"/>
      <c r="CO153" s="205"/>
      <c r="CP153" s="204">
        <v>3501.7979999999998</v>
      </c>
      <c r="CQ153" s="208">
        <f t="shared" si="409"/>
        <v>3501.7979999999998</v>
      </c>
      <c r="CR153" s="203"/>
      <c r="CS153" s="205"/>
      <c r="CT153" s="205"/>
      <c r="CU153" s="205"/>
      <c r="CV153" s="204"/>
      <c r="CW153" s="208">
        <f t="shared" si="392"/>
        <v>0</v>
      </c>
      <c r="CX153" s="203"/>
      <c r="CY153" s="205"/>
      <c r="CZ153" s="205"/>
      <c r="DA153" s="204"/>
      <c r="DB153" s="208">
        <f t="shared" si="410"/>
        <v>0</v>
      </c>
      <c r="DC153" s="208">
        <f t="shared" si="411"/>
        <v>3501.7979999999998</v>
      </c>
      <c r="DD153" s="203"/>
      <c r="DE153" s="205"/>
      <c r="DF153" s="205"/>
      <c r="DG153" s="205"/>
      <c r="DH153" s="205"/>
      <c r="DI153" s="208">
        <f t="shared" si="412"/>
        <v>0</v>
      </c>
      <c r="DJ153" s="203"/>
      <c r="DK153" s="205"/>
      <c r="DL153" s="205">
        <v>2825.7979999999998</v>
      </c>
      <c r="DM153" s="205"/>
      <c r="DN153" s="204"/>
      <c r="DO153" s="208">
        <f t="shared" si="413"/>
        <v>2825.7979999999998</v>
      </c>
      <c r="DP153" s="203"/>
      <c r="DQ153" s="205"/>
      <c r="DR153" s="205"/>
      <c r="DS153" s="205"/>
      <c r="DT153" s="204"/>
      <c r="DU153" s="245">
        <f t="shared" si="414"/>
        <v>0</v>
      </c>
      <c r="DV153" s="203"/>
      <c r="DW153" s="205"/>
      <c r="DX153" s="205"/>
      <c r="DY153" s="205"/>
      <c r="DZ153" s="204"/>
      <c r="EA153" s="208">
        <f t="shared" si="415"/>
        <v>0</v>
      </c>
      <c r="EB153" s="208">
        <f t="shared" si="416"/>
        <v>2825.7979999999998</v>
      </c>
      <c r="EC153" s="203"/>
      <c r="ED153" s="205"/>
      <c r="EE153" s="205">
        <v>3594.598</v>
      </c>
      <c r="EF153" s="205"/>
      <c r="EG153" s="204"/>
      <c r="EH153" s="208">
        <f t="shared" si="417"/>
        <v>3594.598</v>
      </c>
      <c r="EI153" s="203"/>
      <c r="EJ153" s="205"/>
      <c r="EK153" s="205"/>
      <c r="EL153" s="205"/>
      <c r="EM153" s="204"/>
      <c r="EN153" s="208">
        <f t="shared" si="418"/>
        <v>0</v>
      </c>
      <c r="EO153" s="203"/>
      <c r="EP153" s="205"/>
      <c r="EQ153" s="205"/>
      <c r="ER153" s="205"/>
      <c r="ES153" s="204"/>
      <c r="ET153" s="308">
        <f t="shared" si="419"/>
        <v>0</v>
      </c>
      <c r="EU153" s="203"/>
      <c r="EV153" s="205"/>
      <c r="EW153" s="205"/>
      <c r="EX153" s="205"/>
      <c r="EY153" s="205"/>
      <c r="EZ153" s="205"/>
      <c r="FA153" s="204"/>
      <c r="FB153" s="208">
        <f t="shared" si="420"/>
        <v>0</v>
      </c>
      <c r="FC153" s="208">
        <f t="shared" si="421"/>
        <v>3594.598</v>
      </c>
      <c r="FD153" s="203"/>
      <c r="FE153" s="205"/>
      <c r="FF153" s="204"/>
      <c r="FG153" s="208">
        <f t="shared" si="422"/>
        <v>0</v>
      </c>
      <c r="FH153" s="203"/>
      <c r="FI153" s="205"/>
      <c r="FJ153" s="205"/>
      <c r="FK153" s="205">
        <v>3723.8980000000001</v>
      </c>
      <c r="FL153" s="204"/>
      <c r="FM153" s="208">
        <f t="shared" si="423"/>
        <v>3723.8980000000001</v>
      </c>
      <c r="FN153" s="203"/>
      <c r="FO153" s="205"/>
      <c r="FP153" s="205"/>
      <c r="FQ153" s="205"/>
      <c r="FR153" s="208">
        <f t="shared" si="393"/>
        <v>0</v>
      </c>
      <c r="FS153" s="203"/>
      <c r="FT153" s="205"/>
      <c r="FU153" s="205"/>
      <c r="FV153" s="205"/>
      <c r="FW153" s="204"/>
      <c r="FX153" s="208">
        <f t="shared" si="424"/>
        <v>0</v>
      </c>
      <c r="FY153" s="203"/>
      <c r="FZ153" s="205"/>
      <c r="GA153" s="205"/>
      <c r="GB153" s="205"/>
      <c r="GC153" s="204"/>
      <c r="GD153" s="208">
        <f t="shared" si="425"/>
        <v>0</v>
      </c>
      <c r="GE153" s="208">
        <f t="shared" si="394"/>
        <v>3723.8980000000001</v>
      </c>
      <c r="GF153" s="203"/>
      <c r="GG153" s="205"/>
      <c r="GH153" s="205"/>
      <c r="GI153" s="205"/>
      <c r="GJ153" s="205"/>
      <c r="GK153" s="208">
        <f t="shared" si="426"/>
        <v>0</v>
      </c>
      <c r="GL153" s="203"/>
      <c r="GM153" s="205"/>
      <c r="GN153" s="205"/>
      <c r="GO153" s="204"/>
      <c r="GP153" s="208">
        <f t="shared" si="427"/>
        <v>0</v>
      </c>
      <c r="GQ153" s="203"/>
      <c r="GR153" s="205">
        <v>4462.9979999999996</v>
      </c>
      <c r="GS153" s="205"/>
      <c r="GT153" s="205"/>
      <c r="GU153" s="204"/>
      <c r="GV153" s="208">
        <f t="shared" si="428"/>
        <v>4462.9979999999996</v>
      </c>
      <c r="GW153" s="203"/>
      <c r="GX153" s="205"/>
      <c r="GY153" s="205"/>
      <c r="GZ153" s="205"/>
      <c r="HA153" s="205"/>
      <c r="HB153" s="204"/>
      <c r="HC153" s="208">
        <f t="shared" si="429"/>
        <v>0</v>
      </c>
      <c r="HD153" s="208">
        <f t="shared" si="430"/>
        <v>4462.9979999999996</v>
      </c>
      <c r="HE153" s="203"/>
      <c r="HF153" s="205"/>
      <c r="HG153" s="205"/>
      <c r="HH153" s="205"/>
      <c r="HI153" s="208">
        <f t="shared" si="436"/>
        <v>0</v>
      </c>
      <c r="HJ153" s="203"/>
      <c r="HK153" s="205"/>
      <c r="HL153" s="205">
        <v>7690.9979999999996</v>
      </c>
      <c r="HM153" s="205"/>
      <c r="HN153" s="204"/>
      <c r="HO153" s="245">
        <f t="shared" si="437"/>
        <v>7690.9979999999996</v>
      </c>
      <c r="HP153" s="203"/>
      <c r="HQ153" s="205"/>
      <c r="HR153" s="205"/>
      <c r="HS153" s="205"/>
      <c r="HT153" s="204"/>
      <c r="HU153" s="208">
        <f t="shared" si="438"/>
        <v>0</v>
      </c>
      <c r="HV153" s="203"/>
      <c r="HW153" s="205"/>
      <c r="HX153" s="205"/>
      <c r="HY153" s="208">
        <f t="shared" si="395"/>
        <v>0</v>
      </c>
      <c r="HZ153" s="203"/>
      <c r="IA153" s="205"/>
      <c r="IB153" s="204"/>
      <c r="IC153" s="208">
        <f t="shared" si="439"/>
        <v>0</v>
      </c>
      <c r="ID153" s="208">
        <f t="shared" si="396"/>
        <v>7690.9979999999996</v>
      </c>
      <c r="IE153" s="203"/>
      <c r="IF153" s="204"/>
      <c r="IG153" s="208">
        <f t="shared" si="440"/>
        <v>0</v>
      </c>
      <c r="IH153" s="203"/>
      <c r="II153" s="205"/>
      <c r="IJ153" s="205"/>
      <c r="IK153" s="205"/>
      <c r="IL153" s="204"/>
      <c r="IM153" s="208">
        <f t="shared" si="441"/>
        <v>0</v>
      </c>
      <c r="IN153" s="203"/>
      <c r="IO153" s="205"/>
      <c r="IP153" s="204"/>
      <c r="IQ153" s="208">
        <f t="shared" si="442"/>
        <v>0</v>
      </c>
      <c r="IR153" s="203"/>
      <c r="IS153" s="205">
        <v>6736.4979999999996</v>
      </c>
      <c r="IT153" s="205"/>
      <c r="IU153" s="205"/>
      <c r="IV153" s="204"/>
      <c r="IW153" s="208">
        <f t="shared" si="443"/>
        <v>6736.4979999999996</v>
      </c>
      <c r="IX153" s="203"/>
      <c r="IY153" s="205"/>
      <c r="IZ153" s="205"/>
      <c r="JA153" s="205"/>
      <c r="JB153" s="204"/>
      <c r="JC153" s="208">
        <f t="shared" si="444"/>
        <v>0</v>
      </c>
      <c r="JD153" s="208">
        <f t="shared" si="431"/>
        <v>6736.4979999999996</v>
      </c>
      <c r="JE153" s="203"/>
      <c r="JF153" s="205"/>
      <c r="JG153" s="205"/>
      <c r="JH153" s="205"/>
      <c r="JI153" s="204"/>
      <c r="JJ153" s="208">
        <f t="shared" si="445"/>
        <v>0</v>
      </c>
      <c r="JK153" s="203"/>
      <c r="JL153" s="205"/>
      <c r="JM153" s="205"/>
      <c r="JN153" s="205"/>
      <c r="JO153" s="204"/>
      <c r="JP153" s="208">
        <f t="shared" si="446"/>
        <v>0</v>
      </c>
      <c r="JQ153" s="203"/>
      <c r="JR153" s="205"/>
      <c r="JS153" s="205"/>
      <c r="JT153" s="205"/>
      <c r="JU153" s="204"/>
      <c r="JV153" s="208">
        <f t="shared" si="447"/>
        <v>0</v>
      </c>
      <c r="JW153" s="203"/>
      <c r="JX153" s="205"/>
      <c r="JY153" s="205"/>
      <c r="JZ153" s="205"/>
      <c r="KA153" s="205"/>
      <c r="KB153" s="204"/>
      <c r="KC153" s="208">
        <f t="shared" si="448"/>
        <v>0</v>
      </c>
      <c r="KD153" s="208">
        <v>8000</v>
      </c>
      <c r="KE153" s="203"/>
      <c r="KF153" s="205"/>
      <c r="KG153" s="205"/>
      <c r="KH153" s="205"/>
      <c r="KI153" s="204"/>
      <c r="KJ153" s="208">
        <f t="shared" si="450"/>
        <v>0</v>
      </c>
      <c r="KK153" s="203"/>
      <c r="KL153" s="205"/>
      <c r="KM153" s="205"/>
      <c r="KN153" s="205"/>
      <c r="KO153" s="204"/>
      <c r="KP153" s="208">
        <f t="shared" si="451"/>
        <v>0</v>
      </c>
      <c r="KQ153" s="203"/>
      <c r="KR153" s="205"/>
      <c r="KS153" s="205"/>
      <c r="KT153" s="205"/>
      <c r="KU153" s="204"/>
      <c r="KV153" s="208">
        <f t="shared" si="452"/>
        <v>0</v>
      </c>
      <c r="KW153" s="203"/>
      <c r="KX153" s="205"/>
      <c r="KY153" s="205"/>
      <c r="KZ153" s="205"/>
      <c r="LA153" s="204"/>
      <c r="LB153" s="208">
        <f t="shared" si="453"/>
        <v>0</v>
      </c>
      <c r="LC153" s="202"/>
      <c r="LD153" s="244"/>
      <c r="LE153" s="245"/>
      <c r="LF153" s="208">
        <f t="shared" si="454"/>
        <v>0</v>
      </c>
      <c r="LG153" s="208">
        <v>8000</v>
      </c>
    </row>
    <row r="154" spans="2:319" s="91" customFormat="1">
      <c r="B154" s="167" t="s">
        <v>84</v>
      </c>
      <c r="C154" s="167">
        <v>1027.9169999999999</v>
      </c>
      <c r="D154" s="202">
        <f t="shared" si="389"/>
        <v>1027.9169999999999</v>
      </c>
      <c r="E154" s="167"/>
      <c r="F154" s="177"/>
      <c r="G154" s="177"/>
      <c r="H154" s="177"/>
      <c r="I154" s="178"/>
      <c r="J154" s="202">
        <f t="shared" si="432"/>
        <v>0</v>
      </c>
      <c r="K154" s="167"/>
      <c r="L154" s="177"/>
      <c r="M154" s="177"/>
      <c r="N154" s="178"/>
      <c r="O154" s="202">
        <f t="shared" si="456"/>
        <v>0</v>
      </c>
      <c r="P154" s="167"/>
      <c r="Q154" s="177"/>
      <c r="R154" s="177"/>
      <c r="S154" s="177"/>
      <c r="T154" s="178"/>
      <c r="U154" s="202">
        <f t="shared" si="397"/>
        <v>0</v>
      </c>
      <c r="V154" s="167"/>
      <c r="W154" s="177"/>
      <c r="X154" s="177"/>
      <c r="Y154" s="177"/>
      <c r="Z154" s="177"/>
      <c r="AA154" s="208">
        <f t="shared" si="398"/>
        <v>0</v>
      </c>
      <c r="AB154" s="208">
        <f t="shared" si="434"/>
        <v>1027.9169999999999</v>
      </c>
      <c r="AC154" s="203"/>
      <c r="AD154" s="205"/>
      <c r="AE154" s="205">
        <v>410.28199999999998</v>
      </c>
      <c r="AF154" s="205"/>
      <c r="AG154" s="204"/>
      <c r="AH154" s="208">
        <f t="shared" si="399"/>
        <v>410.28199999999998</v>
      </c>
      <c r="AI154" s="203"/>
      <c r="AJ154" s="205">
        <v>329.78</v>
      </c>
      <c r="AK154" s="205"/>
      <c r="AL154" s="205"/>
      <c r="AM154" s="204"/>
      <c r="AN154" s="208">
        <f t="shared" si="400"/>
        <v>329.78</v>
      </c>
      <c r="AO154" s="203"/>
      <c r="AP154" s="205"/>
      <c r="AQ154" s="205"/>
      <c r="AR154" s="205"/>
      <c r="AS154" s="204"/>
      <c r="AT154" s="208">
        <f t="shared" si="401"/>
        <v>0</v>
      </c>
      <c r="AU154" s="203"/>
      <c r="AV154" s="205"/>
      <c r="AW154" s="205"/>
      <c r="AX154" s="205"/>
      <c r="AY154" s="204"/>
      <c r="AZ154" s="208">
        <f t="shared" si="402"/>
        <v>0</v>
      </c>
      <c r="BA154" s="208">
        <f t="shared" si="435"/>
        <v>740.0619999999999</v>
      </c>
      <c r="BB154" s="203"/>
      <c r="BC154" s="205">
        <f>637.525+3640.78</f>
        <v>4278.3050000000003</v>
      </c>
      <c r="BD154" s="205">
        <v>1066.23</v>
      </c>
      <c r="BE154" s="205"/>
      <c r="BF154" s="204"/>
      <c r="BG154" s="208">
        <f t="shared" si="403"/>
        <v>5344.5349999999999</v>
      </c>
      <c r="BH154" s="203"/>
      <c r="BI154" s="205"/>
      <c r="BJ154" s="205"/>
      <c r="BK154" s="205"/>
      <c r="BL154" s="204"/>
      <c r="BM154" s="208">
        <f t="shared" si="404"/>
        <v>0</v>
      </c>
      <c r="BN154" s="203"/>
      <c r="BO154" s="205"/>
      <c r="BP154" s="205"/>
      <c r="BQ154" s="204"/>
      <c r="BR154" s="208">
        <f t="shared" si="405"/>
        <v>0</v>
      </c>
      <c r="BS154" s="203"/>
      <c r="BT154" s="205"/>
      <c r="BU154" s="205"/>
      <c r="BV154" s="205"/>
      <c r="BW154" s="204"/>
      <c r="BX154" s="208">
        <f t="shared" si="390"/>
        <v>0</v>
      </c>
      <c r="BY154" s="203"/>
      <c r="BZ154" s="205"/>
      <c r="CA154" s="208">
        <f t="shared" si="406"/>
        <v>0</v>
      </c>
      <c r="CB154" s="208">
        <f t="shared" si="407"/>
        <v>5344.5349999999999</v>
      </c>
      <c r="CC154" s="203"/>
      <c r="CD154" s="205"/>
      <c r="CE154" s="205"/>
      <c r="CF154" s="208">
        <f t="shared" si="408"/>
        <v>0</v>
      </c>
      <c r="CG154" s="203">
        <v>1531.904</v>
      </c>
      <c r="CH154" s="205"/>
      <c r="CI154" s="205"/>
      <c r="CJ154" s="204"/>
      <c r="CK154" s="208">
        <f t="shared" si="391"/>
        <v>1531.904</v>
      </c>
      <c r="CL154" s="203"/>
      <c r="CM154" s="205"/>
      <c r="CN154" s="205"/>
      <c r="CO154" s="205"/>
      <c r="CP154" s="204"/>
      <c r="CQ154" s="208">
        <f t="shared" si="409"/>
        <v>0</v>
      </c>
      <c r="CR154" s="203"/>
      <c r="CS154" s="205"/>
      <c r="CT154" s="205"/>
      <c r="CU154" s="205"/>
      <c r="CV154" s="204"/>
      <c r="CW154" s="208">
        <f t="shared" si="392"/>
        <v>0</v>
      </c>
      <c r="CX154" s="203"/>
      <c r="CY154" s="205">
        <v>992.99599999999998</v>
      </c>
      <c r="CZ154" s="205"/>
      <c r="DA154" s="204"/>
      <c r="DB154" s="208">
        <f t="shared" si="410"/>
        <v>992.99599999999998</v>
      </c>
      <c r="DC154" s="208">
        <f t="shared" si="411"/>
        <v>2524.9</v>
      </c>
      <c r="DD154" s="203"/>
      <c r="DE154" s="205"/>
      <c r="DF154" s="205"/>
      <c r="DG154" s="205"/>
      <c r="DH154" s="205"/>
      <c r="DI154" s="208">
        <f t="shared" si="412"/>
        <v>0</v>
      </c>
      <c r="DJ154" s="203"/>
      <c r="DK154" s="205"/>
      <c r="DL154" s="205"/>
      <c r="DM154" s="205">
        <f>194.395+3526.055</f>
        <v>3720.45</v>
      </c>
      <c r="DN154" s="204"/>
      <c r="DO154" s="208">
        <f t="shared" si="413"/>
        <v>3720.45</v>
      </c>
      <c r="DP154" s="203"/>
      <c r="DQ154" s="205"/>
      <c r="DR154" s="205"/>
      <c r="DS154" s="205"/>
      <c r="DT154" s="204"/>
      <c r="DU154" s="245">
        <f t="shared" si="414"/>
        <v>0</v>
      </c>
      <c r="DV154" s="203"/>
      <c r="DW154" s="205">
        <v>917.31100000000004</v>
      </c>
      <c r="DX154" s="205"/>
      <c r="DY154" s="205"/>
      <c r="DZ154" s="204"/>
      <c r="EA154" s="208">
        <f t="shared" si="415"/>
        <v>917.31100000000004</v>
      </c>
      <c r="EB154" s="208">
        <f t="shared" si="416"/>
        <v>4637.7609999999995</v>
      </c>
      <c r="EC154" s="203"/>
      <c r="ED154" s="205"/>
      <c r="EE154" s="205"/>
      <c r="EF154" s="205"/>
      <c r="EG154" s="204"/>
      <c r="EH154" s="208">
        <f t="shared" si="417"/>
        <v>0</v>
      </c>
      <c r="EI154" s="203"/>
      <c r="EJ154" s="205"/>
      <c r="EK154" s="205"/>
      <c r="EL154" s="205"/>
      <c r="EM154" s="204"/>
      <c r="EN154" s="208">
        <f t="shared" si="418"/>
        <v>0</v>
      </c>
      <c r="EO154" s="203"/>
      <c r="EP154" s="205"/>
      <c r="EQ154" s="205"/>
      <c r="ER154" s="205"/>
      <c r="ES154" s="204"/>
      <c r="ET154" s="308">
        <f t="shared" si="419"/>
        <v>0</v>
      </c>
      <c r="EU154" s="203"/>
      <c r="EV154" s="205"/>
      <c r="EW154" s="205"/>
      <c r="EX154" s="205"/>
      <c r="EY154" s="205"/>
      <c r="EZ154" s="205"/>
      <c r="FA154" s="204"/>
      <c r="FB154" s="208">
        <f t="shared" si="420"/>
        <v>0</v>
      </c>
      <c r="FC154" s="208">
        <f t="shared" si="421"/>
        <v>0</v>
      </c>
      <c r="FD154" s="203"/>
      <c r="FE154" s="205"/>
      <c r="FF154" s="204"/>
      <c r="FG154" s="208">
        <f t="shared" si="422"/>
        <v>0</v>
      </c>
      <c r="FH154" s="203"/>
      <c r="FI154" s="205"/>
      <c r="FJ154" s="205"/>
      <c r="FK154" s="205">
        <v>1531.904</v>
      </c>
      <c r="FL154" s="204"/>
      <c r="FM154" s="208">
        <f t="shared" si="423"/>
        <v>1531.904</v>
      </c>
      <c r="FN154" s="203"/>
      <c r="FO154" s="205"/>
      <c r="FP154" s="205">
        <v>933.29</v>
      </c>
      <c r="FQ154" s="205"/>
      <c r="FR154" s="208">
        <f t="shared" si="393"/>
        <v>933.29</v>
      </c>
      <c r="FS154" s="203"/>
      <c r="FT154" s="205"/>
      <c r="FU154" s="205"/>
      <c r="FV154" s="205">
        <v>1088.4580000000001</v>
      </c>
      <c r="FW154" s="204"/>
      <c r="FX154" s="208">
        <f t="shared" si="424"/>
        <v>1088.4580000000001</v>
      </c>
      <c r="FY154" s="203"/>
      <c r="FZ154" s="205"/>
      <c r="GA154" s="205"/>
      <c r="GB154" s="205"/>
      <c r="GC154" s="204"/>
      <c r="GD154" s="208">
        <f t="shared" si="425"/>
        <v>0</v>
      </c>
      <c r="GE154" s="208">
        <f t="shared" si="394"/>
        <v>3553.652</v>
      </c>
      <c r="GF154" s="203"/>
      <c r="GG154" s="205"/>
      <c r="GH154" s="205"/>
      <c r="GI154" s="205"/>
      <c r="GJ154" s="205">
        <v>329.78</v>
      </c>
      <c r="GK154" s="208">
        <f t="shared" si="426"/>
        <v>329.78</v>
      </c>
      <c r="GL154" s="203"/>
      <c r="GM154" s="205"/>
      <c r="GN154" s="205"/>
      <c r="GO154" s="204"/>
      <c r="GP154" s="208">
        <f t="shared" si="427"/>
        <v>0</v>
      </c>
      <c r="GQ154" s="203">
        <v>1015.147</v>
      </c>
      <c r="GR154" s="205"/>
      <c r="GS154" s="205"/>
      <c r="GT154" s="205">
        <f>4089.01+118.67</f>
        <v>4207.68</v>
      </c>
      <c r="GU154" s="204"/>
      <c r="GV154" s="208">
        <f t="shared" si="428"/>
        <v>5222.8270000000002</v>
      </c>
      <c r="GW154" s="203"/>
      <c r="GX154" s="205"/>
      <c r="GY154" s="205"/>
      <c r="GZ154" s="205"/>
      <c r="HA154" s="205"/>
      <c r="HB154" s="204"/>
      <c r="HC154" s="208">
        <f t="shared" si="429"/>
        <v>0</v>
      </c>
      <c r="HD154" s="208">
        <f t="shared" si="430"/>
        <v>5552.607</v>
      </c>
      <c r="HE154" s="203"/>
      <c r="HF154" s="205"/>
      <c r="HG154" s="205"/>
      <c r="HH154" s="205"/>
      <c r="HI154" s="208">
        <f t="shared" si="436"/>
        <v>0</v>
      </c>
      <c r="HJ154" s="203"/>
      <c r="HK154" s="205"/>
      <c r="HL154" s="205"/>
      <c r="HM154" s="205"/>
      <c r="HN154" s="204"/>
      <c r="HO154" s="245">
        <f t="shared" si="437"/>
        <v>0</v>
      </c>
      <c r="HP154" s="203"/>
      <c r="HQ154" s="205">
        <v>498.66</v>
      </c>
      <c r="HR154" s="205"/>
      <c r="HS154" s="205"/>
      <c r="HT154" s="204"/>
      <c r="HU154" s="208">
        <f t="shared" si="438"/>
        <v>498.66</v>
      </c>
      <c r="HV154" s="203"/>
      <c r="HW154" s="205"/>
      <c r="HX154" s="205">
        <v>578.98</v>
      </c>
      <c r="HY154" s="208">
        <f t="shared" si="395"/>
        <v>578.98</v>
      </c>
      <c r="HZ154" s="203"/>
      <c r="IA154" s="205"/>
      <c r="IB154" s="204"/>
      <c r="IC154" s="208">
        <f t="shared" si="439"/>
        <v>0</v>
      </c>
      <c r="ID154" s="208">
        <f t="shared" si="396"/>
        <v>1077.6400000000001</v>
      </c>
      <c r="IE154" s="203"/>
      <c r="IF154" s="204">
        <v>1531.904</v>
      </c>
      <c r="IG154" s="208">
        <f t="shared" si="440"/>
        <v>1531.904</v>
      </c>
      <c r="IH154" s="203"/>
      <c r="II154" s="205"/>
      <c r="IJ154" s="205">
        <v>1054.9639999999999</v>
      </c>
      <c r="IK154" s="205"/>
      <c r="IL154" s="204"/>
      <c r="IM154" s="208">
        <f t="shared" si="441"/>
        <v>1054.9639999999999</v>
      </c>
      <c r="IN154" s="203"/>
      <c r="IO154" s="205"/>
      <c r="IP154" s="204"/>
      <c r="IQ154" s="208">
        <f t="shared" si="442"/>
        <v>0</v>
      </c>
      <c r="IR154" s="203"/>
      <c r="IS154" s="205"/>
      <c r="IT154" s="205"/>
      <c r="IU154" s="205"/>
      <c r="IV154" s="204"/>
      <c r="IW154" s="208">
        <f t="shared" si="443"/>
        <v>0</v>
      </c>
      <c r="IX154" s="203"/>
      <c r="IY154" s="205"/>
      <c r="IZ154" s="205"/>
      <c r="JA154" s="205"/>
      <c r="JB154" s="204"/>
      <c r="JC154" s="208">
        <f t="shared" si="444"/>
        <v>0</v>
      </c>
      <c r="JD154" s="208">
        <f t="shared" si="431"/>
        <v>2586.8679999999999</v>
      </c>
      <c r="JE154" s="203"/>
      <c r="JF154" s="205"/>
      <c r="JG154" s="205"/>
      <c r="JH154" s="205"/>
      <c r="JI154" s="204"/>
      <c r="JJ154" s="208">
        <f t="shared" si="445"/>
        <v>0</v>
      </c>
      <c r="JK154" s="203"/>
      <c r="JL154" s="205"/>
      <c r="JM154" s="205"/>
      <c r="JN154" s="205"/>
      <c r="JO154" s="204"/>
      <c r="JP154" s="208">
        <f t="shared" si="446"/>
        <v>0</v>
      </c>
      <c r="JQ154" s="203"/>
      <c r="JR154" s="205"/>
      <c r="JS154" s="205"/>
      <c r="JT154" s="205"/>
      <c r="JU154" s="204"/>
      <c r="JV154" s="208">
        <f t="shared" si="447"/>
        <v>0</v>
      </c>
      <c r="JW154" s="203"/>
      <c r="JX154" s="205"/>
      <c r="JY154" s="205"/>
      <c r="JZ154" s="205"/>
      <c r="KA154" s="205"/>
      <c r="KB154" s="204"/>
      <c r="KC154" s="208">
        <f t="shared" si="448"/>
        <v>0</v>
      </c>
      <c r="KD154" s="208">
        <f t="shared" si="449"/>
        <v>0</v>
      </c>
      <c r="KE154" s="203"/>
      <c r="KF154" s="205"/>
      <c r="KG154" s="205"/>
      <c r="KH154" s="205"/>
      <c r="KI154" s="204"/>
      <c r="KJ154" s="208">
        <f t="shared" si="450"/>
        <v>0</v>
      </c>
      <c r="KK154" s="203"/>
      <c r="KL154" s="205"/>
      <c r="KM154" s="205"/>
      <c r="KN154" s="205"/>
      <c r="KO154" s="204"/>
      <c r="KP154" s="208">
        <f t="shared" si="451"/>
        <v>0</v>
      </c>
      <c r="KQ154" s="203"/>
      <c r="KR154" s="205"/>
      <c r="KS154" s="205"/>
      <c r="KT154" s="205"/>
      <c r="KU154" s="204"/>
      <c r="KV154" s="208">
        <f t="shared" si="452"/>
        <v>0</v>
      </c>
      <c r="KW154" s="203"/>
      <c r="KX154" s="205"/>
      <c r="KY154" s="205"/>
      <c r="KZ154" s="205"/>
      <c r="LA154" s="204"/>
      <c r="LB154" s="208">
        <f t="shared" si="453"/>
        <v>0</v>
      </c>
      <c r="LC154" s="202"/>
      <c r="LD154" s="244"/>
      <c r="LE154" s="245"/>
      <c r="LF154" s="208">
        <f t="shared" si="454"/>
        <v>0</v>
      </c>
      <c r="LG154" s="208">
        <f t="shared" si="455"/>
        <v>0</v>
      </c>
    </row>
    <row r="155" spans="2:319" s="91" customFormat="1">
      <c r="B155" s="167" t="s">
        <v>85</v>
      </c>
      <c r="C155" s="167"/>
      <c r="D155" s="202">
        <f t="shared" si="389"/>
        <v>0</v>
      </c>
      <c r="E155" s="167"/>
      <c r="F155" s="177"/>
      <c r="G155" s="177"/>
      <c r="H155" s="177"/>
      <c r="I155" s="178"/>
      <c r="J155" s="202">
        <f t="shared" si="432"/>
        <v>0</v>
      </c>
      <c r="K155" s="167"/>
      <c r="L155" s="177"/>
      <c r="M155" s="177"/>
      <c r="N155" s="178"/>
      <c r="O155" s="202">
        <f t="shared" si="456"/>
        <v>0</v>
      </c>
      <c r="P155" s="167"/>
      <c r="Q155" s="177"/>
      <c r="R155" s="177"/>
      <c r="S155" s="177"/>
      <c r="T155" s="178"/>
      <c r="U155" s="202">
        <f t="shared" si="397"/>
        <v>0</v>
      </c>
      <c r="V155" s="167"/>
      <c r="W155" s="177"/>
      <c r="X155" s="177">
        <v>600</v>
      </c>
      <c r="Y155" s="177"/>
      <c r="Z155" s="177">
        <f>349.591+527.521+1560.727+45596.94</f>
        <v>48034.779000000002</v>
      </c>
      <c r="AA155" s="208">
        <f t="shared" si="398"/>
        <v>48634.779000000002</v>
      </c>
      <c r="AB155" s="208">
        <f t="shared" si="434"/>
        <v>48634.779000000002</v>
      </c>
      <c r="AC155" s="203">
        <v>452.63499999999999</v>
      </c>
      <c r="AD155" s="205">
        <v>83.332999999999998</v>
      </c>
      <c r="AE155" s="205">
        <v>700</v>
      </c>
      <c r="AF155" s="205"/>
      <c r="AG155" s="204">
        <f>190.02+300</f>
        <v>490.02</v>
      </c>
      <c r="AH155" s="208">
        <f t="shared" si="399"/>
        <v>1725.9879999999998</v>
      </c>
      <c r="AI155" s="203"/>
      <c r="AJ155" s="205"/>
      <c r="AK155" s="205"/>
      <c r="AL155" s="205"/>
      <c r="AM155" s="204"/>
      <c r="AN155" s="208">
        <f t="shared" si="400"/>
        <v>0</v>
      </c>
      <c r="AO155" s="203"/>
      <c r="AP155" s="205"/>
      <c r="AQ155" s="205"/>
      <c r="AR155" s="205">
        <f>200+400</f>
        <v>600</v>
      </c>
      <c r="AS155" s="204"/>
      <c r="AT155" s="208">
        <f t="shared" si="401"/>
        <v>600</v>
      </c>
      <c r="AU155" s="203"/>
      <c r="AV155" s="205"/>
      <c r="AW155" s="205"/>
      <c r="AX155" s="205"/>
      <c r="AY155" s="204"/>
      <c r="AZ155" s="208">
        <f t="shared" si="402"/>
        <v>0</v>
      </c>
      <c r="BA155" s="208">
        <f t="shared" si="435"/>
        <v>2325.9879999999998</v>
      </c>
      <c r="BB155" s="203">
        <f>2732.299+48896.447</f>
        <v>51628.745999999999</v>
      </c>
      <c r="BC155" s="205">
        <v>500</v>
      </c>
      <c r="BD155" s="205"/>
      <c r="BE155" s="205"/>
      <c r="BF155" s="204">
        <v>200</v>
      </c>
      <c r="BG155" s="208">
        <f t="shared" si="403"/>
        <v>52328.745999999999</v>
      </c>
      <c r="BH155" s="203"/>
      <c r="BI155" s="205">
        <v>600</v>
      </c>
      <c r="BJ155" s="205">
        <v>300</v>
      </c>
      <c r="BK155" s="205">
        <v>1500</v>
      </c>
      <c r="BL155" s="204">
        <v>1000</v>
      </c>
      <c r="BM155" s="208">
        <f t="shared" si="404"/>
        <v>3400</v>
      </c>
      <c r="BN155" s="203">
        <v>700</v>
      </c>
      <c r="BO155" s="205"/>
      <c r="BP155" s="205"/>
      <c r="BQ155" s="204"/>
      <c r="BR155" s="208">
        <f t="shared" si="405"/>
        <v>700</v>
      </c>
      <c r="BS155" s="203"/>
      <c r="BT155" s="205"/>
      <c r="BU155" s="205"/>
      <c r="BV155" s="205"/>
      <c r="BW155" s="204"/>
      <c r="BX155" s="208">
        <f t="shared" si="390"/>
        <v>0</v>
      </c>
      <c r="BY155" s="203"/>
      <c r="BZ155" s="205">
        <f>45393.71+503.705</f>
        <v>45897.415000000001</v>
      </c>
      <c r="CA155" s="208">
        <f t="shared" si="406"/>
        <v>45897.415000000001</v>
      </c>
      <c r="CB155" s="208">
        <f t="shared" si="407"/>
        <v>102326.16099999999</v>
      </c>
      <c r="CC155" s="203"/>
      <c r="CD155" s="205"/>
      <c r="CE155" s="205">
        <f>339.858+315.492</f>
        <v>655.35</v>
      </c>
      <c r="CF155" s="208">
        <f t="shared" si="408"/>
        <v>655.35</v>
      </c>
      <c r="CG155" s="203"/>
      <c r="CH155" s="205"/>
      <c r="CI155" s="205"/>
      <c r="CJ155" s="204"/>
      <c r="CK155" s="208">
        <f t="shared" si="391"/>
        <v>0</v>
      </c>
      <c r="CL155" s="203"/>
      <c r="CM155" s="205"/>
      <c r="CN155" s="205"/>
      <c r="CO155" s="205"/>
      <c r="CP155" s="204"/>
      <c r="CQ155" s="208">
        <f t="shared" si="409"/>
        <v>0</v>
      </c>
      <c r="CR155" s="203"/>
      <c r="CS155" s="205"/>
      <c r="CT155" s="205"/>
      <c r="CU155" s="205"/>
      <c r="CV155" s="204">
        <f>41.055+150</f>
        <v>191.05500000000001</v>
      </c>
      <c r="CW155" s="208">
        <f t="shared" si="392"/>
        <v>191.05500000000001</v>
      </c>
      <c r="CX155" s="203"/>
      <c r="CY155" s="205"/>
      <c r="CZ155" s="205"/>
      <c r="DA155" s="204">
        <v>49031.66</v>
      </c>
      <c r="DB155" s="208">
        <f t="shared" si="410"/>
        <v>49031.66</v>
      </c>
      <c r="DC155" s="208">
        <f t="shared" si="411"/>
        <v>49878.065000000002</v>
      </c>
      <c r="DD155" s="203">
        <f>893.197+113.997+335.564</f>
        <v>1342.758</v>
      </c>
      <c r="DE155" s="205">
        <v>500</v>
      </c>
      <c r="DF155" s="205"/>
      <c r="DG155" s="205">
        <f>123.309+2273.101</f>
        <v>2396.4100000000003</v>
      </c>
      <c r="DH155" s="205"/>
      <c r="DI155" s="208">
        <f t="shared" si="412"/>
        <v>4239.1680000000006</v>
      </c>
      <c r="DJ155" s="203"/>
      <c r="DK155" s="205"/>
      <c r="DL155" s="205"/>
      <c r="DM155" s="205"/>
      <c r="DN155" s="204"/>
      <c r="DO155" s="208">
        <f t="shared" si="413"/>
        <v>0</v>
      </c>
      <c r="DP155" s="203"/>
      <c r="DQ155" s="205"/>
      <c r="DR155" s="205"/>
      <c r="DS155" s="205">
        <v>191.99100000000001</v>
      </c>
      <c r="DT155" s="204"/>
      <c r="DU155" s="245">
        <f t="shared" si="414"/>
        <v>191.99100000000001</v>
      </c>
      <c r="DV155" s="203"/>
      <c r="DW155" s="205"/>
      <c r="DX155" s="205"/>
      <c r="DY155" s="205"/>
      <c r="DZ155" s="204"/>
      <c r="EA155" s="208">
        <f t="shared" si="415"/>
        <v>0</v>
      </c>
      <c r="EB155" s="208">
        <f t="shared" si="416"/>
        <v>4431.1590000000006</v>
      </c>
      <c r="EC155" s="203">
        <f>500+811.998+49201.271</f>
        <v>50513.269</v>
      </c>
      <c r="ED155" s="205"/>
      <c r="EE155" s="205"/>
      <c r="EF155" s="205"/>
      <c r="EG155" s="204">
        <f>235.619+97.726</f>
        <v>333.34500000000003</v>
      </c>
      <c r="EH155" s="208">
        <f t="shared" si="417"/>
        <v>50846.614000000001</v>
      </c>
      <c r="EI155" s="203">
        <f>500+500</f>
        <v>1000</v>
      </c>
      <c r="EJ155" s="205"/>
      <c r="EK155" s="205"/>
      <c r="EL155" s="205"/>
      <c r="EM155" s="204"/>
      <c r="EN155" s="208">
        <f t="shared" si="418"/>
        <v>1000</v>
      </c>
      <c r="EO155" s="203"/>
      <c r="EP155" s="205"/>
      <c r="EQ155" s="205"/>
      <c r="ER155" s="205"/>
      <c r="ES155" s="204"/>
      <c r="ET155" s="308">
        <f t="shared" si="419"/>
        <v>0</v>
      </c>
      <c r="EU155" s="203"/>
      <c r="EV155" s="205"/>
      <c r="EW155" s="205"/>
      <c r="EX155" s="205"/>
      <c r="EY155" s="205"/>
      <c r="EZ155" s="205"/>
      <c r="FA155" s="204"/>
      <c r="FB155" s="208">
        <f t="shared" si="420"/>
        <v>0</v>
      </c>
      <c r="FC155" s="208">
        <f t="shared" si="421"/>
        <v>51846.614000000001</v>
      </c>
      <c r="FD155" s="203">
        <f>50426.852+1129.409</f>
        <v>51556.260999999999</v>
      </c>
      <c r="FE155" s="205"/>
      <c r="FF155" s="204"/>
      <c r="FG155" s="208">
        <f t="shared" si="422"/>
        <v>51556.260999999999</v>
      </c>
      <c r="FH155" s="203">
        <v>173.21700000000001</v>
      </c>
      <c r="FI155" s="205"/>
      <c r="FJ155" s="205"/>
      <c r="FK155" s="205"/>
      <c r="FL155" s="204">
        <v>14100</v>
      </c>
      <c r="FM155" s="208">
        <f t="shared" si="423"/>
        <v>14273.217000000001</v>
      </c>
      <c r="FN155" s="203"/>
      <c r="FO155" s="205"/>
      <c r="FP155" s="205">
        <f>4449.802+172.007+66.475</f>
        <v>4688.2839999999997</v>
      </c>
      <c r="FQ155" s="205"/>
      <c r="FR155" s="208">
        <f t="shared" si="393"/>
        <v>4688.2839999999997</v>
      </c>
      <c r="FS155" s="203"/>
      <c r="FT155" s="205"/>
      <c r="FU155" s="205"/>
      <c r="FV155" s="205"/>
      <c r="FW155" s="204"/>
      <c r="FX155" s="208">
        <f t="shared" si="424"/>
        <v>0</v>
      </c>
      <c r="FY155" s="203"/>
      <c r="FZ155" s="205"/>
      <c r="GA155" s="205"/>
      <c r="GB155" s="205"/>
      <c r="GC155" s="204">
        <f>622.147+54270.43</f>
        <v>54892.576999999997</v>
      </c>
      <c r="GD155" s="208">
        <f t="shared" si="425"/>
        <v>54892.576999999997</v>
      </c>
      <c r="GE155" s="208">
        <f t="shared" si="394"/>
        <v>125410.33900000001</v>
      </c>
      <c r="GF155" s="203">
        <v>2000</v>
      </c>
      <c r="GG155" s="205"/>
      <c r="GH155" s="205">
        <v>820</v>
      </c>
      <c r="GI155" s="205"/>
      <c r="GJ155" s="205"/>
      <c r="GK155" s="208">
        <f t="shared" si="426"/>
        <v>2820</v>
      </c>
      <c r="GL155" s="203"/>
      <c r="GM155" s="205">
        <v>256.83600000000001</v>
      </c>
      <c r="GN155" s="205"/>
      <c r="GO155" s="204"/>
      <c r="GP155" s="208">
        <f t="shared" si="427"/>
        <v>256.83600000000001</v>
      </c>
      <c r="GQ155" s="203"/>
      <c r="GR155" s="205"/>
      <c r="GS155" s="205"/>
      <c r="GT155" s="205"/>
      <c r="GU155" s="204">
        <v>500</v>
      </c>
      <c r="GV155" s="208">
        <f t="shared" si="428"/>
        <v>500</v>
      </c>
      <c r="GW155" s="203">
        <v>500</v>
      </c>
      <c r="GX155" s="205"/>
      <c r="GY155" s="205"/>
      <c r="GZ155" s="205"/>
      <c r="HA155" s="205">
        <v>300</v>
      </c>
      <c r="HB155" s="204">
        <v>1230.1310000000001</v>
      </c>
      <c r="HC155" s="208">
        <f t="shared" si="429"/>
        <v>2030.1310000000001</v>
      </c>
      <c r="HD155" s="208">
        <f t="shared" si="430"/>
        <v>5606.9670000000006</v>
      </c>
      <c r="HE155" s="203">
        <f>55627.255+1000</f>
        <v>56627.254999999997</v>
      </c>
      <c r="HF155" s="205"/>
      <c r="HG155" s="205"/>
      <c r="HH155" s="205">
        <v>600</v>
      </c>
      <c r="HI155" s="208">
        <f t="shared" si="436"/>
        <v>57227.254999999997</v>
      </c>
      <c r="HJ155" s="203">
        <f>1021.559+300</f>
        <v>1321.559</v>
      </c>
      <c r="HK155" s="205"/>
      <c r="HL155" s="205"/>
      <c r="HM155" s="205"/>
      <c r="HN155" s="204">
        <v>600</v>
      </c>
      <c r="HO155" s="245">
        <f t="shared" si="437"/>
        <v>1921.559</v>
      </c>
      <c r="HP155" s="203"/>
      <c r="HQ155" s="205">
        <f>500+23700</f>
        <v>24200</v>
      </c>
      <c r="HR155" s="205"/>
      <c r="HS155" s="205"/>
      <c r="HT155" s="204"/>
      <c r="HU155" s="208">
        <f t="shared" si="438"/>
        <v>24200</v>
      </c>
      <c r="HV155" s="203"/>
      <c r="HW155" s="205"/>
      <c r="HX155" s="205"/>
      <c r="HY155" s="208">
        <f t="shared" si="395"/>
        <v>0</v>
      </c>
      <c r="HZ155" s="203"/>
      <c r="IA155" s="205"/>
      <c r="IB155" s="204">
        <f>2180.06+51987.66</f>
        <v>54167.72</v>
      </c>
      <c r="IC155" s="208">
        <f t="shared" si="439"/>
        <v>54167.72</v>
      </c>
      <c r="ID155" s="208">
        <f t="shared" si="396"/>
        <v>137516.53399999999</v>
      </c>
      <c r="IE155" s="203"/>
      <c r="IF155" s="204"/>
      <c r="IG155" s="208">
        <f t="shared" si="440"/>
        <v>0</v>
      </c>
      <c r="IH155" s="203"/>
      <c r="II155" s="205"/>
      <c r="IJ155" s="205"/>
      <c r="IK155" s="205"/>
      <c r="IL155" s="204"/>
      <c r="IM155" s="208">
        <f t="shared" si="441"/>
        <v>0</v>
      </c>
      <c r="IN155" s="203">
        <f>2791.642+1819.161+4000+200</f>
        <v>8810.8029999999999</v>
      </c>
      <c r="IO155" s="205">
        <v>10889.184999999999</v>
      </c>
      <c r="IP155" s="204"/>
      <c r="IQ155" s="208">
        <f t="shared" si="442"/>
        <v>19699.987999999998</v>
      </c>
      <c r="IR155" s="203"/>
      <c r="IS155" s="205"/>
      <c r="IT155" s="205">
        <v>500</v>
      </c>
      <c r="IU155" s="205"/>
      <c r="IV155" s="204"/>
      <c r="IW155" s="208">
        <f t="shared" si="443"/>
        <v>500</v>
      </c>
      <c r="IX155" s="203"/>
      <c r="IY155" s="205"/>
      <c r="IZ155" s="205"/>
      <c r="JA155" s="205"/>
      <c r="JB155" s="204">
        <f>52991.105+1615.222</f>
        <v>54606.327000000005</v>
      </c>
      <c r="JC155" s="208">
        <f t="shared" si="444"/>
        <v>54606.327000000005</v>
      </c>
      <c r="JD155" s="208">
        <f t="shared" si="431"/>
        <v>74806.315000000002</v>
      </c>
      <c r="JE155" s="203"/>
      <c r="JF155" s="205"/>
      <c r="JG155" s="205"/>
      <c r="JH155" s="205"/>
      <c r="JI155" s="204"/>
      <c r="JJ155" s="208">
        <f t="shared" si="445"/>
        <v>0</v>
      </c>
      <c r="JK155" s="203"/>
      <c r="JL155" s="205"/>
      <c r="JM155" s="205"/>
      <c r="JN155" s="205"/>
      <c r="JO155" s="204"/>
      <c r="JP155" s="208">
        <f t="shared" si="446"/>
        <v>0</v>
      </c>
      <c r="JQ155" s="203"/>
      <c r="JR155" s="205"/>
      <c r="JS155" s="205"/>
      <c r="JT155" s="205"/>
      <c r="JU155" s="204"/>
      <c r="JV155" s="208">
        <f t="shared" si="447"/>
        <v>0</v>
      </c>
      <c r="JW155" s="203"/>
      <c r="JX155" s="205"/>
      <c r="JY155" s="205"/>
      <c r="JZ155" s="205"/>
      <c r="KA155" s="205"/>
      <c r="KB155" s="204"/>
      <c r="KC155" s="208">
        <f t="shared" si="448"/>
        <v>0</v>
      </c>
      <c r="KD155" s="208">
        <v>55000</v>
      </c>
      <c r="KE155" s="203"/>
      <c r="KF155" s="205"/>
      <c r="KG155" s="205"/>
      <c r="KH155" s="205"/>
      <c r="KI155" s="204"/>
      <c r="KJ155" s="208">
        <f t="shared" si="450"/>
        <v>0</v>
      </c>
      <c r="KK155" s="203"/>
      <c r="KL155" s="205"/>
      <c r="KM155" s="205"/>
      <c r="KN155" s="205"/>
      <c r="KO155" s="204"/>
      <c r="KP155" s="208">
        <f t="shared" si="451"/>
        <v>0</v>
      </c>
      <c r="KQ155" s="203"/>
      <c r="KR155" s="205"/>
      <c r="KS155" s="205"/>
      <c r="KT155" s="205"/>
      <c r="KU155" s="204"/>
      <c r="KV155" s="208">
        <f t="shared" si="452"/>
        <v>0</v>
      </c>
      <c r="KW155" s="203"/>
      <c r="KX155" s="205"/>
      <c r="KY155" s="205"/>
      <c r="KZ155" s="205"/>
      <c r="LA155" s="204"/>
      <c r="LB155" s="208">
        <f t="shared" si="453"/>
        <v>0</v>
      </c>
      <c r="LC155" s="202"/>
      <c r="LD155" s="244"/>
      <c r="LE155" s="245"/>
      <c r="LF155" s="208">
        <f t="shared" si="454"/>
        <v>0</v>
      </c>
      <c r="LG155" s="208">
        <v>55000</v>
      </c>
    </row>
    <row r="156" spans="2:319" s="91" customFormat="1">
      <c r="B156" s="93" t="s">
        <v>388</v>
      </c>
      <c r="C156" s="167"/>
      <c r="D156" s="202">
        <f t="shared" si="389"/>
        <v>0</v>
      </c>
      <c r="E156" s="167"/>
      <c r="F156" s="177"/>
      <c r="G156" s="177"/>
      <c r="H156" s="177"/>
      <c r="I156" s="178"/>
      <c r="J156" s="202">
        <f t="shared" si="432"/>
        <v>0</v>
      </c>
      <c r="K156" s="167"/>
      <c r="L156" s="177"/>
      <c r="M156" s="177">
        <v>5220</v>
      </c>
      <c r="N156" s="178"/>
      <c r="O156" s="202">
        <f t="shared" si="456"/>
        <v>5220</v>
      </c>
      <c r="P156" s="167"/>
      <c r="Q156" s="177"/>
      <c r="R156" s="177"/>
      <c r="S156" s="177"/>
      <c r="T156" s="178"/>
      <c r="U156" s="202">
        <f t="shared" si="397"/>
        <v>0</v>
      </c>
      <c r="V156" s="167"/>
      <c r="W156" s="177"/>
      <c r="X156" s="177"/>
      <c r="Y156" s="177"/>
      <c r="Z156" s="177"/>
      <c r="AA156" s="208">
        <f t="shared" si="398"/>
        <v>0</v>
      </c>
      <c r="AB156" s="208">
        <f t="shared" si="434"/>
        <v>5220</v>
      </c>
      <c r="AC156" s="203"/>
      <c r="AD156" s="205"/>
      <c r="AE156" s="205">
        <v>150</v>
      </c>
      <c r="AF156" s="205"/>
      <c r="AG156" s="204">
        <f>300+50</f>
        <v>350</v>
      </c>
      <c r="AH156" s="208">
        <f t="shared" si="399"/>
        <v>500</v>
      </c>
      <c r="AI156" s="203"/>
      <c r="AJ156" s="205"/>
      <c r="AK156" s="205"/>
      <c r="AL156" s="205">
        <v>200</v>
      </c>
      <c r="AM156" s="204"/>
      <c r="AN156" s="208">
        <f t="shared" si="400"/>
        <v>200</v>
      </c>
      <c r="AO156" s="203">
        <f>1680+5440+100</f>
        <v>7220</v>
      </c>
      <c r="AP156" s="205"/>
      <c r="AQ156" s="205"/>
      <c r="AR156" s="205"/>
      <c r="AS156" s="204"/>
      <c r="AT156" s="208">
        <f t="shared" si="401"/>
        <v>7220</v>
      </c>
      <c r="AU156" s="203"/>
      <c r="AV156" s="205">
        <f>100+100</f>
        <v>200</v>
      </c>
      <c r="AW156" s="205">
        <v>2890</v>
      </c>
      <c r="AX156" s="205"/>
      <c r="AY156" s="204">
        <f>122.973+124.4</f>
        <v>247.37299999999999</v>
      </c>
      <c r="AZ156" s="208">
        <f t="shared" si="402"/>
        <v>3337.373</v>
      </c>
      <c r="BA156" s="208">
        <f t="shared" si="435"/>
        <v>11257.373</v>
      </c>
      <c r="BB156" s="203">
        <v>600</v>
      </c>
      <c r="BC156" s="205"/>
      <c r="BD156" s="205"/>
      <c r="BE156" s="205"/>
      <c r="BF156" s="204">
        <v>300</v>
      </c>
      <c r="BG156" s="208">
        <f t="shared" si="403"/>
        <v>900</v>
      </c>
      <c r="BH156" s="203"/>
      <c r="BI156" s="205">
        <f>350+300</f>
        <v>650</v>
      </c>
      <c r="BJ156" s="205"/>
      <c r="BK156" s="205"/>
      <c r="BL156" s="204"/>
      <c r="BM156" s="208">
        <f t="shared" si="404"/>
        <v>650</v>
      </c>
      <c r="BN156" s="203">
        <v>4720</v>
      </c>
      <c r="BO156" s="205"/>
      <c r="BP156" s="205"/>
      <c r="BQ156" s="204"/>
      <c r="BR156" s="208">
        <f t="shared" si="405"/>
        <v>4720</v>
      </c>
      <c r="BS156" s="203"/>
      <c r="BT156" s="205"/>
      <c r="BU156" s="205"/>
      <c r="BV156" s="205"/>
      <c r="BW156" s="204">
        <v>50</v>
      </c>
      <c r="BX156" s="208">
        <f t="shared" si="390"/>
        <v>50</v>
      </c>
      <c r="BY156" s="203"/>
      <c r="BZ156" s="205"/>
      <c r="CA156" s="208">
        <f t="shared" si="406"/>
        <v>0</v>
      </c>
      <c r="CB156" s="208">
        <f t="shared" si="407"/>
        <v>6320</v>
      </c>
      <c r="CC156" s="203"/>
      <c r="CD156" s="205"/>
      <c r="CE156" s="205">
        <v>300</v>
      </c>
      <c r="CF156" s="208">
        <f t="shared" si="408"/>
        <v>300</v>
      </c>
      <c r="CG156" s="203"/>
      <c r="CH156" s="205"/>
      <c r="CI156" s="205"/>
      <c r="CJ156" s="204"/>
      <c r="CK156" s="208">
        <f t="shared" si="391"/>
        <v>0</v>
      </c>
      <c r="CL156" s="203"/>
      <c r="CM156" s="205"/>
      <c r="CN156" s="205">
        <v>6270</v>
      </c>
      <c r="CO156" s="205"/>
      <c r="CP156" s="204"/>
      <c r="CQ156" s="208">
        <f t="shared" si="409"/>
        <v>6270</v>
      </c>
      <c r="CR156" s="203">
        <v>50</v>
      </c>
      <c r="CS156" s="205"/>
      <c r="CT156" s="205">
        <v>209</v>
      </c>
      <c r="CU156" s="205"/>
      <c r="CV156" s="204">
        <v>209</v>
      </c>
      <c r="CW156" s="208">
        <f t="shared" si="392"/>
        <v>468</v>
      </c>
      <c r="CX156" s="203"/>
      <c r="CY156" s="205"/>
      <c r="CZ156" s="205"/>
      <c r="DA156" s="204"/>
      <c r="DB156" s="208">
        <f t="shared" si="410"/>
        <v>0</v>
      </c>
      <c r="DC156" s="208">
        <f t="shared" si="411"/>
        <v>7038</v>
      </c>
      <c r="DD156" s="203">
        <v>50</v>
      </c>
      <c r="DE156" s="205"/>
      <c r="DF156" s="205"/>
      <c r="DG156" s="205"/>
      <c r="DH156" s="205">
        <v>50</v>
      </c>
      <c r="DI156" s="208">
        <f t="shared" si="412"/>
        <v>100</v>
      </c>
      <c r="DJ156" s="203"/>
      <c r="DK156" s="205"/>
      <c r="DL156" s="205"/>
      <c r="DM156" s="205"/>
      <c r="DN156" s="204">
        <f>5990+100</f>
        <v>6090</v>
      </c>
      <c r="DO156" s="208">
        <f t="shared" si="413"/>
        <v>6090</v>
      </c>
      <c r="DP156" s="203"/>
      <c r="DQ156" s="205"/>
      <c r="DR156" s="205"/>
      <c r="DS156" s="205">
        <f>50+100+209</f>
        <v>359</v>
      </c>
      <c r="DT156" s="204"/>
      <c r="DU156" s="245">
        <f t="shared" si="414"/>
        <v>359</v>
      </c>
      <c r="DV156" s="203"/>
      <c r="DW156" s="205"/>
      <c r="DX156" s="205"/>
      <c r="DY156" s="205"/>
      <c r="DZ156" s="204"/>
      <c r="EA156" s="208">
        <f t="shared" si="415"/>
        <v>0</v>
      </c>
      <c r="EB156" s="208">
        <f t="shared" si="416"/>
        <v>6549</v>
      </c>
      <c r="EC156" s="203"/>
      <c r="ED156" s="205"/>
      <c r="EE156" s="205"/>
      <c r="EF156" s="205"/>
      <c r="EG156" s="204">
        <f>200+150+100</f>
        <v>450</v>
      </c>
      <c r="EH156" s="208">
        <f t="shared" si="417"/>
        <v>450</v>
      </c>
      <c r="EI156" s="203"/>
      <c r="EJ156" s="205"/>
      <c r="EK156" s="205"/>
      <c r="EL156" s="205"/>
      <c r="EM156" s="204"/>
      <c r="EN156" s="208">
        <f t="shared" si="418"/>
        <v>0</v>
      </c>
      <c r="EO156" s="203">
        <f>6660+100</f>
        <v>6760</v>
      </c>
      <c r="EP156" s="205"/>
      <c r="EQ156" s="205">
        <v>450</v>
      </c>
      <c r="ER156" s="205"/>
      <c r="ES156" s="204"/>
      <c r="ET156" s="308">
        <f t="shared" si="419"/>
        <v>7210</v>
      </c>
      <c r="EU156" s="203">
        <f>209+50</f>
        <v>259</v>
      </c>
      <c r="EV156" s="205"/>
      <c r="EW156" s="205"/>
      <c r="EX156" s="205"/>
      <c r="EY156" s="205"/>
      <c r="EZ156" s="205"/>
      <c r="FA156" s="204">
        <v>80</v>
      </c>
      <c r="FB156" s="208">
        <f t="shared" si="420"/>
        <v>339</v>
      </c>
      <c r="FC156" s="208">
        <f t="shared" si="421"/>
        <v>7999</v>
      </c>
      <c r="FD156" s="203">
        <v>500</v>
      </c>
      <c r="FE156" s="205"/>
      <c r="FF156" s="204"/>
      <c r="FG156" s="208">
        <f t="shared" si="422"/>
        <v>500</v>
      </c>
      <c r="FH156" s="203"/>
      <c r="FI156" s="205"/>
      <c r="FJ156" s="205"/>
      <c r="FK156" s="205">
        <v>209</v>
      </c>
      <c r="FL156" s="204"/>
      <c r="FM156" s="208">
        <f t="shared" si="423"/>
        <v>209</v>
      </c>
      <c r="FN156" s="203"/>
      <c r="FO156" s="205"/>
      <c r="FP156" s="205">
        <f>6580+300</f>
        <v>6880</v>
      </c>
      <c r="FQ156" s="205"/>
      <c r="FR156" s="208">
        <f t="shared" si="393"/>
        <v>6880</v>
      </c>
      <c r="FS156" s="203"/>
      <c r="FT156" s="205"/>
      <c r="FU156" s="205">
        <v>100</v>
      </c>
      <c r="FV156" s="205"/>
      <c r="FW156" s="204"/>
      <c r="FX156" s="208">
        <f t="shared" si="424"/>
        <v>100</v>
      </c>
      <c r="FY156" s="203">
        <v>200</v>
      </c>
      <c r="FZ156" s="205"/>
      <c r="GA156" s="205"/>
      <c r="GB156" s="205"/>
      <c r="GC156" s="204"/>
      <c r="GD156" s="208">
        <f t="shared" si="425"/>
        <v>200</v>
      </c>
      <c r="GE156" s="208">
        <f t="shared" si="394"/>
        <v>7889</v>
      </c>
      <c r="GF156" s="203"/>
      <c r="GG156" s="205"/>
      <c r="GH156" s="205"/>
      <c r="GI156" s="205"/>
      <c r="GJ156" s="205"/>
      <c r="GK156" s="208">
        <f t="shared" si="426"/>
        <v>0</v>
      </c>
      <c r="GL156" s="203"/>
      <c r="GM156" s="205"/>
      <c r="GN156" s="205"/>
      <c r="GO156" s="204"/>
      <c r="GP156" s="208">
        <f t="shared" si="427"/>
        <v>0</v>
      </c>
      <c r="GQ156" s="203"/>
      <c r="GR156" s="205">
        <v>7000</v>
      </c>
      <c r="GS156" s="205"/>
      <c r="GT156" s="205"/>
      <c r="GU156" s="204">
        <v>100</v>
      </c>
      <c r="GV156" s="208">
        <f t="shared" si="428"/>
        <v>7100</v>
      </c>
      <c r="GW156" s="203"/>
      <c r="GX156" s="205"/>
      <c r="GY156" s="205"/>
      <c r="GZ156" s="205"/>
      <c r="HA156" s="205"/>
      <c r="HB156" s="204"/>
      <c r="HC156" s="208">
        <f t="shared" si="429"/>
        <v>0</v>
      </c>
      <c r="HD156" s="208">
        <f t="shared" si="430"/>
        <v>7100</v>
      </c>
      <c r="HE156" s="203"/>
      <c r="HF156" s="205">
        <v>640</v>
      </c>
      <c r="HG156" s="205"/>
      <c r="HH156" s="205"/>
      <c r="HI156" s="208">
        <f t="shared" si="436"/>
        <v>640</v>
      </c>
      <c r="HJ156" s="203">
        <v>250</v>
      </c>
      <c r="HK156" s="205"/>
      <c r="HL156" s="205"/>
      <c r="HM156" s="205"/>
      <c r="HN156" s="204"/>
      <c r="HO156" s="245">
        <f t="shared" si="437"/>
        <v>250</v>
      </c>
      <c r="HP156" s="203"/>
      <c r="HQ156" s="205">
        <f>600+150+2500+7640</f>
        <v>10890</v>
      </c>
      <c r="HR156" s="205"/>
      <c r="HS156" s="205"/>
      <c r="HT156" s="204"/>
      <c r="HU156" s="208">
        <f t="shared" si="438"/>
        <v>10890</v>
      </c>
      <c r="HV156" s="203"/>
      <c r="HW156" s="205"/>
      <c r="HX156" s="205">
        <f>200+770</f>
        <v>970</v>
      </c>
      <c r="HY156" s="208">
        <f t="shared" si="395"/>
        <v>970</v>
      </c>
      <c r="HZ156" s="203"/>
      <c r="IA156" s="205"/>
      <c r="IB156" s="204"/>
      <c r="IC156" s="208">
        <f t="shared" si="439"/>
        <v>0</v>
      </c>
      <c r="ID156" s="208">
        <f t="shared" si="396"/>
        <v>12750</v>
      </c>
      <c r="IE156" s="203"/>
      <c r="IF156" s="204"/>
      <c r="IG156" s="208">
        <f t="shared" si="440"/>
        <v>0</v>
      </c>
      <c r="IH156" s="203"/>
      <c r="II156" s="205"/>
      <c r="IJ156" s="205">
        <f>200</f>
        <v>200</v>
      </c>
      <c r="IK156" s="205"/>
      <c r="IL156" s="204"/>
      <c r="IM156" s="208">
        <f t="shared" si="441"/>
        <v>200</v>
      </c>
      <c r="IN156" s="203">
        <v>1100</v>
      </c>
      <c r="IO156" s="205"/>
      <c r="IP156" s="204">
        <f>6250+200</f>
        <v>6450</v>
      </c>
      <c r="IQ156" s="208">
        <f t="shared" si="442"/>
        <v>7550</v>
      </c>
      <c r="IR156" s="203"/>
      <c r="IS156" s="205"/>
      <c r="IT156" s="205"/>
      <c r="IU156" s="205"/>
      <c r="IV156" s="204">
        <v>150</v>
      </c>
      <c r="IW156" s="208">
        <f t="shared" si="443"/>
        <v>150</v>
      </c>
      <c r="IX156" s="203">
        <v>330</v>
      </c>
      <c r="IY156" s="205"/>
      <c r="IZ156" s="205"/>
      <c r="JA156" s="205"/>
      <c r="JB156" s="204"/>
      <c r="JC156" s="208">
        <f t="shared" si="444"/>
        <v>330</v>
      </c>
      <c r="JD156" s="208">
        <f t="shared" si="431"/>
        <v>8230</v>
      </c>
      <c r="JE156" s="203"/>
      <c r="JF156" s="205"/>
      <c r="JG156" s="205"/>
      <c r="JH156" s="205"/>
      <c r="JI156" s="204"/>
      <c r="JJ156" s="208">
        <f t="shared" si="445"/>
        <v>0</v>
      </c>
      <c r="JK156" s="203"/>
      <c r="JL156" s="205"/>
      <c r="JM156" s="205"/>
      <c r="JN156" s="205"/>
      <c r="JO156" s="204"/>
      <c r="JP156" s="208">
        <f t="shared" si="446"/>
        <v>0</v>
      </c>
      <c r="JQ156" s="203"/>
      <c r="JR156" s="205"/>
      <c r="JS156" s="205"/>
      <c r="JT156" s="205"/>
      <c r="JU156" s="204"/>
      <c r="JV156" s="208">
        <f t="shared" si="447"/>
        <v>0</v>
      </c>
      <c r="JW156" s="203"/>
      <c r="JX156" s="205"/>
      <c r="JY156" s="205"/>
      <c r="JZ156" s="205"/>
      <c r="KA156" s="205"/>
      <c r="KB156" s="204"/>
      <c r="KC156" s="208">
        <f t="shared" si="448"/>
        <v>0</v>
      </c>
      <c r="KD156" s="208">
        <f t="shared" si="449"/>
        <v>0</v>
      </c>
      <c r="KE156" s="203"/>
      <c r="KF156" s="205"/>
      <c r="KG156" s="205"/>
      <c r="KH156" s="205"/>
      <c r="KI156" s="204"/>
      <c r="KJ156" s="208">
        <f t="shared" si="450"/>
        <v>0</v>
      </c>
      <c r="KK156" s="203"/>
      <c r="KL156" s="205"/>
      <c r="KM156" s="205"/>
      <c r="KN156" s="205"/>
      <c r="KO156" s="204"/>
      <c r="KP156" s="208">
        <f t="shared" si="451"/>
        <v>0</v>
      </c>
      <c r="KQ156" s="203"/>
      <c r="KR156" s="205"/>
      <c r="KS156" s="205"/>
      <c r="KT156" s="205"/>
      <c r="KU156" s="204"/>
      <c r="KV156" s="208">
        <f t="shared" si="452"/>
        <v>0</v>
      </c>
      <c r="KW156" s="203"/>
      <c r="KX156" s="205"/>
      <c r="KY156" s="205"/>
      <c r="KZ156" s="205"/>
      <c r="LA156" s="204"/>
      <c r="LB156" s="208">
        <f t="shared" si="453"/>
        <v>0</v>
      </c>
      <c r="LC156" s="202"/>
      <c r="LD156" s="244"/>
      <c r="LE156" s="245"/>
      <c r="LF156" s="208">
        <f t="shared" si="454"/>
        <v>0</v>
      </c>
      <c r="LG156" s="208">
        <f t="shared" si="455"/>
        <v>0</v>
      </c>
    </row>
    <row r="157" spans="2:319" s="91" customFormat="1">
      <c r="B157" s="93" t="s">
        <v>389</v>
      </c>
      <c r="C157" s="167"/>
      <c r="D157" s="202">
        <f t="shared" si="389"/>
        <v>0</v>
      </c>
      <c r="E157" s="167"/>
      <c r="F157" s="177"/>
      <c r="G157" s="177"/>
      <c r="H157" s="177"/>
      <c r="I157" s="178">
        <v>35417.186999999998</v>
      </c>
      <c r="J157" s="202">
        <f t="shared" si="432"/>
        <v>35417.186999999998</v>
      </c>
      <c r="K157" s="167"/>
      <c r="L157" s="177"/>
      <c r="M157" s="177"/>
      <c r="N157" s="178"/>
      <c r="O157" s="202">
        <f t="shared" si="456"/>
        <v>0</v>
      </c>
      <c r="P157" s="167"/>
      <c r="Q157" s="177"/>
      <c r="R157" s="177"/>
      <c r="S157" s="177"/>
      <c r="T157" s="178"/>
      <c r="U157" s="202">
        <f t="shared" si="397"/>
        <v>0</v>
      </c>
      <c r="V157" s="167"/>
      <c r="W157" s="177"/>
      <c r="X157" s="177"/>
      <c r="Y157" s="177"/>
      <c r="Z157" s="177"/>
      <c r="AA157" s="208">
        <f t="shared" si="398"/>
        <v>0</v>
      </c>
      <c r="AB157" s="208">
        <f t="shared" si="434"/>
        <v>35417.186999999998</v>
      </c>
      <c r="AC157" s="203"/>
      <c r="AD157" s="205"/>
      <c r="AE157" s="205"/>
      <c r="AF157" s="205"/>
      <c r="AG157" s="204"/>
      <c r="AH157" s="208">
        <f t="shared" si="399"/>
        <v>0</v>
      </c>
      <c r="AI157" s="203"/>
      <c r="AJ157" s="205"/>
      <c r="AK157" s="205"/>
      <c r="AL157" s="205"/>
      <c r="AM157" s="204"/>
      <c r="AN157" s="208">
        <f t="shared" si="400"/>
        <v>0</v>
      </c>
      <c r="AO157" s="203"/>
      <c r="AP157" s="205"/>
      <c r="AQ157" s="205"/>
      <c r="AR157" s="205"/>
      <c r="AS157" s="204"/>
      <c r="AT157" s="208">
        <f t="shared" si="401"/>
        <v>0</v>
      </c>
      <c r="AU157" s="203"/>
      <c r="AV157" s="205"/>
      <c r="AW157" s="205"/>
      <c r="AX157" s="205"/>
      <c r="AY157" s="204"/>
      <c r="AZ157" s="208">
        <f t="shared" si="402"/>
        <v>0</v>
      </c>
      <c r="BA157" s="208">
        <f t="shared" si="435"/>
        <v>0</v>
      </c>
      <c r="BB157" s="203"/>
      <c r="BC157" s="205"/>
      <c r="BD157" s="205"/>
      <c r="BE157" s="205"/>
      <c r="BF157" s="204"/>
      <c r="BG157" s="208">
        <f t="shared" si="403"/>
        <v>0</v>
      </c>
      <c r="BH157" s="203"/>
      <c r="BI157" s="205"/>
      <c r="BJ157" s="205"/>
      <c r="BK157" s="205"/>
      <c r="BL157" s="204"/>
      <c r="BM157" s="208">
        <f t="shared" si="404"/>
        <v>0</v>
      </c>
      <c r="BN157" s="203"/>
      <c r="BO157" s="205"/>
      <c r="BP157" s="205"/>
      <c r="BQ157" s="204"/>
      <c r="BR157" s="208">
        <f t="shared" si="405"/>
        <v>0</v>
      </c>
      <c r="BS157" s="203"/>
      <c r="BT157" s="205"/>
      <c r="BU157" s="205"/>
      <c r="BV157" s="205"/>
      <c r="BW157" s="204"/>
      <c r="BX157" s="208">
        <f t="shared" si="390"/>
        <v>0</v>
      </c>
      <c r="BY157" s="203"/>
      <c r="BZ157" s="205"/>
      <c r="CA157" s="208">
        <f t="shared" si="406"/>
        <v>0</v>
      </c>
      <c r="CB157" s="208">
        <f t="shared" si="407"/>
        <v>0</v>
      </c>
      <c r="CC157" s="203"/>
      <c r="CD157" s="205"/>
      <c r="CE157" s="205"/>
      <c r="CF157" s="208">
        <f t="shared" si="408"/>
        <v>0</v>
      </c>
      <c r="CG157" s="203"/>
      <c r="CH157" s="205"/>
      <c r="CI157" s="205"/>
      <c r="CJ157" s="204">
        <v>4531.0889999999999</v>
      </c>
      <c r="CK157" s="208">
        <f t="shared" si="391"/>
        <v>4531.0889999999999</v>
      </c>
      <c r="CL157" s="203"/>
      <c r="CM157" s="205"/>
      <c r="CN157" s="205"/>
      <c r="CO157" s="205"/>
      <c r="CP157" s="204"/>
      <c r="CQ157" s="208">
        <f t="shared" si="409"/>
        <v>0</v>
      </c>
      <c r="CR157" s="203"/>
      <c r="CS157" s="205"/>
      <c r="CT157" s="205"/>
      <c r="CU157" s="205"/>
      <c r="CV157" s="204"/>
      <c r="CW157" s="208">
        <f t="shared" si="392"/>
        <v>0</v>
      </c>
      <c r="CX157" s="203"/>
      <c r="CY157" s="205"/>
      <c r="CZ157" s="205"/>
      <c r="DA157" s="204"/>
      <c r="DB157" s="208">
        <f t="shared" si="410"/>
        <v>0</v>
      </c>
      <c r="DC157" s="208">
        <f t="shared" si="411"/>
        <v>4531.0889999999999</v>
      </c>
      <c r="DD157" s="203"/>
      <c r="DE157" s="205"/>
      <c r="DF157" s="205"/>
      <c r="DG157" s="205"/>
      <c r="DH157" s="205"/>
      <c r="DI157" s="208">
        <f t="shared" si="412"/>
        <v>0</v>
      </c>
      <c r="DJ157" s="203"/>
      <c r="DK157" s="205"/>
      <c r="DL157" s="205"/>
      <c r="DM157" s="205"/>
      <c r="DN157" s="204"/>
      <c r="DO157" s="208">
        <f t="shared" si="413"/>
        <v>0</v>
      </c>
      <c r="DP157" s="203"/>
      <c r="DQ157" s="205"/>
      <c r="DR157" s="205"/>
      <c r="DS157" s="205"/>
      <c r="DT157" s="204"/>
      <c r="DU157" s="245">
        <f t="shared" si="414"/>
        <v>0</v>
      </c>
      <c r="DV157" s="203"/>
      <c r="DW157" s="205"/>
      <c r="DX157" s="205"/>
      <c r="DY157" s="205"/>
      <c r="DZ157" s="204"/>
      <c r="EA157" s="208">
        <f t="shared" si="415"/>
        <v>0</v>
      </c>
      <c r="EB157" s="208">
        <f t="shared" si="416"/>
        <v>0</v>
      </c>
      <c r="EC157" s="203"/>
      <c r="ED157" s="205"/>
      <c r="EE157" s="205"/>
      <c r="EF157" s="205"/>
      <c r="EG157" s="204"/>
      <c r="EH157" s="208">
        <f t="shared" si="417"/>
        <v>0</v>
      </c>
      <c r="EI157" s="203"/>
      <c r="EJ157" s="205"/>
      <c r="EK157" s="205"/>
      <c r="EL157" s="205"/>
      <c r="EM157" s="204"/>
      <c r="EN157" s="208">
        <f t="shared" si="418"/>
        <v>0</v>
      </c>
      <c r="EO157" s="203"/>
      <c r="EP157" s="205"/>
      <c r="EQ157" s="205"/>
      <c r="ER157" s="205"/>
      <c r="ES157" s="204"/>
      <c r="ET157" s="308">
        <f t="shared" si="419"/>
        <v>0</v>
      </c>
      <c r="EU157" s="203"/>
      <c r="EV157" s="205"/>
      <c r="EW157" s="205"/>
      <c r="EX157" s="205"/>
      <c r="EY157" s="205"/>
      <c r="EZ157" s="205"/>
      <c r="FA157" s="204"/>
      <c r="FB157" s="208">
        <f t="shared" si="420"/>
        <v>0</v>
      </c>
      <c r="FC157" s="208">
        <f t="shared" si="421"/>
        <v>0</v>
      </c>
      <c r="FD157" s="203"/>
      <c r="FE157" s="205"/>
      <c r="FF157" s="204"/>
      <c r="FG157" s="208">
        <f t="shared" si="422"/>
        <v>0</v>
      </c>
      <c r="FH157" s="203"/>
      <c r="FI157" s="205"/>
      <c r="FJ157" s="205"/>
      <c r="FK157" s="205"/>
      <c r="FL157" s="204"/>
      <c r="FM157" s="208">
        <f t="shared" si="423"/>
        <v>0</v>
      </c>
      <c r="FN157" s="203"/>
      <c r="FO157" s="205"/>
      <c r="FP157" s="205"/>
      <c r="FQ157" s="205"/>
      <c r="FR157" s="208">
        <f t="shared" si="393"/>
        <v>0</v>
      </c>
      <c r="FS157" s="203"/>
      <c r="FT157" s="205"/>
      <c r="FU157" s="205"/>
      <c r="FV157" s="205"/>
      <c r="FW157" s="204"/>
      <c r="FX157" s="208">
        <f t="shared" si="424"/>
        <v>0</v>
      </c>
      <c r="FY157" s="203"/>
      <c r="FZ157" s="205"/>
      <c r="GA157" s="205"/>
      <c r="GB157" s="205"/>
      <c r="GC157" s="204"/>
      <c r="GD157" s="208">
        <f t="shared" si="425"/>
        <v>0</v>
      </c>
      <c r="GE157" s="208">
        <f t="shared" si="394"/>
        <v>0</v>
      </c>
      <c r="GF157" s="203"/>
      <c r="GG157" s="205"/>
      <c r="GH157" s="205"/>
      <c r="GI157" s="205"/>
      <c r="GJ157" s="205"/>
      <c r="GK157" s="208">
        <f t="shared" si="426"/>
        <v>0</v>
      </c>
      <c r="GL157" s="203"/>
      <c r="GM157" s="205"/>
      <c r="GN157" s="205"/>
      <c r="GO157" s="204"/>
      <c r="GP157" s="208">
        <f t="shared" si="427"/>
        <v>0</v>
      </c>
      <c r="GQ157" s="203"/>
      <c r="GR157" s="205"/>
      <c r="GS157" s="205"/>
      <c r="GT157" s="205"/>
      <c r="GU157" s="204"/>
      <c r="GV157" s="208">
        <f t="shared" si="428"/>
        <v>0</v>
      </c>
      <c r="GW157" s="203"/>
      <c r="GX157" s="205"/>
      <c r="GY157" s="205"/>
      <c r="GZ157" s="205"/>
      <c r="HA157" s="205"/>
      <c r="HB157" s="204"/>
      <c r="HC157" s="208">
        <f t="shared" si="429"/>
        <v>0</v>
      </c>
      <c r="HD157" s="208">
        <f t="shared" si="430"/>
        <v>0</v>
      </c>
      <c r="HE157" s="203"/>
      <c r="HF157" s="205"/>
      <c r="HG157" s="205"/>
      <c r="HH157" s="205"/>
      <c r="HI157" s="208">
        <f t="shared" si="436"/>
        <v>0</v>
      </c>
      <c r="HJ157" s="203">
        <v>2442</v>
      </c>
      <c r="HK157" s="205"/>
      <c r="HL157" s="205"/>
      <c r="HM157" s="205">
        <v>66</v>
      </c>
      <c r="HN157" s="204"/>
      <c r="HO157" s="245">
        <f t="shared" si="437"/>
        <v>2508</v>
      </c>
      <c r="HP157" s="203"/>
      <c r="HQ157" s="205">
        <f>8050+600</f>
        <v>8650</v>
      </c>
      <c r="HR157" s="205"/>
      <c r="HS157" s="205"/>
      <c r="HT157" s="204"/>
      <c r="HU157" s="208">
        <f t="shared" si="438"/>
        <v>8650</v>
      </c>
      <c r="HV157" s="203"/>
      <c r="HW157" s="205"/>
      <c r="HX157" s="205"/>
      <c r="HY157" s="208">
        <f t="shared" si="395"/>
        <v>0</v>
      </c>
      <c r="HZ157" s="203"/>
      <c r="IA157" s="205"/>
      <c r="IB157" s="204"/>
      <c r="IC157" s="208">
        <f t="shared" si="439"/>
        <v>0</v>
      </c>
      <c r="ID157" s="208">
        <f t="shared" si="396"/>
        <v>11158</v>
      </c>
      <c r="IE157" s="203"/>
      <c r="IF157" s="204"/>
      <c r="IG157" s="208">
        <f t="shared" si="440"/>
        <v>0</v>
      </c>
      <c r="IH157" s="203"/>
      <c r="II157" s="205"/>
      <c r="IJ157" s="205"/>
      <c r="IK157" s="205"/>
      <c r="IL157" s="204"/>
      <c r="IM157" s="208">
        <f t="shared" si="441"/>
        <v>0</v>
      </c>
      <c r="IN157" s="203"/>
      <c r="IO157" s="205"/>
      <c r="IP157" s="204"/>
      <c r="IQ157" s="208">
        <f t="shared" si="442"/>
        <v>0</v>
      </c>
      <c r="IR157" s="203"/>
      <c r="IS157" s="205"/>
      <c r="IT157" s="205"/>
      <c r="IU157" s="205"/>
      <c r="IV157" s="204"/>
      <c r="IW157" s="208">
        <f t="shared" si="443"/>
        <v>0</v>
      </c>
      <c r="IX157" s="203"/>
      <c r="IY157" s="205"/>
      <c r="IZ157" s="205"/>
      <c r="JA157" s="205"/>
      <c r="JB157" s="204"/>
      <c r="JC157" s="208">
        <f t="shared" si="444"/>
        <v>0</v>
      </c>
      <c r="JD157" s="208">
        <f t="shared" si="431"/>
        <v>0</v>
      </c>
      <c r="JE157" s="203"/>
      <c r="JF157" s="205"/>
      <c r="JG157" s="205"/>
      <c r="JH157" s="205"/>
      <c r="JI157" s="204"/>
      <c r="JJ157" s="208">
        <f t="shared" si="445"/>
        <v>0</v>
      </c>
      <c r="JK157" s="203"/>
      <c r="JL157" s="205"/>
      <c r="JM157" s="205"/>
      <c r="JN157" s="205"/>
      <c r="JO157" s="204"/>
      <c r="JP157" s="208">
        <f t="shared" si="446"/>
        <v>0</v>
      </c>
      <c r="JQ157" s="203"/>
      <c r="JR157" s="205"/>
      <c r="JS157" s="205"/>
      <c r="JT157" s="205"/>
      <c r="JU157" s="204"/>
      <c r="JV157" s="208">
        <f t="shared" si="447"/>
        <v>0</v>
      </c>
      <c r="JW157" s="203"/>
      <c r="JX157" s="205"/>
      <c r="JY157" s="205"/>
      <c r="JZ157" s="205"/>
      <c r="KA157" s="205"/>
      <c r="KB157" s="204"/>
      <c r="KC157" s="208">
        <f t="shared" si="448"/>
        <v>0</v>
      </c>
      <c r="KD157" s="208">
        <f t="shared" si="449"/>
        <v>0</v>
      </c>
      <c r="KE157" s="203"/>
      <c r="KF157" s="205"/>
      <c r="KG157" s="205"/>
      <c r="KH157" s="205"/>
      <c r="KI157" s="204"/>
      <c r="KJ157" s="208">
        <f t="shared" si="450"/>
        <v>0</v>
      </c>
      <c r="KK157" s="203"/>
      <c r="KL157" s="205"/>
      <c r="KM157" s="205"/>
      <c r="KN157" s="205"/>
      <c r="KO157" s="204"/>
      <c r="KP157" s="208">
        <f t="shared" si="451"/>
        <v>0</v>
      </c>
      <c r="KQ157" s="203"/>
      <c r="KR157" s="205"/>
      <c r="KS157" s="205"/>
      <c r="KT157" s="205"/>
      <c r="KU157" s="204"/>
      <c r="KV157" s="208">
        <f t="shared" si="452"/>
        <v>0</v>
      </c>
      <c r="KW157" s="203"/>
      <c r="KX157" s="205"/>
      <c r="KY157" s="205"/>
      <c r="KZ157" s="205"/>
      <c r="LA157" s="204"/>
      <c r="LB157" s="208">
        <f t="shared" si="453"/>
        <v>0</v>
      </c>
      <c r="LC157" s="202"/>
      <c r="LD157" s="244"/>
      <c r="LE157" s="245"/>
      <c r="LF157" s="208">
        <f t="shared" si="454"/>
        <v>0</v>
      </c>
      <c r="LG157" s="208">
        <f t="shared" si="455"/>
        <v>0</v>
      </c>
    </row>
    <row r="158" spans="2:319" s="91" customFormat="1">
      <c r="B158" s="167" t="s">
        <v>86</v>
      </c>
      <c r="C158" s="167"/>
      <c r="D158" s="202">
        <f t="shared" si="389"/>
        <v>0</v>
      </c>
      <c r="E158" s="167"/>
      <c r="F158" s="177"/>
      <c r="G158" s="177"/>
      <c r="H158" s="177"/>
      <c r="I158" s="178"/>
      <c r="J158" s="202">
        <f t="shared" si="432"/>
        <v>0</v>
      </c>
      <c r="K158" s="167"/>
      <c r="L158" s="177"/>
      <c r="M158" s="177"/>
      <c r="N158" s="178"/>
      <c r="O158" s="202">
        <f t="shared" si="456"/>
        <v>0</v>
      </c>
      <c r="P158" s="167"/>
      <c r="Q158" s="177"/>
      <c r="R158" s="177">
        <f>1027.736+79132.584</f>
        <v>80160.320000000007</v>
      </c>
      <c r="S158" s="177"/>
      <c r="T158" s="178">
        <f>958.836+963.869</f>
        <v>1922.7049999999999</v>
      </c>
      <c r="U158" s="202">
        <f t="shared" si="397"/>
        <v>82083.025000000009</v>
      </c>
      <c r="V158" s="167"/>
      <c r="W158" s="177"/>
      <c r="X158" s="177"/>
      <c r="Y158" s="177"/>
      <c r="Z158" s="177"/>
      <c r="AA158" s="208">
        <f t="shared" si="398"/>
        <v>0</v>
      </c>
      <c r="AB158" s="208">
        <f t="shared" si="434"/>
        <v>82083.025000000009</v>
      </c>
      <c r="AC158" s="203"/>
      <c r="AD158" s="205"/>
      <c r="AE158" s="205"/>
      <c r="AF158" s="205"/>
      <c r="AG158" s="204"/>
      <c r="AH158" s="208">
        <f t="shared" si="399"/>
        <v>0</v>
      </c>
      <c r="AI158" s="203"/>
      <c r="AJ158" s="205"/>
      <c r="AK158" s="205"/>
      <c r="AL158" s="205"/>
      <c r="AM158" s="204"/>
      <c r="AN158" s="208">
        <f t="shared" si="400"/>
        <v>0</v>
      </c>
      <c r="AO158" s="203"/>
      <c r="AP158" s="205"/>
      <c r="AQ158" s="205"/>
      <c r="AR158" s="205"/>
      <c r="AS158" s="204"/>
      <c r="AT158" s="208">
        <f t="shared" si="401"/>
        <v>0</v>
      </c>
      <c r="AU158" s="203"/>
      <c r="AV158" s="205"/>
      <c r="AW158" s="205"/>
      <c r="AX158" s="205"/>
      <c r="AY158" s="204"/>
      <c r="AZ158" s="208">
        <f t="shared" si="402"/>
        <v>0</v>
      </c>
      <c r="BA158" s="208">
        <f t="shared" si="435"/>
        <v>0</v>
      </c>
      <c r="BB158" s="203"/>
      <c r="BC158" s="205"/>
      <c r="BD158" s="205"/>
      <c r="BE158" s="205"/>
      <c r="BF158" s="204">
        <f>750.019+623.036</f>
        <v>1373.0549999999998</v>
      </c>
      <c r="BG158" s="208">
        <f t="shared" si="403"/>
        <v>1373.0549999999998</v>
      </c>
      <c r="BH158" s="203"/>
      <c r="BI158" s="205"/>
      <c r="BJ158" s="205"/>
      <c r="BK158" s="205"/>
      <c r="BL158" s="204"/>
      <c r="BM158" s="208">
        <f t="shared" si="404"/>
        <v>0</v>
      </c>
      <c r="BN158" s="203"/>
      <c r="BO158" s="205"/>
      <c r="BP158" s="205"/>
      <c r="BQ158" s="204"/>
      <c r="BR158" s="208">
        <f t="shared" si="405"/>
        <v>0</v>
      </c>
      <c r="BS158" s="203"/>
      <c r="BT158" s="205"/>
      <c r="BU158" s="205"/>
      <c r="BV158" s="205"/>
      <c r="BW158" s="204"/>
      <c r="BX158" s="208">
        <f t="shared" si="390"/>
        <v>0</v>
      </c>
      <c r="BY158" s="203"/>
      <c r="BZ158" s="205"/>
      <c r="CA158" s="208">
        <f t="shared" si="406"/>
        <v>0</v>
      </c>
      <c r="CB158" s="208">
        <f t="shared" si="407"/>
        <v>1373.0549999999998</v>
      </c>
      <c r="CC158" s="203"/>
      <c r="CD158" s="205"/>
      <c r="CE158" s="205"/>
      <c r="CF158" s="208">
        <f t="shared" si="408"/>
        <v>0</v>
      </c>
      <c r="CG158" s="203"/>
      <c r="CH158" s="205"/>
      <c r="CI158" s="205"/>
      <c r="CJ158" s="204"/>
      <c r="CK158" s="208">
        <f t="shared" si="391"/>
        <v>0</v>
      </c>
      <c r="CL158" s="203"/>
      <c r="CM158" s="205"/>
      <c r="CN158" s="205">
        <v>779.25099999999998</v>
      </c>
      <c r="CO158" s="205">
        <f>648.548+65880.002</f>
        <v>66528.549999999988</v>
      </c>
      <c r="CP158" s="204"/>
      <c r="CQ158" s="208">
        <f t="shared" si="409"/>
        <v>67307.800999999992</v>
      </c>
      <c r="CR158" s="203"/>
      <c r="CS158" s="205"/>
      <c r="CT158" s="205"/>
      <c r="CU158" s="205"/>
      <c r="CV158" s="204"/>
      <c r="CW158" s="208">
        <f t="shared" si="392"/>
        <v>0</v>
      </c>
      <c r="CX158" s="203"/>
      <c r="CY158" s="205"/>
      <c r="CZ158" s="205"/>
      <c r="DA158" s="204"/>
      <c r="DB158" s="208">
        <f t="shared" si="410"/>
        <v>0</v>
      </c>
      <c r="DC158" s="208">
        <f t="shared" si="411"/>
        <v>67307.800999999992</v>
      </c>
      <c r="DD158" s="203"/>
      <c r="DE158" s="205"/>
      <c r="DF158" s="205"/>
      <c r="DG158" s="205"/>
      <c r="DH158" s="205"/>
      <c r="DI158" s="208">
        <f t="shared" si="412"/>
        <v>0</v>
      </c>
      <c r="DJ158" s="203"/>
      <c r="DK158" s="205"/>
      <c r="DL158" s="205"/>
      <c r="DM158" s="205"/>
      <c r="DN158" s="204">
        <v>870.60500000000002</v>
      </c>
      <c r="DO158" s="208">
        <f t="shared" si="413"/>
        <v>870.60500000000002</v>
      </c>
      <c r="DP158" s="203"/>
      <c r="DQ158" s="205"/>
      <c r="DR158" s="205"/>
      <c r="DS158" s="205"/>
      <c r="DT158" s="204"/>
      <c r="DU158" s="245">
        <f t="shared" si="414"/>
        <v>0</v>
      </c>
      <c r="DV158" s="203"/>
      <c r="DW158" s="205"/>
      <c r="DX158" s="205"/>
      <c r="DY158" s="205"/>
      <c r="DZ158" s="204"/>
      <c r="EA158" s="208">
        <f t="shared" si="415"/>
        <v>0</v>
      </c>
      <c r="EB158" s="208">
        <f t="shared" si="416"/>
        <v>870.60500000000002</v>
      </c>
      <c r="EC158" s="203"/>
      <c r="ED158" s="205"/>
      <c r="EE158" s="205"/>
      <c r="EF158" s="205"/>
      <c r="EG158" s="204"/>
      <c r="EH158" s="208">
        <f t="shared" si="417"/>
        <v>0</v>
      </c>
      <c r="EI158" s="203"/>
      <c r="EJ158" s="205"/>
      <c r="EK158" s="205"/>
      <c r="EL158" s="205"/>
      <c r="EM158" s="204"/>
      <c r="EN158" s="208">
        <f t="shared" si="418"/>
        <v>0</v>
      </c>
      <c r="EO158" s="203"/>
      <c r="EP158" s="205"/>
      <c r="EQ158" s="205">
        <v>792.95399999999995</v>
      </c>
      <c r="ER158" s="205"/>
      <c r="ES158" s="204"/>
      <c r="ET158" s="308">
        <f t="shared" si="419"/>
        <v>792.95399999999995</v>
      </c>
      <c r="EU158" s="203"/>
      <c r="EV158" s="205"/>
      <c r="EW158" s="205"/>
      <c r="EX158" s="205"/>
      <c r="EY158" s="205"/>
      <c r="EZ158" s="205"/>
      <c r="FA158" s="204"/>
      <c r="FB158" s="208">
        <f t="shared" si="420"/>
        <v>0</v>
      </c>
      <c r="FC158" s="208">
        <f t="shared" si="421"/>
        <v>792.95399999999995</v>
      </c>
      <c r="FD158" s="203"/>
      <c r="FE158" s="205"/>
      <c r="FF158" s="204"/>
      <c r="FG158" s="208">
        <f t="shared" si="422"/>
        <v>0</v>
      </c>
      <c r="FH158" s="203"/>
      <c r="FI158" s="205"/>
      <c r="FJ158" s="205"/>
      <c r="FK158" s="205"/>
      <c r="FL158" s="204"/>
      <c r="FM158" s="208">
        <f t="shared" si="423"/>
        <v>0</v>
      </c>
      <c r="FN158" s="203"/>
      <c r="FO158" s="205"/>
      <c r="FP158" s="205"/>
      <c r="FQ158" s="205"/>
      <c r="FR158" s="208">
        <f t="shared" si="393"/>
        <v>0</v>
      </c>
      <c r="FS158" s="203"/>
      <c r="FT158" s="205"/>
      <c r="FU158" s="205">
        <v>1236.1279999999999</v>
      </c>
      <c r="FV158" s="205">
        <f>68159.655+625.105</f>
        <v>68784.759999999995</v>
      </c>
      <c r="FW158" s="204"/>
      <c r="FX158" s="208">
        <f t="shared" si="424"/>
        <v>70020.887999999992</v>
      </c>
      <c r="FY158" s="203"/>
      <c r="FZ158" s="205"/>
      <c r="GA158" s="205"/>
      <c r="GB158" s="205"/>
      <c r="GC158" s="204"/>
      <c r="GD158" s="208">
        <f t="shared" si="425"/>
        <v>0</v>
      </c>
      <c r="GE158" s="208">
        <f t="shared" si="394"/>
        <v>70020.887999999992</v>
      </c>
      <c r="GF158" s="203"/>
      <c r="GG158" s="205"/>
      <c r="GH158" s="205"/>
      <c r="GI158" s="205"/>
      <c r="GJ158" s="205"/>
      <c r="GK158" s="208">
        <f t="shared" si="426"/>
        <v>0</v>
      </c>
      <c r="GL158" s="203"/>
      <c r="GM158" s="205"/>
      <c r="GN158" s="205"/>
      <c r="GO158" s="204"/>
      <c r="GP158" s="208">
        <f t="shared" si="427"/>
        <v>0</v>
      </c>
      <c r="GQ158" s="203"/>
      <c r="GR158" s="205">
        <v>1330.223</v>
      </c>
      <c r="GS158" s="205"/>
      <c r="GT158" s="205"/>
      <c r="GU158" s="204"/>
      <c r="GV158" s="208">
        <f t="shared" si="428"/>
        <v>1330.223</v>
      </c>
      <c r="GW158" s="203"/>
      <c r="GX158" s="205"/>
      <c r="GY158" s="205"/>
      <c r="GZ158" s="205"/>
      <c r="HA158" s="205"/>
      <c r="HB158" s="204"/>
      <c r="HC158" s="208">
        <f t="shared" si="429"/>
        <v>0</v>
      </c>
      <c r="HD158" s="208">
        <f t="shared" si="430"/>
        <v>1330.223</v>
      </c>
      <c r="HE158" s="203"/>
      <c r="HF158" s="205"/>
      <c r="HG158" s="205"/>
      <c r="HH158" s="205"/>
      <c r="HI158" s="208">
        <f t="shared" si="436"/>
        <v>0</v>
      </c>
      <c r="HJ158" s="203"/>
      <c r="HK158" s="205"/>
      <c r="HL158" s="205"/>
      <c r="HM158" s="205"/>
      <c r="HN158" s="204"/>
      <c r="HO158" s="245">
        <f t="shared" si="437"/>
        <v>0</v>
      </c>
      <c r="HP158" s="203"/>
      <c r="HQ158" s="205"/>
      <c r="HR158" s="205"/>
      <c r="HS158" s="205">
        <v>1421.577</v>
      </c>
      <c r="HT158" s="204"/>
      <c r="HU158" s="208">
        <f t="shared" si="438"/>
        <v>1421.577</v>
      </c>
      <c r="HV158" s="203"/>
      <c r="HW158" s="205"/>
      <c r="HX158" s="205"/>
      <c r="HY158" s="208">
        <f t="shared" si="395"/>
        <v>0</v>
      </c>
      <c r="HZ158" s="203"/>
      <c r="IA158" s="205"/>
      <c r="IB158" s="204"/>
      <c r="IC158" s="208">
        <f t="shared" si="439"/>
        <v>0</v>
      </c>
      <c r="ID158" s="208">
        <f t="shared" si="396"/>
        <v>1421.577</v>
      </c>
      <c r="IE158" s="203"/>
      <c r="IF158" s="204"/>
      <c r="IG158" s="208">
        <f t="shared" si="440"/>
        <v>0</v>
      </c>
      <c r="IH158" s="203"/>
      <c r="II158" s="205"/>
      <c r="IJ158" s="205"/>
      <c r="IK158" s="205"/>
      <c r="IL158" s="204"/>
      <c r="IM158" s="208">
        <f t="shared" si="441"/>
        <v>0</v>
      </c>
      <c r="IN158" s="203"/>
      <c r="IO158" s="205"/>
      <c r="IP158" s="204"/>
      <c r="IQ158" s="208">
        <f t="shared" si="442"/>
        <v>0</v>
      </c>
      <c r="IR158" s="203"/>
      <c r="IS158" s="205"/>
      <c r="IT158" s="205">
        <v>1896.6189999999999</v>
      </c>
      <c r="IU158" s="205"/>
      <c r="IV158" s="204"/>
      <c r="IW158" s="208">
        <f t="shared" si="443"/>
        <v>1896.6189999999999</v>
      </c>
      <c r="IX158" s="203"/>
      <c r="IY158" s="205"/>
      <c r="IZ158" s="205">
        <f>1296.784+75586.253</f>
        <v>76883.036999999997</v>
      </c>
      <c r="JA158" s="205"/>
      <c r="JB158" s="204"/>
      <c r="JC158" s="208">
        <f t="shared" si="444"/>
        <v>76883.036999999997</v>
      </c>
      <c r="JD158" s="208">
        <f t="shared" si="431"/>
        <v>78779.656000000003</v>
      </c>
      <c r="JE158" s="203"/>
      <c r="JF158" s="205"/>
      <c r="JG158" s="205"/>
      <c r="JH158" s="205"/>
      <c r="JI158" s="204"/>
      <c r="JJ158" s="208">
        <f t="shared" si="445"/>
        <v>0</v>
      </c>
      <c r="JK158" s="203"/>
      <c r="JL158" s="205"/>
      <c r="JM158" s="205"/>
      <c r="JN158" s="205"/>
      <c r="JO158" s="204"/>
      <c r="JP158" s="208">
        <f t="shared" si="446"/>
        <v>0</v>
      </c>
      <c r="JQ158" s="203"/>
      <c r="JR158" s="205"/>
      <c r="JS158" s="205"/>
      <c r="JT158" s="205"/>
      <c r="JU158" s="204"/>
      <c r="JV158" s="208">
        <f t="shared" si="447"/>
        <v>0</v>
      </c>
      <c r="JW158" s="203"/>
      <c r="JX158" s="205"/>
      <c r="JY158" s="205"/>
      <c r="JZ158" s="205"/>
      <c r="KA158" s="205"/>
      <c r="KB158" s="204"/>
      <c r="KC158" s="208">
        <f t="shared" si="448"/>
        <v>0</v>
      </c>
      <c r="KD158" s="208">
        <f t="shared" si="449"/>
        <v>0</v>
      </c>
      <c r="KE158" s="203"/>
      <c r="KF158" s="205"/>
      <c r="KG158" s="205"/>
      <c r="KH158" s="205"/>
      <c r="KI158" s="204"/>
      <c r="KJ158" s="208">
        <f t="shared" si="450"/>
        <v>0</v>
      </c>
      <c r="KK158" s="203"/>
      <c r="KL158" s="205"/>
      <c r="KM158" s="205"/>
      <c r="KN158" s="205"/>
      <c r="KO158" s="204"/>
      <c r="KP158" s="208">
        <f t="shared" si="451"/>
        <v>0</v>
      </c>
      <c r="KQ158" s="203"/>
      <c r="KR158" s="205"/>
      <c r="KS158" s="205"/>
      <c r="KT158" s="205"/>
      <c r="KU158" s="204"/>
      <c r="KV158" s="208">
        <f t="shared" si="452"/>
        <v>0</v>
      </c>
      <c r="KW158" s="203"/>
      <c r="KX158" s="205"/>
      <c r="KY158" s="205"/>
      <c r="KZ158" s="205"/>
      <c r="LA158" s="204"/>
      <c r="LB158" s="208">
        <f t="shared" si="453"/>
        <v>0</v>
      </c>
      <c r="LC158" s="202"/>
      <c r="LD158" s="244"/>
      <c r="LE158" s="245"/>
      <c r="LF158" s="208">
        <f t="shared" si="454"/>
        <v>0</v>
      </c>
      <c r="LG158" s="208">
        <f t="shared" si="455"/>
        <v>0</v>
      </c>
    </row>
    <row r="159" spans="2:319" s="91" customFormat="1">
      <c r="B159" s="167" t="s">
        <v>110</v>
      </c>
      <c r="C159" s="167">
        <v>532.47699999999998</v>
      </c>
      <c r="D159" s="202">
        <f t="shared" si="389"/>
        <v>532.47699999999998</v>
      </c>
      <c r="E159" s="167">
        <v>630.62</v>
      </c>
      <c r="F159" s="177"/>
      <c r="G159" s="177"/>
      <c r="H159" s="177"/>
      <c r="I159" s="178"/>
      <c r="J159" s="202">
        <f t="shared" si="432"/>
        <v>630.62</v>
      </c>
      <c r="K159" s="167"/>
      <c r="L159" s="177">
        <v>1205.3230000000001</v>
      </c>
      <c r="M159" s="177">
        <v>1674.037</v>
      </c>
      <c r="N159" s="178">
        <v>275.51799999999997</v>
      </c>
      <c r="O159" s="202">
        <f t="shared" si="456"/>
        <v>3154.8780000000002</v>
      </c>
      <c r="P159" s="167">
        <f>180.5+29550</f>
        <v>29730.5</v>
      </c>
      <c r="Q159" s="177">
        <f>591.449+736.622</f>
        <v>1328.0709999999999</v>
      </c>
      <c r="R159" s="177">
        <v>329.29500000000002</v>
      </c>
      <c r="S159" s="177">
        <f>566.428+588.853+400.5</f>
        <v>1555.7809999999999</v>
      </c>
      <c r="T159" s="178"/>
      <c r="U159" s="202">
        <f t="shared" si="397"/>
        <v>32943.646999999997</v>
      </c>
      <c r="V159" s="167"/>
      <c r="W159" s="177">
        <v>261.27999999999997</v>
      </c>
      <c r="X159" s="177"/>
      <c r="Y159" s="177">
        <f>153.428+1549.061+363.399+536.22+340.34+195.912</f>
        <v>3138.36</v>
      </c>
      <c r="Z159" s="177">
        <f>303.799+254.454+270.225+341.91</f>
        <v>1170.3879999999999</v>
      </c>
      <c r="AA159" s="208">
        <f t="shared" si="398"/>
        <v>4570.0280000000002</v>
      </c>
      <c r="AB159" s="208">
        <f t="shared" si="434"/>
        <v>41831.649999999994</v>
      </c>
      <c r="AC159" s="203">
        <f>296+533.855+521.148</f>
        <v>1351.0030000000002</v>
      </c>
      <c r="AD159" s="205">
        <f>888.299+1260.161</f>
        <v>2148.46</v>
      </c>
      <c r="AE159" s="205">
        <v>187.82599999999999</v>
      </c>
      <c r="AF159" s="205">
        <v>169.65299999999999</v>
      </c>
      <c r="AG159" s="204">
        <f>71.3+272.333+142.1+93.779</f>
        <v>579.51200000000006</v>
      </c>
      <c r="AH159" s="208">
        <f t="shared" si="399"/>
        <v>4436.4539999999997</v>
      </c>
      <c r="AI159" s="203"/>
      <c r="AJ159" s="205">
        <f>104.499+908.544+240</f>
        <v>1253.0430000000001</v>
      </c>
      <c r="AK159" s="205">
        <v>386.596</v>
      </c>
      <c r="AL159" s="205">
        <f>286.532+305.735+305.121</f>
        <v>897.38800000000003</v>
      </c>
      <c r="AM159" s="204"/>
      <c r="AN159" s="208">
        <f t="shared" si="400"/>
        <v>2537.027</v>
      </c>
      <c r="AO159" s="203">
        <f>1292.656+149.18+367.284</f>
        <v>1809.12</v>
      </c>
      <c r="AP159" s="205">
        <f>197.018+253.385</f>
        <v>450.40300000000002</v>
      </c>
      <c r="AQ159" s="205">
        <f>209.407+630.728</f>
        <v>840.13499999999999</v>
      </c>
      <c r="AR159" s="205"/>
      <c r="AS159" s="204">
        <f>837.543+121.8+562.977+299.45</f>
        <v>1821.77</v>
      </c>
      <c r="AT159" s="208">
        <f t="shared" si="401"/>
        <v>4921.4279999999999</v>
      </c>
      <c r="AU159" s="203"/>
      <c r="AV159" s="205"/>
      <c r="AW159" s="205"/>
      <c r="AX159" s="205"/>
      <c r="AY159" s="204"/>
      <c r="AZ159" s="208">
        <f t="shared" si="402"/>
        <v>0</v>
      </c>
      <c r="BA159" s="208">
        <f t="shared" si="435"/>
        <v>11894.909</v>
      </c>
      <c r="BB159" s="203">
        <f>1282.904+791.6+491.373</f>
        <v>2565.877</v>
      </c>
      <c r="BC159" s="205"/>
      <c r="BD159" s="205"/>
      <c r="BE159" s="205">
        <v>261.82299999999998</v>
      </c>
      <c r="BF159" s="204">
        <f>286.532+416.033</f>
        <v>702.56500000000005</v>
      </c>
      <c r="BG159" s="208">
        <f t="shared" si="403"/>
        <v>3530.2649999999999</v>
      </c>
      <c r="BH159" s="203">
        <v>563.49300000000005</v>
      </c>
      <c r="BI159" s="205">
        <v>405.30700000000002</v>
      </c>
      <c r="BJ159" s="205"/>
      <c r="BK159" s="205">
        <f>82.786+895.552</f>
        <v>978.33799999999997</v>
      </c>
      <c r="BL159" s="204"/>
      <c r="BM159" s="208">
        <f t="shared" si="404"/>
        <v>1947.1379999999999</v>
      </c>
      <c r="BN159" s="203">
        <f>363.48+210.795</f>
        <v>574.27499999999998</v>
      </c>
      <c r="BO159" s="205"/>
      <c r="BP159" s="205">
        <v>286.53199999999998</v>
      </c>
      <c r="BQ159" s="204"/>
      <c r="BR159" s="208">
        <f t="shared" si="405"/>
        <v>860.80700000000002</v>
      </c>
      <c r="BS159" s="203">
        <f>1088.029+282.52</f>
        <v>1370.549</v>
      </c>
      <c r="BT159" s="205"/>
      <c r="BU159" s="205">
        <f>284.382+176.249</f>
        <v>460.63099999999997</v>
      </c>
      <c r="BV159" s="205">
        <f>817.39+596.688+540.474+132.188</f>
        <v>2086.7400000000002</v>
      </c>
      <c r="BW159" s="204">
        <f>2079.034+346.38</f>
        <v>2425.4140000000002</v>
      </c>
      <c r="BX159" s="208">
        <f t="shared" si="390"/>
        <v>6343.3340000000007</v>
      </c>
      <c r="BY159" s="203">
        <v>301.39999999999998</v>
      </c>
      <c r="BZ159" s="205">
        <f>126.678+440.599+402.614+31228.415</f>
        <v>32198.306</v>
      </c>
      <c r="CA159" s="208">
        <f t="shared" si="406"/>
        <v>32499.706000000002</v>
      </c>
      <c r="CB159" s="208">
        <f t="shared" si="407"/>
        <v>45181.25</v>
      </c>
      <c r="CC159" s="203"/>
      <c r="CD159" s="205">
        <v>130.5</v>
      </c>
      <c r="CE159" s="205"/>
      <c r="CF159" s="208">
        <f t="shared" si="408"/>
        <v>130.5</v>
      </c>
      <c r="CG159" s="203"/>
      <c r="CH159" s="205"/>
      <c r="CI159" s="205">
        <v>429.54899999999998</v>
      </c>
      <c r="CJ159" s="204">
        <f>661.186+445.699+131.272+216.42+225.04</f>
        <v>1679.617</v>
      </c>
      <c r="CK159" s="208">
        <f t="shared" si="391"/>
        <v>2109.1660000000002</v>
      </c>
      <c r="CL159" s="203"/>
      <c r="CM159" s="205">
        <f>825.674+270.5</f>
        <v>1096.174</v>
      </c>
      <c r="CN159" s="205"/>
      <c r="CO159" s="205"/>
      <c r="CP159" s="204"/>
      <c r="CQ159" s="208">
        <f t="shared" si="409"/>
        <v>1096.174</v>
      </c>
      <c r="CR159" s="203">
        <f>596.688+600.992+750.777</f>
        <v>1948.4569999999999</v>
      </c>
      <c r="CS159" s="205">
        <v>524.41999999999996</v>
      </c>
      <c r="CT159" s="205"/>
      <c r="CU159" s="205"/>
      <c r="CV159" s="204">
        <v>490.488</v>
      </c>
      <c r="CW159" s="208">
        <f t="shared" si="392"/>
        <v>2963.3649999999998</v>
      </c>
      <c r="CX159" s="203">
        <f>917.661+163.34+521.428+81.92+554.213</f>
        <v>2238.5619999999999</v>
      </c>
      <c r="CY159" s="205"/>
      <c r="CZ159" s="205"/>
      <c r="DA159" s="204">
        <f>503.548+429.694+1056.439+511.544</f>
        <v>2501.2249999999999</v>
      </c>
      <c r="DB159" s="208">
        <f t="shared" si="410"/>
        <v>4739.7870000000003</v>
      </c>
      <c r="DC159" s="208">
        <f t="shared" si="411"/>
        <v>11038.992000000002</v>
      </c>
      <c r="DD159" s="203"/>
      <c r="DE159" s="205"/>
      <c r="DF159" s="205"/>
      <c r="DG159" s="205"/>
      <c r="DH159" s="205"/>
      <c r="DI159" s="208">
        <f t="shared" si="412"/>
        <v>0</v>
      </c>
      <c r="DJ159" s="203"/>
      <c r="DK159" s="205"/>
      <c r="DL159" s="205">
        <v>429.54899999999998</v>
      </c>
      <c r="DM159" s="205"/>
      <c r="DN159" s="204">
        <f>1182.493+1600.831</f>
        <v>2783.3239999999996</v>
      </c>
      <c r="DO159" s="208">
        <f t="shared" si="413"/>
        <v>3212.8729999999996</v>
      </c>
      <c r="DP159" s="203">
        <f>142.1+480.5+117.497+363.48</f>
        <v>1103.577</v>
      </c>
      <c r="DQ159" s="205">
        <v>172.26300000000001</v>
      </c>
      <c r="DR159" s="205">
        <v>274.27800000000002</v>
      </c>
      <c r="DS159" s="205">
        <f>71.366+1551.981+118.863+137.476</f>
        <v>1879.6860000000001</v>
      </c>
      <c r="DT159" s="204"/>
      <c r="DU159" s="245">
        <f t="shared" si="414"/>
        <v>3429.8040000000001</v>
      </c>
      <c r="DV159" s="203">
        <v>225.04</v>
      </c>
      <c r="DW159" s="205">
        <f>427.13+275.898</f>
        <v>703.02800000000002</v>
      </c>
      <c r="DX159" s="205"/>
      <c r="DY159" s="205">
        <v>374.05399999999997</v>
      </c>
      <c r="DZ159" s="204"/>
      <c r="EA159" s="208">
        <f t="shared" si="415"/>
        <v>1302.1219999999998</v>
      </c>
      <c r="EB159" s="208">
        <f t="shared" si="416"/>
        <v>7944.7989999999991</v>
      </c>
      <c r="EC159" s="203">
        <f>137.476+934.86+87.992+265.983+825.627</f>
        <v>2251.9380000000001</v>
      </c>
      <c r="ED159" s="205">
        <v>475.92200000000003</v>
      </c>
      <c r="EE159" s="205"/>
      <c r="EF159" s="205"/>
      <c r="EG159" s="204"/>
      <c r="EH159" s="208">
        <f t="shared" si="417"/>
        <v>2727.86</v>
      </c>
      <c r="EI159" s="203">
        <f>197.623+589.04+179.017+1743.45+702.31</f>
        <v>3411.44</v>
      </c>
      <c r="EJ159" s="205">
        <f>317.599+120.5+1060.806</f>
        <v>1498.905</v>
      </c>
      <c r="EK159" s="205"/>
      <c r="EL159" s="205"/>
      <c r="EM159" s="204">
        <f>363.48+70</f>
        <v>433.48</v>
      </c>
      <c r="EN159" s="208">
        <f t="shared" si="418"/>
        <v>5343.8250000000007</v>
      </c>
      <c r="EO159" s="203">
        <f>1142.822+500.502+359.316</f>
        <v>2002.6399999999999</v>
      </c>
      <c r="EP159" s="205"/>
      <c r="EQ159" s="205"/>
      <c r="ER159" s="205">
        <f>7895.892+312.537</f>
        <v>8208.4290000000001</v>
      </c>
      <c r="ES159" s="204"/>
      <c r="ET159" s="308">
        <f t="shared" si="419"/>
        <v>10211.069</v>
      </c>
      <c r="EU159" s="203">
        <f>204.676+495.227+343.747+2379.139</f>
        <v>3422.7890000000002</v>
      </c>
      <c r="EV159" s="205">
        <f>1992.581+240</f>
        <v>2232.5810000000001</v>
      </c>
      <c r="EW159" s="205">
        <v>465.67700000000002</v>
      </c>
      <c r="EX159" s="205">
        <v>198.31700000000001</v>
      </c>
      <c r="EY159" s="205">
        <v>640.45000000000005</v>
      </c>
      <c r="EZ159" s="205">
        <f>103.333+132.188</f>
        <v>235.52099999999999</v>
      </c>
      <c r="FA159" s="204">
        <f>222.559+1155.636+898.597+552.958</f>
        <v>2829.75</v>
      </c>
      <c r="FB159" s="208">
        <f t="shared" si="420"/>
        <v>10025.084999999999</v>
      </c>
      <c r="FC159" s="208">
        <f t="shared" si="421"/>
        <v>28307.839</v>
      </c>
      <c r="FD159" s="203"/>
      <c r="FE159" s="205"/>
      <c r="FF159" s="204"/>
      <c r="FG159" s="208">
        <f t="shared" si="422"/>
        <v>0</v>
      </c>
      <c r="FH159" s="203"/>
      <c r="FI159" s="205"/>
      <c r="FJ159" s="205"/>
      <c r="FK159" s="205"/>
      <c r="FL159" s="204"/>
      <c r="FM159" s="208">
        <f t="shared" si="423"/>
        <v>0</v>
      </c>
      <c r="FN159" s="203"/>
      <c r="FO159" s="205">
        <v>363.48</v>
      </c>
      <c r="FP159" s="205">
        <f>1253.581</f>
        <v>1253.5809999999999</v>
      </c>
      <c r="FQ159" s="205"/>
      <c r="FR159" s="208">
        <f t="shared" si="393"/>
        <v>1617.0609999999999</v>
      </c>
      <c r="FS159" s="203"/>
      <c r="FT159" s="205">
        <v>330.57400000000001</v>
      </c>
      <c r="FU159" s="205">
        <v>1133.7329999999999</v>
      </c>
      <c r="FV159" s="205"/>
      <c r="FW159" s="204">
        <v>236.05500000000001</v>
      </c>
      <c r="FX159" s="208">
        <f t="shared" si="424"/>
        <v>1700.3620000000001</v>
      </c>
      <c r="FY159" s="203"/>
      <c r="FZ159" s="205"/>
      <c r="GA159" s="205">
        <v>9861.4459999999999</v>
      </c>
      <c r="GB159" s="205">
        <f>509.629+328.521</f>
        <v>838.15000000000009</v>
      </c>
      <c r="GC159" s="204"/>
      <c r="GD159" s="208">
        <f t="shared" si="425"/>
        <v>10699.596</v>
      </c>
      <c r="GE159" s="208">
        <f t="shared" si="394"/>
        <v>14017.019</v>
      </c>
      <c r="GF159" s="203"/>
      <c r="GG159" s="205"/>
      <c r="GH159" s="205"/>
      <c r="GI159" s="205"/>
      <c r="GJ159" s="205"/>
      <c r="GK159" s="208">
        <f t="shared" si="426"/>
        <v>0</v>
      </c>
      <c r="GL159" s="203"/>
      <c r="GM159" s="205"/>
      <c r="GN159" s="205">
        <v>977.60400000000004</v>
      </c>
      <c r="GO159" s="204"/>
      <c r="GP159" s="208">
        <f t="shared" si="427"/>
        <v>977.60400000000004</v>
      </c>
      <c r="GQ159" s="203">
        <f>850.6+677.553</f>
        <v>1528.153</v>
      </c>
      <c r="GR159" s="205"/>
      <c r="GS159" s="205">
        <v>1988.4690000000001</v>
      </c>
      <c r="GT159" s="205">
        <v>97.051000000000002</v>
      </c>
      <c r="GU159" s="204"/>
      <c r="GV159" s="208">
        <f t="shared" si="428"/>
        <v>3613.6730000000002</v>
      </c>
      <c r="GW159" s="203"/>
      <c r="GX159" s="205"/>
      <c r="GY159" s="205">
        <f>2881.654+919.72</f>
        <v>3801.3739999999998</v>
      </c>
      <c r="GZ159" s="205"/>
      <c r="HA159" s="205">
        <v>5283.1459999999997</v>
      </c>
      <c r="HB159" s="204">
        <f>1612.391+3483.195</f>
        <v>5095.5860000000002</v>
      </c>
      <c r="HC159" s="208">
        <f t="shared" si="429"/>
        <v>14180.106</v>
      </c>
      <c r="HD159" s="208">
        <f t="shared" si="430"/>
        <v>18771.383000000002</v>
      </c>
      <c r="HE159" s="203"/>
      <c r="HF159" s="205">
        <v>499.93599999999998</v>
      </c>
      <c r="HG159" s="205"/>
      <c r="HH159" s="205"/>
      <c r="HI159" s="208">
        <f t="shared" si="436"/>
        <v>499.93599999999998</v>
      </c>
      <c r="HJ159" s="203"/>
      <c r="HK159" s="205"/>
      <c r="HL159" s="205">
        <v>1082.4290000000001</v>
      </c>
      <c r="HM159" s="205">
        <f>1313.723+268.884+1999.387</f>
        <v>3581.9939999999997</v>
      </c>
      <c r="HN159" s="204">
        <v>130</v>
      </c>
      <c r="HO159" s="245">
        <f t="shared" si="437"/>
        <v>4794.4229999999998</v>
      </c>
      <c r="HP159" s="203"/>
      <c r="HQ159" s="205">
        <f>14775+363.48</f>
        <v>15138.48</v>
      </c>
      <c r="HR159" s="205">
        <v>111.968</v>
      </c>
      <c r="HS159" s="205">
        <f>1048.888+177.155+157.816+156.986</f>
        <v>1540.8449999999998</v>
      </c>
      <c r="HT159" s="204">
        <v>714.16399999999999</v>
      </c>
      <c r="HU159" s="208">
        <f t="shared" si="438"/>
        <v>17505.457000000002</v>
      </c>
      <c r="HV159" s="203"/>
      <c r="HW159" s="205"/>
      <c r="HX159" s="205">
        <f>417.175+296.225</f>
        <v>713.40000000000009</v>
      </c>
      <c r="HY159" s="208">
        <f t="shared" si="395"/>
        <v>713.40000000000009</v>
      </c>
      <c r="HZ159" s="203"/>
      <c r="IA159" s="205"/>
      <c r="IB159" s="204">
        <f>1491.78+195.677</f>
        <v>1687.4569999999999</v>
      </c>
      <c r="IC159" s="208">
        <f t="shared" si="439"/>
        <v>1687.4569999999999</v>
      </c>
      <c r="ID159" s="208">
        <f t="shared" si="396"/>
        <v>25200.673000000003</v>
      </c>
      <c r="IE159" s="203"/>
      <c r="IF159" s="204"/>
      <c r="IG159" s="208">
        <f t="shared" si="440"/>
        <v>0</v>
      </c>
      <c r="IH159" s="203"/>
      <c r="II159" s="205"/>
      <c r="IJ159" s="205">
        <v>2049.0189999999998</v>
      </c>
      <c r="IK159" s="205"/>
      <c r="IL159" s="204">
        <f>165.281+620</f>
        <v>785.28099999999995</v>
      </c>
      <c r="IM159" s="208">
        <f t="shared" si="441"/>
        <v>2834.2999999999997</v>
      </c>
      <c r="IN159" s="203">
        <f>435.5</f>
        <v>435.5</v>
      </c>
      <c r="IO159" s="205">
        <v>669.62800000000004</v>
      </c>
      <c r="IP159" s="204"/>
      <c r="IQ159" s="208">
        <f t="shared" si="442"/>
        <v>1105.1280000000002</v>
      </c>
      <c r="IR159" s="203"/>
      <c r="IS159" s="205"/>
      <c r="IT159" s="205">
        <v>121.622</v>
      </c>
      <c r="IU159" s="205"/>
      <c r="IV159" s="204"/>
      <c r="IW159" s="208">
        <f t="shared" si="443"/>
        <v>121.622</v>
      </c>
      <c r="IX159" s="203"/>
      <c r="IY159" s="205"/>
      <c r="IZ159" s="205"/>
      <c r="JA159" s="205"/>
      <c r="JB159" s="204"/>
      <c r="JC159" s="208">
        <f t="shared" si="444"/>
        <v>0</v>
      </c>
      <c r="JD159" s="208">
        <f t="shared" si="431"/>
        <v>4061.05</v>
      </c>
      <c r="JE159" s="203"/>
      <c r="JF159" s="205"/>
      <c r="JG159" s="205"/>
      <c r="JH159" s="205"/>
      <c r="JI159" s="204"/>
      <c r="JJ159" s="208">
        <f t="shared" si="445"/>
        <v>0</v>
      </c>
      <c r="JK159" s="203"/>
      <c r="JL159" s="205"/>
      <c r="JM159" s="205"/>
      <c r="JN159" s="205"/>
      <c r="JO159" s="204"/>
      <c r="JP159" s="208">
        <f t="shared" si="446"/>
        <v>0</v>
      </c>
      <c r="JQ159" s="203"/>
      <c r="JR159" s="205"/>
      <c r="JS159" s="205"/>
      <c r="JT159" s="205"/>
      <c r="JU159" s="204"/>
      <c r="JV159" s="208">
        <f t="shared" si="447"/>
        <v>0</v>
      </c>
      <c r="JW159" s="203"/>
      <c r="JX159" s="205"/>
      <c r="JY159" s="205"/>
      <c r="JZ159" s="205"/>
      <c r="KA159" s="205"/>
      <c r="KB159" s="204"/>
      <c r="KC159" s="208">
        <f t="shared" si="448"/>
        <v>0</v>
      </c>
      <c r="KD159" s="208">
        <f t="shared" si="449"/>
        <v>0</v>
      </c>
      <c r="KE159" s="203"/>
      <c r="KF159" s="205"/>
      <c r="KG159" s="205"/>
      <c r="KH159" s="205"/>
      <c r="KI159" s="204"/>
      <c r="KJ159" s="208">
        <f t="shared" si="450"/>
        <v>0</v>
      </c>
      <c r="KK159" s="203"/>
      <c r="KL159" s="205"/>
      <c r="KM159" s="205"/>
      <c r="KN159" s="205"/>
      <c r="KO159" s="204"/>
      <c r="KP159" s="208">
        <f t="shared" si="451"/>
        <v>0</v>
      </c>
      <c r="KQ159" s="203"/>
      <c r="KR159" s="205"/>
      <c r="KS159" s="205"/>
      <c r="KT159" s="205"/>
      <c r="KU159" s="204"/>
      <c r="KV159" s="208">
        <f t="shared" si="452"/>
        <v>0</v>
      </c>
      <c r="KW159" s="203"/>
      <c r="KX159" s="205"/>
      <c r="KY159" s="205"/>
      <c r="KZ159" s="205"/>
      <c r="LA159" s="204"/>
      <c r="LB159" s="208">
        <f t="shared" si="453"/>
        <v>0</v>
      </c>
      <c r="LC159" s="202"/>
      <c r="LD159" s="244"/>
      <c r="LE159" s="245"/>
      <c r="LF159" s="208">
        <f t="shared" si="454"/>
        <v>0</v>
      </c>
      <c r="LG159" s="208">
        <f t="shared" si="455"/>
        <v>0</v>
      </c>
    </row>
    <row r="160" spans="2:319" s="91" customFormat="1">
      <c r="B160" s="167" t="s">
        <v>402</v>
      </c>
      <c r="C160" s="167"/>
      <c r="D160" s="202">
        <f t="shared" si="389"/>
        <v>0</v>
      </c>
      <c r="E160" s="167"/>
      <c r="F160" s="177"/>
      <c r="G160" s="177"/>
      <c r="H160" s="177"/>
      <c r="I160" s="178"/>
      <c r="J160" s="202">
        <f t="shared" si="432"/>
        <v>0</v>
      </c>
      <c r="K160" s="167"/>
      <c r="L160" s="177"/>
      <c r="M160" s="177">
        <v>268.36799999999999</v>
      </c>
      <c r="N160" s="178"/>
      <c r="O160" s="202">
        <f t="shared" si="456"/>
        <v>268.36799999999999</v>
      </c>
      <c r="P160" s="167"/>
      <c r="Q160" s="177"/>
      <c r="R160" s="177"/>
      <c r="S160" s="177"/>
      <c r="T160" s="178"/>
      <c r="U160" s="202">
        <f t="shared" si="397"/>
        <v>0</v>
      </c>
      <c r="V160" s="167"/>
      <c r="W160" s="177"/>
      <c r="X160" s="177"/>
      <c r="Y160" s="177"/>
      <c r="Z160" s="177"/>
      <c r="AA160" s="208">
        <f t="shared" si="398"/>
        <v>0</v>
      </c>
      <c r="AB160" s="208">
        <f t="shared" si="434"/>
        <v>268.36799999999999</v>
      </c>
      <c r="AC160" s="203"/>
      <c r="AD160" s="205"/>
      <c r="AE160" s="205">
        <f>242.271+989.686</f>
        <v>1231.9570000000001</v>
      </c>
      <c r="AF160" s="205">
        <v>197.346</v>
      </c>
      <c r="AG160" s="204"/>
      <c r="AH160" s="208">
        <f t="shared" si="399"/>
        <v>1429.3030000000001</v>
      </c>
      <c r="AI160" s="203"/>
      <c r="AJ160" s="205"/>
      <c r="AK160" s="205">
        <v>1214.4259999999999</v>
      </c>
      <c r="AL160" s="205"/>
      <c r="AM160" s="204"/>
      <c r="AN160" s="208">
        <f t="shared" si="400"/>
        <v>1214.4259999999999</v>
      </c>
      <c r="AO160" s="203"/>
      <c r="AP160" s="205"/>
      <c r="AQ160" s="205"/>
      <c r="AR160" s="205">
        <f>908.332+101.613+1312.536</f>
        <v>2322.4809999999998</v>
      </c>
      <c r="AS160" s="204">
        <f>181.163+139.715</f>
        <v>320.87800000000004</v>
      </c>
      <c r="AT160" s="208">
        <f t="shared" si="401"/>
        <v>2643.3589999999999</v>
      </c>
      <c r="AU160" s="203">
        <f>686.676+81.874</f>
        <v>768.55000000000007</v>
      </c>
      <c r="AV160" s="205"/>
      <c r="AW160" s="205">
        <f>265.536+199.24+242.317</f>
        <v>707.09300000000007</v>
      </c>
      <c r="AX160" s="205">
        <v>359.00200000000001</v>
      </c>
      <c r="AY160" s="204"/>
      <c r="AZ160" s="208">
        <f t="shared" si="402"/>
        <v>1834.645</v>
      </c>
      <c r="BA160" s="208">
        <f t="shared" si="435"/>
        <v>7121.7330000000002</v>
      </c>
      <c r="BB160" s="203">
        <f>194.367+314.224</f>
        <v>508.59100000000001</v>
      </c>
      <c r="BC160" s="205"/>
      <c r="BD160" s="205"/>
      <c r="BE160" s="205"/>
      <c r="BF160" s="204"/>
      <c r="BG160" s="208">
        <f t="shared" si="403"/>
        <v>508.59100000000001</v>
      </c>
      <c r="BH160" s="203"/>
      <c r="BI160" s="205">
        <v>106.7</v>
      </c>
      <c r="BJ160" s="205"/>
      <c r="BK160" s="205">
        <v>1186.039</v>
      </c>
      <c r="BL160" s="204"/>
      <c r="BM160" s="208">
        <f t="shared" si="404"/>
        <v>1292.739</v>
      </c>
      <c r="BN160" s="203">
        <f>341.244+1617.567</f>
        <v>1958.8110000000001</v>
      </c>
      <c r="BO160" s="205">
        <v>156.85</v>
      </c>
      <c r="BP160" s="205">
        <v>175.452</v>
      </c>
      <c r="BQ160" s="204"/>
      <c r="BR160" s="208">
        <f t="shared" si="405"/>
        <v>2291.1130000000003</v>
      </c>
      <c r="BS160" s="203"/>
      <c r="BT160" s="205"/>
      <c r="BU160" s="205"/>
      <c r="BV160" s="205"/>
      <c r="BW160" s="204"/>
      <c r="BX160" s="208">
        <f t="shared" si="390"/>
        <v>0</v>
      </c>
      <c r="BY160" s="203">
        <v>2202.9609999999998</v>
      </c>
      <c r="BZ160" s="205">
        <v>181.06399999999999</v>
      </c>
      <c r="CA160" s="208">
        <f t="shared" si="406"/>
        <v>2384.0249999999996</v>
      </c>
      <c r="CB160" s="208">
        <f t="shared" si="407"/>
        <v>6476.4680000000008</v>
      </c>
      <c r="CC160" s="203"/>
      <c r="CD160" s="205"/>
      <c r="CE160" s="205"/>
      <c r="CF160" s="208">
        <f t="shared" si="408"/>
        <v>0</v>
      </c>
      <c r="CG160" s="203"/>
      <c r="CH160" s="205"/>
      <c r="CI160" s="205">
        <v>108.624</v>
      </c>
      <c r="CJ160" s="204"/>
      <c r="CK160" s="208">
        <f t="shared" si="391"/>
        <v>108.624</v>
      </c>
      <c r="CL160" s="203"/>
      <c r="CM160" s="205"/>
      <c r="CN160" s="205">
        <v>171.6</v>
      </c>
      <c r="CO160" s="205"/>
      <c r="CP160" s="204"/>
      <c r="CQ160" s="208">
        <f t="shared" si="409"/>
        <v>171.6</v>
      </c>
      <c r="CR160" s="203"/>
      <c r="CS160" s="205"/>
      <c r="CT160" s="205"/>
      <c r="CU160" s="205"/>
      <c r="CV160" s="204"/>
      <c r="CW160" s="208">
        <f t="shared" si="392"/>
        <v>0</v>
      </c>
      <c r="CX160" s="203"/>
      <c r="CY160" s="205"/>
      <c r="CZ160" s="205"/>
      <c r="DA160" s="204"/>
      <c r="DB160" s="208">
        <f t="shared" si="410"/>
        <v>0</v>
      </c>
      <c r="DC160" s="208">
        <f t="shared" si="411"/>
        <v>280.22399999999999</v>
      </c>
      <c r="DD160" s="203"/>
      <c r="DE160" s="205"/>
      <c r="DF160" s="205"/>
      <c r="DG160" s="205"/>
      <c r="DH160" s="205"/>
      <c r="DI160" s="208">
        <f t="shared" si="412"/>
        <v>0</v>
      </c>
      <c r="DJ160" s="203"/>
      <c r="DK160" s="205"/>
      <c r="DL160" s="205"/>
      <c r="DM160" s="205"/>
      <c r="DN160" s="204"/>
      <c r="DO160" s="208">
        <f t="shared" si="413"/>
        <v>0</v>
      </c>
      <c r="DP160" s="203"/>
      <c r="DQ160" s="205"/>
      <c r="DR160" s="205">
        <v>2510.75</v>
      </c>
      <c r="DS160" s="205">
        <v>1412.1</v>
      </c>
      <c r="DT160" s="204"/>
      <c r="DU160" s="245">
        <f t="shared" si="414"/>
        <v>3922.85</v>
      </c>
      <c r="DV160" s="203"/>
      <c r="DW160" s="205"/>
      <c r="DX160" s="205"/>
      <c r="DY160" s="205">
        <v>1670.289</v>
      </c>
      <c r="DZ160" s="204"/>
      <c r="EA160" s="208">
        <f t="shared" si="415"/>
        <v>1670.289</v>
      </c>
      <c r="EB160" s="208">
        <f t="shared" si="416"/>
        <v>5593.1390000000001</v>
      </c>
      <c r="EC160" s="203"/>
      <c r="ED160" s="205"/>
      <c r="EE160" s="205">
        <v>9781.2340000000004</v>
      </c>
      <c r="EF160" s="205">
        <v>262.84500000000003</v>
      </c>
      <c r="EG160" s="204">
        <v>506.51299999999998</v>
      </c>
      <c r="EH160" s="208">
        <f t="shared" si="417"/>
        <v>10550.592000000001</v>
      </c>
      <c r="EI160" s="203"/>
      <c r="EJ160" s="205"/>
      <c r="EK160" s="205"/>
      <c r="EL160" s="205"/>
      <c r="EM160" s="204"/>
      <c r="EN160" s="208">
        <f t="shared" si="418"/>
        <v>0</v>
      </c>
      <c r="EO160" s="203">
        <v>697.38499999999999</v>
      </c>
      <c r="EP160" s="205"/>
      <c r="EQ160" s="205"/>
      <c r="ER160" s="205"/>
      <c r="ES160" s="204"/>
      <c r="ET160" s="308">
        <f t="shared" si="419"/>
        <v>697.38499999999999</v>
      </c>
      <c r="EU160" s="203"/>
      <c r="EV160" s="205"/>
      <c r="EW160" s="205"/>
      <c r="EX160" s="205"/>
      <c r="EY160" s="205"/>
      <c r="EZ160" s="205">
        <f>152.393+277.29</f>
        <v>429.68299999999999</v>
      </c>
      <c r="FA160" s="204"/>
      <c r="FB160" s="208">
        <f t="shared" si="420"/>
        <v>429.68299999999999</v>
      </c>
      <c r="FC160" s="208">
        <f t="shared" si="421"/>
        <v>11677.66</v>
      </c>
      <c r="FD160" s="203"/>
      <c r="FE160" s="205"/>
      <c r="FF160" s="204">
        <v>293.37299999999999</v>
      </c>
      <c r="FG160" s="208">
        <f t="shared" si="422"/>
        <v>293.37299999999999</v>
      </c>
      <c r="FH160" s="203">
        <f>118.382+285.393</f>
        <v>403.77499999999998</v>
      </c>
      <c r="FI160" s="205"/>
      <c r="FJ160" s="205"/>
      <c r="FK160" s="205">
        <v>451.65600000000001</v>
      </c>
      <c r="FL160" s="204">
        <f>233.82+319.593+312.02</f>
        <v>865.43299999999999</v>
      </c>
      <c r="FM160" s="208">
        <f t="shared" si="423"/>
        <v>1720.864</v>
      </c>
      <c r="FN160" s="203"/>
      <c r="FO160" s="205"/>
      <c r="FP160" s="205"/>
      <c r="FQ160" s="205"/>
      <c r="FR160" s="208">
        <f t="shared" si="393"/>
        <v>0</v>
      </c>
      <c r="FS160" s="203">
        <v>649.5</v>
      </c>
      <c r="FT160" s="205"/>
      <c r="FU160" s="205"/>
      <c r="FV160" s="205"/>
      <c r="FW160" s="204"/>
      <c r="FX160" s="208">
        <f t="shared" si="424"/>
        <v>649.5</v>
      </c>
      <c r="FY160" s="203"/>
      <c r="FZ160" s="205"/>
      <c r="GA160" s="205"/>
      <c r="GB160" s="205"/>
      <c r="GC160" s="204"/>
      <c r="GD160" s="208">
        <f t="shared" si="425"/>
        <v>0</v>
      </c>
      <c r="GE160" s="208">
        <f t="shared" si="394"/>
        <v>2663.7370000000001</v>
      </c>
      <c r="GF160" s="203"/>
      <c r="GG160" s="205"/>
      <c r="GH160" s="205"/>
      <c r="GI160" s="205"/>
      <c r="GJ160" s="205">
        <f>214.34+2379.631</f>
        <v>2593.971</v>
      </c>
      <c r="GK160" s="208">
        <f t="shared" si="426"/>
        <v>2593.971</v>
      </c>
      <c r="GL160" s="203">
        <v>2379.6309999999999</v>
      </c>
      <c r="GM160" s="205"/>
      <c r="GN160" s="205"/>
      <c r="GO160" s="204"/>
      <c r="GP160" s="208">
        <f t="shared" si="427"/>
        <v>2379.6309999999999</v>
      </c>
      <c r="GQ160" s="203"/>
      <c r="GR160" s="205"/>
      <c r="GS160" s="205"/>
      <c r="GT160" s="205"/>
      <c r="GU160" s="204"/>
      <c r="GV160" s="208">
        <f t="shared" si="428"/>
        <v>0</v>
      </c>
      <c r="GW160" s="203"/>
      <c r="GX160" s="205"/>
      <c r="GY160" s="205"/>
      <c r="GZ160" s="205"/>
      <c r="HA160" s="205"/>
      <c r="HB160" s="204"/>
      <c r="HC160" s="208">
        <f t="shared" si="429"/>
        <v>0</v>
      </c>
      <c r="HD160" s="208">
        <f t="shared" si="430"/>
        <v>4973.6019999999999</v>
      </c>
      <c r="HE160" s="203"/>
      <c r="HF160" s="205"/>
      <c r="HG160" s="205"/>
      <c r="HH160" s="205">
        <v>556.60500000000002</v>
      </c>
      <c r="HI160" s="208">
        <f t="shared" si="436"/>
        <v>556.60500000000002</v>
      </c>
      <c r="HJ160" s="203"/>
      <c r="HK160" s="205"/>
      <c r="HL160" s="205"/>
      <c r="HM160" s="205">
        <v>1115.1389999999999</v>
      </c>
      <c r="HN160" s="204"/>
      <c r="HO160" s="245">
        <f t="shared" si="437"/>
        <v>1115.1389999999999</v>
      </c>
      <c r="HP160" s="203"/>
      <c r="HQ160" s="205"/>
      <c r="HR160" s="205"/>
      <c r="HS160" s="205"/>
      <c r="HT160" s="204"/>
      <c r="HU160" s="208">
        <f t="shared" si="438"/>
        <v>0</v>
      </c>
      <c r="HV160" s="203"/>
      <c r="HW160" s="205">
        <v>566.9</v>
      </c>
      <c r="HX160" s="205"/>
      <c r="HY160" s="208">
        <f t="shared" si="395"/>
        <v>566.9</v>
      </c>
      <c r="HZ160" s="203"/>
      <c r="IA160" s="205"/>
      <c r="IB160" s="204"/>
      <c r="IC160" s="208">
        <f t="shared" si="439"/>
        <v>0</v>
      </c>
      <c r="ID160" s="208">
        <f t="shared" si="396"/>
        <v>2238.6439999999998</v>
      </c>
      <c r="IE160" s="203">
        <v>142.67599999999999</v>
      </c>
      <c r="IF160" s="204">
        <f>431.159+446.233</f>
        <v>877.39200000000005</v>
      </c>
      <c r="IG160" s="208">
        <f t="shared" si="440"/>
        <v>1020.068</v>
      </c>
      <c r="IH160" s="203">
        <f>306.55+70.781</f>
        <v>377.33100000000002</v>
      </c>
      <c r="II160" s="205">
        <f>986.016+1200.863</f>
        <v>2186.8789999999999</v>
      </c>
      <c r="IJ160" s="205">
        <v>756.072</v>
      </c>
      <c r="IK160" s="205"/>
      <c r="IL160" s="204"/>
      <c r="IM160" s="208">
        <f t="shared" si="441"/>
        <v>3320.2820000000002</v>
      </c>
      <c r="IN160" s="203">
        <f>194.023+696.7+123.22</f>
        <v>1013.9430000000001</v>
      </c>
      <c r="IO160" s="205"/>
      <c r="IP160" s="204">
        <f>135.623+120.786</f>
        <v>256.40899999999999</v>
      </c>
      <c r="IQ160" s="208">
        <f t="shared" si="442"/>
        <v>1270.3520000000001</v>
      </c>
      <c r="IR160" s="203">
        <f>363.48+675.361</f>
        <v>1038.8409999999999</v>
      </c>
      <c r="IS160" s="205"/>
      <c r="IT160" s="205"/>
      <c r="IU160" s="205">
        <f>121+137.476+363.48</f>
        <v>621.95600000000002</v>
      </c>
      <c r="IV160" s="204"/>
      <c r="IW160" s="208">
        <f t="shared" si="443"/>
        <v>1660.797</v>
      </c>
      <c r="IX160" s="203"/>
      <c r="IY160" s="205"/>
      <c r="IZ160" s="205"/>
      <c r="JA160" s="205"/>
      <c r="JB160" s="204">
        <v>225.25399999999999</v>
      </c>
      <c r="JC160" s="208">
        <f t="shared" si="444"/>
        <v>225.25399999999999</v>
      </c>
      <c r="JD160" s="208">
        <f t="shared" si="431"/>
        <v>7496.7530000000006</v>
      </c>
      <c r="JE160" s="203">
        <f>436.076+187.003+550.706+1023.722</f>
        <v>2197.5069999999996</v>
      </c>
      <c r="JF160" s="205"/>
      <c r="JG160" s="205"/>
      <c r="JH160" s="205">
        <f>616.487+146.501+95.023</f>
        <v>858.01099999999997</v>
      </c>
      <c r="JI160" s="204">
        <f>207.889+96.08+142.1</f>
        <v>446.06899999999996</v>
      </c>
      <c r="JJ160" s="208">
        <f t="shared" si="445"/>
        <v>3501.5869999999995</v>
      </c>
      <c r="JK160" s="203"/>
      <c r="JL160" s="205"/>
      <c r="JM160" s="205"/>
      <c r="JN160" s="205"/>
      <c r="JO160" s="204"/>
      <c r="JP160" s="208">
        <f t="shared" si="446"/>
        <v>0</v>
      </c>
      <c r="JQ160" s="203"/>
      <c r="JR160" s="205"/>
      <c r="JS160" s="205"/>
      <c r="JT160" s="205"/>
      <c r="JU160" s="204"/>
      <c r="JV160" s="208">
        <f t="shared" si="447"/>
        <v>0</v>
      </c>
      <c r="JW160" s="203"/>
      <c r="JX160" s="205"/>
      <c r="JY160" s="205"/>
      <c r="JZ160" s="205"/>
      <c r="KA160" s="205"/>
      <c r="KB160" s="204"/>
      <c r="KC160" s="208">
        <f t="shared" si="448"/>
        <v>0</v>
      </c>
      <c r="KD160" s="208">
        <f t="shared" si="449"/>
        <v>3501.5869999999995</v>
      </c>
      <c r="KE160" s="203"/>
      <c r="KF160" s="205"/>
      <c r="KG160" s="205"/>
      <c r="KH160" s="205"/>
      <c r="KI160" s="204"/>
      <c r="KJ160" s="208">
        <f t="shared" si="450"/>
        <v>0</v>
      </c>
      <c r="KK160" s="203"/>
      <c r="KL160" s="205"/>
      <c r="KM160" s="205"/>
      <c r="KN160" s="205"/>
      <c r="KO160" s="204"/>
      <c r="KP160" s="208">
        <f t="shared" si="451"/>
        <v>0</v>
      </c>
      <c r="KQ160" s="203"/>
      <c r="KR160" s="205"/>
      <c r="KS160" s="205"/>
      <c r="KT160" s="205"/>
      <c r="KU160" s="204"/>
      <c r="KV160" s="208">
        <f t="shared" si="452"/>
        <v>0</v>
      </c>
      <c r="KW160" s="203"/>
      <c r="KX160" s="205"/>
      <c r="KY160" s="205"/>
      <c r="KZ160" s="205"/>
      <c r="LA160" s="204"/>
      <c r="LB160" s="208">
        <f t="shared" si="453"/>
        <v>0</v>
      </c>
      <c r="LC160" s="202"/>
      <c r="LD160" s="244"/>
      <c r="LE160" s="245"/>
      <c r="LF160" s="208">
        <f t="shared" si="454"/>
        <v>0</v>
      </c>
      <c r="LG160" s="208">
        <f t="shared" si="455"/>
        <v>0</v>
      </c>
    </row>
    <row r="161" spans="2:322" s="91" customFormat="1">
      <c r="B161" s="167" t="s">
        <v>403</v>
      </c>
      <c r="C161" s="167"/>
      <c r="D161" s="202">
        <f t="shared" si="389"/>
        <v>0</v>
      </c>
      <c r="E161" s="167"/>
      <c r="F161" s="177"/>
      <c r="G161" s="177"/>
      <c r="H161" s="177"/>
      <c r="I161" s="178"/>
      <c r="J161" s="202">
        <f t="shared" si="432"/>
        <v>0</v>
      </c>
      <c r="K161" s="167"/>
      <c r="L161" s="177"/>
      <c r="M161" s="177"/>
      <c r="N161" s="178"/>
      <c r="O161" s="202">
        <f t="shared" si="456"/>
        <v>0</v>
      </c>
      <c r="P161" s="167"/>
      <c r="Q161" s="177"/>
      <c r="R161" s="177"/>
      <c r="S161" s="177"/>
      <c r="T161" s="178"/>
      <c r="U161" s="202">
        <f t="shared" si="397"/>
        <v>0</v>
      </c>
      <c r="V161" s="167"/>
      <c r="W161" s="177"/>
      <c r="X161" s="177"/>
      <c r="Y161" s="177"/>
      <c r="Z161" s="177"/>
      <c r="AA161" s="208">
        <f t="shared" si="398"/>
        <v>0</v>
      </c>
      <c r="AB161" s="208">
        <f t="shared" si="434"/>
        <v>0</v>
      </c>
      <c r="AC161" s="203"/>
      <c r="AD161" s="205"/>
      <c r="AE161" s="205"/>
      <c r="AF161" s="205"/>
      <c r="AG161" s="204"/>
      <c r="AH161" s="208">
        <f t="shared" si="399"/>
        <v>0</v>
      </c>
      <c r="AI161" s="203"/>
      <c r="AJ161" s="205"/>
      <c r="AK161" s="205"/>
      <c r="AL161" s="205"/>
      <c r="AM161" s="204"/>
      <c r="AN161" s="208">
        <f t="shared" si="400"/>
        <v>0</v>
      </c>
      <c r="AO161" s="203"/>
      <c r="AP161" s="205"/>
      <c r="AQ161" s="205"/>
      <c r="AR161" s="205"/>
      <c r="AS161" s="204"/>
      <c r="AT161" s="208">
        <f t="shared" si="401"/>
        <v>0</v>
      </c>
      <c r="AU161" s="203"/>
      <c r="AV161" s="205"/>
      <c r="AW161" s="205"/>
      <c r="AX161" s="205"/>
      <c r="AY161" s="204"/>
      <c r="AZ161" s="208">
        <f t="shared" si="402"/>
        <v>0</v>
      </c>
      <c r="BA161" s="208">
        <f t="shared" si="435"/>
        <v>0</v>
      </c>
      <c r="BB161" s="203">
        <v>10440.42</v>
      </c>
      <c r="BC161" s="205"/>
      <c r="BD161" s="205"/>
      <c r="BE161" s="205"/>
      <c r="BF161" s="204"/>
      <c r="BG161" s="208">
        <f t="shared" si="403"/>
        <v>10440.42</v>
      </c>
      <c r="BH161" s="203"/>
      <c r="BI161" s="205"/>
      <c r="BJ161" s="205"/>
      <c r="BK161" s="205"/>
      <c r="BL161" s="204"/>
      <c r="BM161" s="208">
        <f t="shared" si="404"/>
        <v>0</v>
      </c>
      <c r="BN161" s="203"/>
      <c r="BO161" s="205"/>
      <c r="BP161" s="205"/>
      <c r="BQ161" s="204"/>
      <c r="BR161" s="208">
        <f t="shared" si="405"/>
        <v>0</v>
      </c>
      <c r="BS161" s="203"/>
      <c r="BT161" s="205"/>
      <c r="BU161" s="205">
        <v>2347.02</v>
      </c>
      <c r="BV161" s="205"/>
      <c r="BW161" s="204"/>
      <c r="BX161" s="208">
        <f t="shared" si="390"/>
        <v>2347.02</v>
      </c>
      <c r="BY161" s="203"/>
      <c r="BZ161" s="205"/>
      <c r="CA161" s="208">
        <f t="shared" si="406"/>
        <v>0</v>
      </c>
      <c r="CB161" s="208">
        <f t="shared" si="407"/>
        <v>12787.44</v>
      </c>
      <c r="CC161" s="203"/>
      <c r="CD161" s="205"/>
      <c r="CE161" s="205"/>
      <c r="CF161" s="208">
        <f t="shared" si="408"/>
        <v>0</v>
      </c>
      <c r="CG161" s="203"/>
      <c r="CH161" s="205"/>
      <c r="CI161" s="205"/>
      <c r="CJ161" s="204"/>
      <c r="CK161" s="208">
        <f t="shared" si="391"/>
        <v>0</v>
      </c>
      <c r="CL161" s="203"/>
      <c r="CM161" s="205"/>
      <c r="CN161" s="205"/>
      <c r="CO161" s="205"/>
      <c r="CP161" s="204"/>
      <c r="CQ161" s="208">
        <f t="shared" si="409"/>
        <v>0</v>
      </c>
      <c r="CR161" s="203"/>
      <c r="CS161" s="205"/>
      <c r="CT161" s="205"/>
      <c r="CU161" s="205"/>
      <c r="CV161" s="204"/>
      <c r="CW161" s="208">
        <f t="shared" si="392"/>
        <v>0</v>
      </c>
      <c r="CX161" s="203"/>
      <c r="CY161" s="205"/>
      <c r="CZ161" s="205"/>
      <c r="DA161" s="204"/>
      <c r="DB161" s="208">
        <f t="shared" si="410"/>
        <v>0</v>
      </c>
      <c r="DC161" s="208">
        <f t="shared" si="411"/>
        <v>0</v>
      </c>
      <c r="DD161" s="203"/>
      <c r="DE161" s="205"/>
      <c r="DF161" s="205"/>
      <c r="DG161" s="205"/>
      <c r="DH161" s="205"/>
      <c r="DI161" s="208">
        <f t="shared" si="412"/>
        <v>0</v>
      </c>
      <c r="DJ161" s="203"/>
      <c r="DK161" s="205"/>
      <c r="DL161" s="205"/>
      <c r="DM161" s="205"/>
      <c r="DN161" s="204"/>
      <c r="DO161" s="208">
        <f t="shared" si="413"/>
        <v>0</v>
      </c>
      <c r="DP161" s="203"/>
      <c r="DQ161" s="205"/>
      <c r="DR161" s="205"/>
      <c r="DS161" s="205"/>
      <c r="DT161" s="204"/>
      <c r="DU161" s="245">
        <f t="shared" si="414"/>
        <v>0</v>
      </c>
      <c r="DV161" s="203"/>
      <c r="DW161" s="205"/>
      <c r="DX161" s="205"/>
      <c r="DY161" s="205"/>
      <c r="DZ161" s="204"/>
      <c r="EA161" s="208">
        <f t="shared" si="415"/>
        <v>0</v>
      </c>
      <c r="EB161" s="208">
        <f t="shared" si="416"/>
        <v>0</v>
      </c>
      <c r="EC161" s="203">
        <v>412.9</v>
      </c>
      <c r="ED161" s="205"/>
      <c r="EE161" s="205"/>
      <c r="EF161" s="205"/>
      <c r="EG161" s="204"/>
      <c r="EH161" s="208">
        <f t="shared" si="417"/>
        <v>412.9</v>
      </c>
      <c r="EI161" s="203"/>
      <c r="EJ161" s="205"/>
      <c r="EK161" s="205">
        <v>4373.2969999999996</v>
      </c>
      <c r="EL161" s="205"/>
      <c r="EM161" s="204"/>
      <c r="EN161" s="208">
        <f t="shared" si="418"/>
        <v>4373.2969999999996</v>
      </c>
      <c r="EO161" s="203"/>
      <c r="EP161" s="205"/>
      <c r="EQ161" s="205"/>
      <c r="ER161" s="205"/>
      <c r="ES161" s="204"/>
      <c r="ET161" s="308">
        <f t="shared" si="419"/>
        <v>0</v>
      </c>
      <c r="EU161" s="203"/>
      <c r="EV161" s="205"/>
      <c r="EW161" s="205"/>
      <c r="EX161" s="205"/>
      <c r="EY161" s="205"/>
      <c r="EZ161" s="205"/>
      <c r="FA161" s="204"/>
      <c r="FB161" s="208">
        <f t="shared" si="420"/>
        <v>0</v>
      </c>
      <c r="FC161" s="208">
        <f t="shared" si="421"/>
        <v>4786.1969999999992</v>
      </c>
      <c r="FD161" s="203"/>
      <c r="FE161" s="205"/>
      <c r="FF161" s="204"/>
      <c r="FG161" s="208">
        <f t="shared" si="422"/>
        <v>0</v>
      </c>
      <c r="FH161" s="203"/>
      <c r="FI161" s="205"/>
      <c r="FJ161" s="205"/>
      <c r="FK161" s="205"/>
      <c r="FL161" s="204"/>
      <c r="FM161" s="208">
        <f t="shared" si="423"/>
        <v>0</v>
      </c>
      <c r="FN161" s="203"/>
      <c r="FO161" s="205"/>
      <c r="FP161" s="205"/>
      <c r="FQ161" s="205"/>
      <c r="FR161" s="208">
        <f t="shared" si="393"/>
        <v>0</v>
      </c>
      <c r="FS161" s="203"/>
      <c r="FT161" s="205"/>
      <c r="FU161" s="205"/>
      <c r="FV161" s="205"/>
      <c r="FW161" s="204"/>
      <c r="FX161" s="208">
        <f t="shared" si="424"/>
        <v>0</v>
      </c>
      <c r="FY161" s="203"/>
      <c r="FZ161" s="205"/>
      <c r="GA161" s="205"/>
      <c r="GB161" s="205"/>
      <c r="GC161" s="204"/>
      <c r="GD161" s="208">
        <f t="shared" si="425"/>
        <v>0</v>
      </c>
      <c r="GE161" s="208">
        <f t="shared" si="394"/>
        <v>0</v>
      </c>
      <c r="GF161" s="203"/>
      <c r="GG161" s="205"/>
      <c r="GH161" s="205"/>
      <c r="GI161" s="205"/>
      <c r="GJ161" s="205"/>
      <c r="GK161" s="208">
        <f t="shared" si="426"/>
        <v>0</v>
      </c>
      <c r="GL161" s="203"/>
      <c r="GM161" s="205"/>
      <c r="GN161" s="205"/>
      <c r="GO161" s="204"/>
      <c r="GP161" s="208">
        <f t="shared" si="427"/>
        <v>0</v>
      </c>
      <c r="GQ161" s="203"/>
      <c r="GR161" s="205"/>
      <c r="GS161" s="205"/>
      <c r="GT161" s="205"/>
      <c r="GU161" s="204"/>
      <c r="GV161" s="208">
        <f t="shared" si="428"/>
        <v>0</v>
      </c>
      <c r="GW161" s="203"/>
      <c r="GX161" s="205"/>
      <c r="GY161" s="205"/>
      <c r="GZ161" s="205"/>
      <c r="HA161" s="205"/>
      <c r="HB161" s="204"/>
      <c r="HC161" s="208">
        <f t="shared" si="429"/>
        <v>0</v>
      </c>
      <c r="HD161" s="208">
        <f t="shared" si="430"/>
        <v>0</v>
      </c>
      <c r="HE161" s="203"/>
      <c r="HF161" s="205"/>
      <c r="HG161" s="205"/>
      <c r="HH161" s="205"/>
      <c r="HI161" s="208">
        <f t="shared" si="436"/>
        <v>0</v>
      </c>
      <c r="HJ161" s="203"/>
      <c r="HK161" s="205"/>
      <c r="HL161" s="205"/>
      <c r="HM161" s="205"/>
      <c r="HN161" s="204"/>
      <c r="HO161" s="245">
        <f t="shared" si="437"/>
        <v>0</v>
      </c>
      <c r="HP161" s="203"/>
      <c r="HQ161" s="205"/>
      <c r="HR161" s="205"/>
      <c r="HS161" s="205"/>
      <c r="HT161" s="204"/>
      <c r="HU161" s="208">
        <f t="shared" si="438"/>
        <v>0</v>
      </c>
      <c r="HV161" s="203"/>
      <c r="HW161" s="205"/>
      <c r="HX161" s="205"/>
      <c r="HY161" s="208">
        <f t="shared" si="395"/>
        <v>0</v>
      </c>
      <c r="HZ161" s="203"/>
      <c r="IA161" s="205"/>
      <c r="IB161" s="204"/>
      <c r="IC161" s="208">
        <f t="shared" si="439"/>
        <v>0</v>
      </c>
      <c r="ID161" s="208">
        <f t="shared" si="396"/>
        <v>0</v>
      </c>
      <c r="IE161" s="203"/>
      <c r="IF161" s="204"/>
      <c r="IG161" s="208">
        <f t="shared" si="440"/>
        <v>0</v>
      </c>
      <c r="IH161" s="203"/>
      <c r="II161" s="205"/>
      <c r="IJ161" s="205"/>
      <c r="IK161" s="205"/>
      <c r="IL161" s="204"/>
      <c r="IM161" s="208">
        <f t="shared" si="441"/>
        <v>0</v>
      </c>
      <c r="IN161" s="203"/>
      <c r="IO161" s="205"/>
      <c r="IP161" s="204"/>
      <c r="IQ161" s="208">
        <f t="shared" si="442"/>
        <v>0</v>
      </c>
      <c r="IR161" s="203"/>
      <c r="IS161" s="205"/>
      <c r="IT161" s="205"/>
      <c r="IU161" s="205"/>
      <c r="IV161" s="204"/>
      <c r="IW161" s="208">
        <f t="shared" si="443"/>
        <v>0</v>
      </c>
      <c r="IX161" s="203"/>
      <c r="IY161" s="205"/>
      <c r="IZ161" s="205"/>
      <c r="JA161" s="205"/>
      <c r="JB161" s="204"/>
      <c r="JC161" s="208">
        <f t="shared" si="444"/>
        <v>0</v>
      </c>
      <c r="JD161" s="208">
        <f t="shared" si="431"/>
        <v>0</v>
      </c>
      <c r="JE161" s="203"/>
      <c r="JF161" s="205"/>
      <c r="JG161" s="205"/>
      <c r="JH161" s="205"/>
      <c r="JI161" s="204"/>
      <c r="JJ161" s="208">
        <f t="shared" si="445"/>
        <v>0</v>
      </c>
      <c r="JK161" s="203"/>
      <c r="JL161" s="205"/>
      <c r="JM161" s="205"/>
      <c r="JN161" s="205"/>
      <c r="JO161" s="204"/>
      <c r="JP161" s="208">
        <f t="shared" si="446"/>
        <v>0</v>
      </c>
      <c r="JQ161" s="203"/>
      <c r="JR161" s="205"/>
      <c r="JS161" s="205"/>
      <c r="JT161" s="205"/>
      <c r="JU161" s="204"/>
      <c r="JV161" s="208">
        <f t="shared" si="447"/>
        <v>0</v>
      </c>
      <c r="JW161" s="203"/>
      <c r="JX161" s="205"/>
      <c r="JY161" s="205"/>
      <c r="JZ161" s="205"/>
      <c r="KA161" s="205"/>
      <c r="KB161" s="204"/>
      <c r="KC161" s="208">
        <f t="shared" si="448"/>
        <v>0</v>
      </c>
      <c r="KD161" s="208">
        <f t="shared" si="449"/>
        <v>0</v>
      </c>
      <c r="KE161" s="203"/>
      <c r="KF161" s="205"/>
      <c r="KG161" s="205"/>
      <c r="KH161" s="205"/>
      <c r="KI161" s="204"/>
      <c r="KJ161" s="208">
        <f t="shared" si="450"/>
        <v>0</v>
      </c>
      <c r="KK161" s="203"/>
      <c r="KL161" s="205"/>
      <c r="KM161" s="205"/>
      <c r="KN161" s="205"/>
      <c r="KO161" s="204"/>
      <c r="KP161" s="208">
        <f t="shared" si="451"/>
        <v>0</v>
      </c>
      <c r="KQ161" s="203"/>
      <c r="KR161" s="205"/>
      <c r="KS161" s="205"/>
      <c r="KT161" s="205"/>
      <c r="KU161" s="204"/>
      <c r="KV161" s="208">
        <f t="shared" si="452"/>
        <v>0</v>
      </c>
      <c r="KW161" s="203"/>
      <c r="KX161" s="205"/>
      <c r="KY161" s="205"/>
      <c r="KZ161" s="205"/>
      <c r="LA161" s="204"/>
      <c r="LB161" s="208">
        <f t="shared" si="453"/>
        <v>0</v>
      </c>
      <c r="LC161" s="202"/>
      <c r="LD161" s="244"/>
      <c r="LE161" s="245"/>
      <c r="LF161" s="208">
        <f t="shared" si="454"/>
        <v>0</v>
      </c>
      <c r="LG161" s="208">
        <f t="shared" si="455"/>
        <v>0</v>
      </c>
    </row>
    <row r="162" spans="2:322" s="91" customFormat="1">
      <c r="B162" s="167" t="s">
        <v>88</v>
      </c>
      <c r="C162" s="167"/>
      <c r="D162" s="202">
        <f t="shared" si="389"/>
        <v>0</v>
      </c>
      <c r="E162" s="167">
        <v>3900</v>
      </c>
      <c r="F162" s="177">
        <f>3199.743+150+6666.986+1850+814</f>
        <v>12680.728999999999</v>
      </c>
      <c r="G162" s="177">
        <f>14726.334+150+126</f>
        <v>15002.334000000001</v>
      </c>
      <c r="H162" s="177"/>
      <c r="I162" s="178">
        <f>74.222+74.222+131.036</f>
        <v>279.48</v>
      </c>
      <c r="J162" s="202">
        <f t="shared" si="432"/>
        <v>31862.543000000001</v>
      </c>
      <c r="K162" s="167">
        <v>197.23</v>
      </c>
      <c r="L162" s="177">
        <f>105.87+201.53+27.91</f>
        <v>335.31</v>
      </c>
      <c r="M162" s="177">
        <f>44989.517+2564.149+2870.763+3210.011+5516.493+3199.773+4711.058+5273.789</f>
        <v>72335.553</v>
      </c>
      <c r="N162" s="178"/>
      <c r="O162" s="202">
        <f t="shared" si="456"/>
        <v>72868.092999999993</v>
      </c>
      <c r="P162" s="167">
        <v>75</v>
      </c>
      <c r="Q162" s="177">
        <f>27.07+476.5</f>
        <v>503.57</v>
      </c>
      <c r="R162" s="177"/>
      <c r="S162" s="177">
        <v>861.9</v>
      </c>
      <c r="T162" s="178">
        <f>2773.432+257.452</f>
        <v>3030.884</v>
      </c>
      <c r="U162" s="202">
        <f t="shared" si="397"/>
        <v>4471.3539999999994</v>
      </c>
      <c r="V162" s="167">
        <f>425+768.104</f>
        <v>1193.104</v>
      </c>
      <c r="W162" s="177"/>
      <c r="X162" s="177">
        <v>4184.7730000000001</v>
      </c>
      <c r="Y162" s="177"/>
      <c r="Z162" s="177">
        <f>6272.5+406.81</f>
        <v>6679.31</v>
      </c>
      <c r="AA162" s="208">
        <f t="shared" si="398"/>
        <v>12057.187000000002</v>
      </c>
      <c r="AB162" s="208">
        <f t="shared" si="434"/>
        <v>121259.177</v>
      </c>
      <c r="AC162" s="203">
        <f>161.28+706.344</f>
        <v>867.62400000000002</v>
      </c>
      <c r="AD162" s="205">
        <f>560+578.291</f>
        <v>1138.2910000000002</v>
      </c>
      <c r="AE162" s="205"/>
      <c r="AF162" s="205"/>
      <c r="AG162" s="204">
        <f>730.18+16997.556</f>
        <v>17727.736000000001</v>
      </c>
      <c r="AH162" s="208">
        <f t="shared" si="399"/>
        <v>19733.651000000002</v>
      </c>
      <c r="AI162" s="203">
        <v>94.58</v>
      </c>
      <c r="AJ162" s="205">
        <f>476.5+3099.126</f>
        <v>3575.6260000000002</v>
      </c>
      <c r="AK162" s="205">
        <f>922.7+403.916+153.4</f>
        <v>1480.0160000000001</v>
      </c>
      <c r="AL162" s="205">
        <f>260+280+499.465</f>
        <v>1039.4649999999999</v>
      </c>
      <c r="AM162" s="204"/>
      <c r="AN162" s="208">
        <f t="shared" si="400"/>
        <v>6189.6869999999999</v>
      </c>
      <c r="AO162" s="203">
        <f>4184.773+4184.773+2457.879+1989.775+172+4831.445+453.54+2601.25+623.7+3542.68+246.52</f>
        <v>25288.334999999999</v>
      </c>
      <c r="AP162" s="205">
        <v>5579.5330000000004</v>
      </c>
      <c r="AQ162" s="205"/>
      <c r="AR162" s="205">
        <f>1048.888+572.666</f>
        <v>1621.5540000000001</v>
      </c>
      <c r="AS162" s="204">
        <v>87.73</v>
      </c>
      <c r="AT162" s="208">
        <f t="shared" si="401"/>
        <v>32577.151999999998</v>
      </c>
      <c r="AU162" s="203">
        <f>403.7+92.295</f>
        <v>495.995</v>
      </c>
      <c r="AV162" s="205"/>
      <c r="AW162" s="205"/>
      <c r="AX162" s="205">
        <f>6106.953</f>
        <v>6106.9530000000004</v>
      </c>
      <c r="AY162" s="204">
        <f>1500.023+5207.85+4632+127.25+325.682</f>
        <v>11792.805</v>
      </c>
      <c r="AZ162" s="208">
        <f t="shared" si="402"/>
        <v>18395.753000000001</v>
      </c>
      <c r="BA162" s="208">
        <f t="shared" si="435"/>
        <v>76896.243000000002</v>
      </c>
      <c r="BB162" s="203"/>
      <c r="BC162" s="205"/>
      <c r="BD162" s="205">
        <v>505</v>
      </c>
      <c r="BE162" s="205"/>
      <c r="BF162" s="204">
        <v>1473.068</v>
      </c>
      <c r="BG162" s="208">
        <f t="shared" si="403"/>
        <v>1978.068</v>
      </c>
      <c r="BH162" s="203">
        <f>476.5+39</f>
        <v>515.5</v>
      </c>
      <c r="BI162" s="205">
        <f>477.41+608.045+421.58</f>
        <v>1507.0349999999999</v>
      </c>
      <c r="BJ162" s="205">
        <v>246.048</v>
      </c>
      <c r="BK162" s="205">
        <f>2559.4+104.33+240.736+364.275+1631.759</f>
        <v>4900.5</v>
      </c>
      <c r="BL162" s="204">
        <v>23737.652999999998</v>
      </c>
      <c r="BM162" s="208">
        <f t="shared" si="404"/>
        <v>30906.735999999997</v>
      </c>
      <c r="BN162" s="203"/>
      <c r="BO162" s="205">
        <v>148</v>
      </c>
      <c r="BP162" s="205"/>
      <c r="BQ162" s="204">
        <f>232.311+848.547+503.37</f>
        <v>1584.2280000000001</v>
      </c>
      <c r="BR162" s="208">
        <f t="shared" si="405"/>
        <v>1732.2280000000001</v>
      </c>
      <c r="BS162" s="203">
        <f>117.94+2888.138</f>
        <v>3006.078</v>
      </c>
      <c r="BT162" s="205">
        <f>198.4+502.1</f>
        <v>700.5</v>
      </c>
      <c r="BU162" s="205">
        <f>6.57+5185.434+4964.794+4909.634+2537.853+1765.613+1544.973+1544.973+1765.613+1931.093+1986.253+2206.893</f>
        <v>30349.696</v>
      </c>
      <c r="BV162" s="205"/>
      <c r="BW162" s="204"/>
      <c r="BX162" s="208">
        <f t="shared" si="390"/>
        <v>34056.273999999998</v>
      </c>
      <c r="BY162" s="203">
        <f>1986.154+1930.994+1379.394+2427.434+1655.194+2317.114+2096.474+2537.754+1986.154+1544.874</f>
        <v>19861.539999999997</v>
      </c>
      <c r="BZ162" s="205">
        <f>2910.512+765</f>
        <v>3675.5120000000002</v>
      </c>
      <c r="CA162" s="208">
        <f t="shared" si="406"/>
        <v>23537.051999999996</v>
      </c>
      <c r="CB162" s="208">
        <f t="shared" si="407"/>
        <v>92210.357999999993</v>
      </c>
      <c r="CC162" s="203">
        <v>4184.7730000000001</v>
      </c>
      <c r="CD162" s="205">
        <v>59.5</v>
      </c>
      <c r="CE162" s="205">
        <v>1186.039</v>
      </c>
      <c r="CF162" s="208">
        <f t="shared" si="408"/>
        <v>5430.3119999999999</v>
      </c>
      <c r="CG162" s="203">
        <f>476.5+910+950</f>
        <v>2336.5</v>
      </c>
      <c r="CH162" s="205">
        <v>327.36</v>
      </c>
      <c r="CI162" s="205">
        <v>120</v>
      </c>
      <c r="CJ162" s="204">
        <f>242.515+1919.846+101.98+3500</f>
        <v>5764.3410000000003</v>
      </c>
      <c r="CK162" s="208">
        <f t="shared" si="391"/>
        <v>8548.2010000000009</v>
      </c>
      <c r="CL162" s="203"/>
      <c r="CM162" s="205">
        <f>2765.924+546.438+257.588+321.224</f>
        <v>3891.1740000000004</v>
      </c>
      <c r="CN162" s="205">
        <v>147</v>
      </c>
      <c r="CO162" s="205">
        <f>150.5+210+125</f>
        <v>485.5</v>
      </c>
      <c r="CP162" s="204"/>
      <c r="CQ162" s="208">
        <f t="shared" si="409"/>
        <v>4523.6740000000009</v>
      </c>
      <c r="CR162" s="203">
        <v>49.5</v>
      </c>
      <c r="CS162" s="205">
        <f>190.288+340.309</f>
        <v>530.59699999999998</v>
      </c>
      <c r="CT162" s="205"/>
      <c r="CU162" s="205">
        <f>96+96+548.325+416.799</f>
        <v>1157.124</v>
      </c>
      <c r="CV162" s="204"/>
      <c r="CW162" s="208">
        <f t="shared" si="392"/>
        <v>1737.221</v>
      </c>
      <c r="CX162" s="203">
        <f>266.443+905.02</f>
        <v>1171.463</v>
      </c>
      <c r="CY162" s="205">
        <f>382.7+247.91</f>
        <v>630.61</v>
      </c>
      <c r="CZ162" s="205">
        <f>661.514+272.03</f>
        <v>933.54399999999998</v>
      </c>
      <c r="DA162" s="204">
        <f>2465.554+674.92+1760.186+1709.947</f>
        <v>6610.607</v>
      </c>
      <c r="DB162" s="208">
        <f t="shared" si="410"/>
        <v>9346.2240000000002</v>
      </c>
      <c r="DC162" s="208">
        <f t="shared" si="411"/>
        <v>29585.631999999998</v>
      </c>
      <c r="DD162" s="203">
        <f>4940.268+400+964.297</f>
        <v>6304.5650000000005</v>
      </c>
      <c r="DE162" s="205">
        <f>201.1+473.97+1652.976+231</f>
        <v>2559.0460000000003</v>
      </c>
      <c r="DF162" s="205"/>
      <c r="DG162" s="205">
        <v>1473.068</v>
      </c>
      <c r="DH162" s="205">
        <v>143.87</v>
      </c>
      <c r="DI162" s="208">
        <f t="shared" si="412"/>
        <v>10480.549000000001</v>
      </c>
      <c r="DJ162" s="203">
        <f>200+130</f>
        <v>330</v>
      </c>
      <c r="DK162" s="205">
        <f>476.5+913.852</f>
        <v>1390.3519999999999</v>
      </c>
      <c r="DL162" s="205">
        <f>196.6+200.325</f>
        <v>396.92499999999995</v>
      </c>
      <c r="DM162" s="205">
        <v>586.99599999999998</v>
      </c>
      <c r="DN162" s="204">
        <f>102.014+383.363+182.84</f>
        <v>668.21699999999998</v>
      </c>
      <c r="DO162" s="208">
        <f t="shared" si="413"/>
        <v>3372.4900000000002</v>
      </c>
      <c r="DP162" s="203">
        <f>1209.186+71.3+811.428+3008.78</f>
        <v>5100.6939999999995</v>
      </c>
      <c r="DQ162" s="205">
        <v>1883.4190000000001</v>
      </c>
      <c r="DR162" s="205">
        <v>67.7</v>
      </c>
      <c r="DS162" s="205">
        <f>644.082+189.78+85.85+114.17</f>
        <v>1033.8820000000001</v>
      </c>
      <c r="DT162" s="204">
        <f>202.175+175.521</f>
        <v>377.69600000000003</v>
      </c>
      <c r="DU162" s="245">
        <f t="shared" si="414"/>
        <v>8463.3909999999996</v>
      </c>
      <c r="DV162" s="203">
        <f>661.33+294.86+1254.644+1333.363</f>
        <v>3544.1970000000001</v>
      </c>
      <c r="DW162" s="205">
        <f>1929.911+210.17</f>
        <v>2140.0810000000001</v>
      </c>
      <c r="DX162" s="205">
        <v>1004.72</v>
      </c>
      <c r="DY162" s="205"/>
      <c r="DZ162" s="204"/>
      <c r="EA162" s="208">
        <f t="shared" si="415"/>
        <v>6688.9980000000005</v>
      </c>
      <c r="EB162" s="208">
        <f t="shared" si="416"/>
        <v>29005.428</v>
      </c>
      <c r="EC162" s="203">
        <f>456.842+817.42+106</f>
        <v>1380.2619999999999</v>
      </c>
      <c r="ED162" s="205">
        <v>800</v>
      </c>
      <c r="EE162" s="205">
        <f>4940.268</f>
        <v>4940.268</v>
      </c>
      <c r="EF162" s="205"/>
      <c r="EG162" s="204">
        <f>191.829+85+616.044+498.1+217.822</f>
        <v>1608.7950000000001</v>
      </c>
      <c r="EH162" s="208">
        <f t="shared" si="417"/>
        <v>8729.3250000000007</v>
      </c>
      <c r="EI162" s="203">
        <v>476.5</v>
      </c>
      <c r="EJ162" s="205"/>
      <c r="EK162" s="205">
        <v>1261.22</v>
      </c>
      <c r="EL162" s="205">
        <v>702.6</v>
      </c>
      <c r="EM162" s="204">
        <f>201.1+43.91</f>
        <v>245.01</v>
      </c>
      <c r="EN162" s="208">
        <f t="shared" si="418"/>
        <v>2685.33</v>
      </c>
      <c r="EO162" s="203">
        <v>4213.3890000000001</v>
      </c>
      <c r="EP162" s="205">
        <f>1218.842+280.17</f>
        <v>1499.0120000000002</v>
      </c>
      <c r="EQ162" s="205"/>
      <c r="ER162" s="205"/>
      <c r="ES162" s="204"/>
      <c r="ET162" s="308">
        <f t="shared" si="419"/>
        <v>5712.4009999999998</v>
      </c>
      <c r="EU162" s="203">
        <v>2016.501</v>
      </c>
      <c r="EV162" s="205">
        <f>8204.17+624.34+331.844</f>
        <v>9160.3539999999994</v>
      </c>
      <c r="EW162" s="205">
        <v>248.3</v>
      </c>
      <c r="EX162" s="205">
        <v>710</v>
      </c>
      <c r="EY162" s="205">
        <f>5662.87+176.886</f>
        <v>5839.7560000000003</v>
      </c>
      <c r="EZ162" s="205">
        <f>214.951+595.303</f>
        <v>810.25400000000002</v>
      </c>
      <c r="FA162" s="204">
        <v>3738.1880000000001</v>
      </c>
      <c r="FB162" s="208">
        <f t="shared" si="420"/>
        <v>22523.353000000003</v>
      </c>
      <c r="FC162" s="208">
        <f t="shared" si="421"/>
        <v>39650.409</v>
      </c>
      <c r="FD162" s="203"/>
      <c r="FE162" s="205">
        <f>2815.835+98.846+720.212</f>
        <v>3634.893</v>
      </c>
      <c r="FF162" s="204"/>
      <c r="FG162" s="208">
        <f t="shared" si="422"/>
        <v>3634.893</v>
      </c>
      <c r="FH162" s="203">
        <v>130</v>
      </c>
      <c r="FI162" s="205">
        <v>400</v>
      </c>
      <c r="FJ162" s="205"/>
      <c r="FK162" s="205">
        <f>122.04+1473.068+90.68</f>
        <v>1685.788</v>
      </c>
      <c r="FL162" s="204">
        <f>476.5+679.63+1919.846</f>
        <v>3075.9760000000001</v>
      </c>
      <c r="FM162" s="208">
        <f t="shared" si="423"/>
        <v>5291.7640000000001</v>
      </c>
      <c r="FN162" s="203">
        <f>661.514+806.9+279.376+142.1+477.987</f>
        <v>2367.877</v>
      </c>
      <c r="FO162" s="205">
        <f>1743.943+500</f>
        <v>2243.9430000000002</v>
      </c>
      <c r="FP162" s="205">
        <f>429.451+1629.079+496.312</f>
        <v>2554.8419999999996</v>
      </c>
      <c r="FQ162" s="205">
        <f>91.821+1246.494</f>
        <v>1338.3149999999998</v>
      </c>
      <c r="FR162" s="208">
        <f t="shared" si="393"/>
        <v>8504.976999999999</v>
      </c>
      <c r="FS162" s="203"/>
      <c r="FT162" s="205">
        <f>217.49+873.05</f>
        <v>1090.54</v>
      </c>
      <c r="FU162" s="205">
        <v>4632</v>
      </c>
      <c r="FV162" s="205"/>
      <c r="FW162" s="204">
        <v>760.5</v>
      </c>
      <c r="FX162" s="208">
        <f t="shared" si="424"/>
        <v>6483.04</v>
      </c>
      <c r="FY162" s="203">
        <f>445.094+283.154+1443.27+122.651</f>
        <v>2294.1689999999999</v>
      </c>
      <c r="FZ162" s="205">
        <f>459.493+142.1+163.34+108.116</f>
        <v>873.04899999999998</v>
      </c>
      <c r="GA162" s="205">
        <v>476.5</v>
      </c>
      <c r="GB162" s="205">
        <f>391.937+529.787</f>
        <v>921.72400000000005</v>
      </c>
      <c r="GC162" s="204"/>
      <c r="GD162" s="208">
        <f t="shared" si="425"/>
        <v>4565.442</v>
      </c>
      <c r="GE162" s="208">
        <f t="shared" si="394"/>
        <v>28480.115999999998</v>
      </c>
      <c r="GF162" s="203">
        <v>4940.268</v>
      </c>
      <c r="GG162" s="205">
        <v>2500</v>
      </c>
      <c r="GH162" s="205">
        <v>867.09199999999998</v>
      </c>
      <c r="GI162" s="205">
        <v>400</v>
      </c>
      <c r="GJ162" s="205">
        <f>4372.417+156.77</f>
        <v>4529.1870000000008</v>
      </c>
      <c r="GK162" s="208">
        <f t="shared" si="426"/>
        <v>13236.547000000002</v>
      </c>
      <c r="GL162" s="203"/>
      <c r="GM162" s="205">
        <v>205.5</v>
      </c>
      <c r="GN162" s="205">
        <v>4586.3999999999996</v>
      </c>
      <c r="GO162" s="204">
        <f>5852.5+51.104</f>
        <v>5903.6040000000003</v>
      </c>
      <c r="GP162" s="208">
        <f t="shared" si="427"/>
        <v>10695.504000000001</v>
      </c>
      <c r="GQ162" s="203"/>
      <c r="GR162" s="205"/>
      <c r="GS162" s="205"/>
      <c r="GT162" s="205">
        <v>2637.5</v>
      </c>
      <c r="GU162" s="204">
        <v>1745.95</v>
      </c>
      <c r="GV162" s="208">
        <f t="shared" si="428"/>
        <v>4383.45</v>
      </c>
      <c r="GW162" s="203">
        <v>127.34</v>
      </c>
      <c r="GX162" s="205">
        <v>677.56100000000004</v>
      </c>
      <c r="GY162" s="205"/>
      <c r="GZ162" s="205"/>
      <c r="HA162" s="205">
        <v>69.5</v>
      </c>
      <c r="HB162" s="204">
        <f>477.487+6071.275+1356.924+608.583+2973.073</f>
        <v>11487.342000000001</v>
      </c>
      <c r="HC162" s="208">
        <f t="shared" si="429"/>
        <v>12361.743</v>
      </c>
      <c r="HD162" s="208">
        <f t="shared" si="430"/>
        <v>40677.244000000006</v>
      </c>
      <c r="HE162" s="203">
        <v>1157.7429999999999</v>
      </c>
      <c r="HF162" s="205">
        <f>120.744+274.75</f>
        <v>395.49400000000003</v>
      </c>
      <c r="HG162" s="205">
        <f>71.3+185.3</f>
        <v>256.60000000000002</v>
      </c>
      <c r="HH162" s="205">
        <v>330.9</v>
      </c>
      <c r="HI162" s="208">
        <f t="shared" si="436"/>
        <v>2140.7370000000001</v>
      </c>
      <c r="HJ162" s="203">
        <f>157.2+674.382+413.5+3749.175</f>
        <v>4994.2569999999996</v>
      </c>
      <c r="HK162" s="205">
        <f>2337.702+400</f>
        <v>2737.7020000000002</v>
      </c>
      <c r="HL162" s="205">
        <f>37.67+242.546</f>
        <v>280.21600000000001</v>
      </c>
      <c r="HM162" s="205">
        <v>7425.92</v>
      </c>
      <c r="HN162" s="204">
        <v>147.6</v>
      </c>
      <c r="HO162" s="245">
        <f t="shared" si="437"/>
        <v>15585.695000000002</v>
      </c>
      <c r="HP162" s="203">
        <v>2829.56</v>
      </c>
      <c r="HQ162" s="205">
        <f>1917.725+281.8</f>
        <v>2199.5250000000001</v>
      </c>
      <c r="HR162" s="205">
        <f>342.273+134</f>
        <v>476.27300000000002</v>
      </c>
      <c r="HS162" s="205">
        <v>557.25199999999995</v>
      </c>
      <c r="HT162" s="204"/>
      <c r="HU162" s="208">
        <f t="shared" si="438"/>
        <v>6062.6100000000006</v>
      </c>
      <c r="HV162" s="203">
        <f>2011.09+285.6+191+1358.2+2232.75</f>
        <v>6078.64</v>
      </c>
      <c r="HW162" s="205">
        <v>1374.61</v>
      </c>
      <c r="HX162" s="205">
        <f>572.97+378.148</f>
        <v>951.11800000000005</v>
      </c>
      <c r="HY162" s="208">
        <f t="shared" si="395"/>
        <v>8404.3680000000004</v>
      </c>
      <c r="HZ162" s="203">
        <v>1102.47</v>
      </c>
      <c r="IA162" s="205"/>
      <c r="IB162" s="204">
        <f>545+6070+896.979</f>
        <v>7511.9790000000003</v>
      </c>
      <c r="IC162" s="208">
        <f t="shared" si="439"/>
        <v>8614.4490000000005</v>
      </c>
      <c r="ID162" s="208">
        <f t="shared" si="396"/>
        <v>40807.859000000004</v>
      </c>
      <c r="IE162" s="203">
        <f>6916.178+4488</f>
        <v>11404.178</v>
      </c>
      <c r="IF162" s="204"/>
      <c r="IG162" s="208">
        <f t="shared" si="440"/>
        <v>11404.178</v>
      </c>
      <c r="IH162" s="203">
        <f>148.457+400+187.35</f>
        <v>735.80700000000002</v>
      </c>
      <c r="II162" s="205"/>
      <c r="IJ162" s="205">
        <f>476.5+223.337+1500</f>
        <v>2199.837</v>
      </c>
      <c r="IK162" s="205">
        <f>206.41+248.509+159.8+134.312</f>
        <v>749.03100000000006</v>
      </c>
      <c r="IL162" s="204">
        <f>1452.875+595.03+118.5</f>
        <v>2166.4049999999997</v>
      </c>
      <c r="IM162" s="208">
        <f t="shared" si="441"/>
        <v>5851.08</v>
      </c>
      <c r="IN162" s="203">
        <f>485.704+500</f>
        <v>985.70399999999995</v>
      </c>
      <c r="IO162" s="205"/>
      <c r="IP162" s="204">
        <f>120+451.404</f>
        <v>571.404</v>
      </c>
      <c r="IQ162" s="208">
        <f t="shared" si="442"/>
        <v>1557.1079999999999</v>
      </c>
      <c r="IR162" s="203"/>
      <c r="IS162" s="205">
        <f>992.18+1871.247+6272.5+45.735+313.2</f>
        <v>9494.862000000001</v>
      </c>
      <c r="IT162" s="205"/>
      <c r="IU162" s="205"/>
      <c r="IV162" s="204">
        <f>4632+280.5+211.747+3328.584</f>
        <v>8452.8310000000001</v>
      </c>
      <c r="IW162" s="208">
        <f t="shared" si="443"/>
        <v>17947.692999999999</v>
      </c>
      <c r="IX162" s="203">
        <f>1918.288+363.48+621.077+716.564</f>
        <v>3619.4090000000001</v>
      </c>
      <c r="IY162" s="205">
        <f>631.912+6582.986+358.51</f>
        <v>7573.4080000000004</v>
      </c>
      <c r="IZ162" s="205">
        <v>234.05199999999999</v>
      </c>
      <c r="JA162" s="205"/>
      <c r="JB162" s="204">
        <f>200+90.3</f>
        <v>290.3</v>
      </c>
      <c r="JC162" s="208">
        <f t="shared" si="444"/>
        <v>11717.169</v>
      </c>
      <c r="JD162" s="208">
        <f t="shared" si="431"/>
        <v>48477.228000000003</v>
      </c>
      <c r="JE162" s="203">
        <f>1453.368+1215.274+206.062+1262.766+151.751+633.479</f>
        <v>4922.7</v>
      </c>
      <c r="JF162" s="205">
        <v>581.80999999999995</v>
      </c>
      <c r="JG162" s="205">
        <f>1817.511+129.93+715.035</f>
        <v>2662.4760000000001</v>
      </c>
      <c r="JH162" s="205">
        <f>476.5+1117.89+4620</f>
        <v>6214.39</v>
      </c>
      <c r="JI162" s="204">
        <v>400</v>
      </c>
      <c r="JJ162" s="208">
        <f t="shared" si="445"/>
        <v>14781.376</v>
      </c>
      <c r="JK162" s="203"/>
      <c r="JL162" s="205"/>
      <c r="JM162" s="205"/>
      <c r="JN162" s="205"/>
      <c r="JO162" s="204"/>
      <c r="JP162" s="208">
        <f t="shared" si="446"/>
        <v>0</v>
      </c>
      <c r="JQ162" s="203"/>
      <c r="JR162" s="205"/>
      <c r="JS162" s="205"/>
      <c r="JT162" s="205"/>
      <c r="JU162" s="204"/>
      <c r="JV162" s="208">
        <f t="shared" si="447"/>
        <v>0</v>
      </c>
      <c r="JW162" s="203"/>
      <c r="JX162" s="205"/>
      <c r="JY162" s="205"/>
      <c r="JZ162" s="205"/>
      <c r="KA162" s="205"/>
      <c r="KB162" s="204"/>
      <c r="KC162" s="208">
        <f t="shared" si="448"/>
        <v>0</v>
      </c>
      <c r="KD162" s="208">
        <v>230000</v>
      </c>
      <c r="KE162" s="203"/>
      <c r="KF162" s="205"/>
      <c r="KG162" s="205"/>
      <c r="KH162" s="205"/>
      <c r="KI162" s="204"/>
      <c r="KJ162" s="208">
        <f t="shared" si="450"/>
        <v>0</v>
      </c>
      <c r="KK162" s="203"/>
      <c r="KL162" s="205"/>
      <c r="KM162" s="205"/>
      <c r="KN162" s="205"/>
      <c r="KO162" s="204"/>
      <c r="KP162" s="208">
        <f t="shared" si="451"/>
        <v>0</v>
      </c>
      <c r="KQ162" s="203"/>
      <c r="KR162" s="205"/>
      <c r="KS162" s="205"/>
      <c r="KT162" s="205"/>
      <c r="KU162" s="204"/>
      <c r="KV162" s="208">
        <f t="shared" si="452"/>
        <v>0</v>
      </c>
      <c r="KW162" s="203"/>
      <c r="KX162" s="205"/>
      <c r="KY162" s="205"/>
      <c r="KZ162" s="205"/>
      <c r="LA162" s="204"/>
      <c r="LB162" s="208">
        <f t="shared" si="453"/>
        <v>0</v>
      </c>
      <c r="LC162" s="202"/>
      <c r="LD162" s="244"/>
      <c r="LE162" s="245"/>
      <c r="LF162" s="208">
        <f t="shared" si="454"/>
        <v>0</v>
      </c>
      <c r="LG162" s="208">
        <v>230000</v>
      </c>
    </row>
    <row r="163" spans="2:322" s="91" customFormat="1">
      <c r="B163" s="167" t="s">
        <v>100</v>
      </c>
      <c r="C163" s="167"/>
      <c r="D163" s="202">
        <f t="shared" si="389"/>
        <v>0</v>
      </c>
      <c r="E163" s="167"/>
      <c r="F163" s="177"/>
      <c r="G163" s="177"/>
      <c r="H163" s="177"/>
      <c r="I163" s="178"/>
      <c r="J163" s="202">
        <f t="shared" si="432"/>
        <v>0</v>
      </c>
      <c r="K163" s="167"/>
      <c r="L163" s="177"/>
      <c r="M163" s="177"/>
      <c r="N163" s="178"/>
      <c r="O163" s="202">
        <f t="shared" si="456"/>
        <v>0</v>
      </c>
      <c r="P163" s="167"/>
      <c r="Q163" s="177"/>
      <c r="R163" s="177"/>
      <c r="S163" s="177"/>
      <c r="T163" s="178"/>
      <c r="U163" s="202">
        <f t="shared" si="397"/>
        <v>0</v>
      </c>
      <c r="V163" s="167"/>
      <c r="W163" s="177"/>
      <c r="X163" s="177"/>
      <c r="Y163" s="177"/>
      <c r="Z163" s="177"/>
      <c r="AA163" s="208">
        <f t="shared" si="398"/>
        <v>0</v>
      </c>
      <c r="AB163" s="208">
        <f t="shared" si="434"/>
        <v>0</v>
      </c>
      <c r="AC163" s="203"/>
      <c r="AD163" s="205"/>
      <c r="AE163" s="205"/>
      <c r="AF163" s="205"/>
      <c r="AG163" s="204"/>
      <c r="AH163" s="208">
        <f t="shared" si="399"/>
        <v>0</v>
      </c>
      <c r="AI163" s="203"/>
      <c r="AJ163" s="205"/>
      <c r="AK163" s="205"/>
      <c r="AL163" s="205"/>
      <c r="AM163" s="204"/>
      <c r="AN163" s="208">
        <f t="shared" si="400"/>
        <v>0</v>
      </c>
      <c r="AO163" s="203"/>
      <c r="AP163" s="205"/>
      <c r="AQ163" s="205"/>
      <c r="AR163" s="205"/>
      <c r="AS163" s="204"/>
      <c r="AT163" s="208">
        <f t="shared" si="401"/>
        <v>0</v>
      </c>
      <c r="AU163" s="203"/>
      <c r="AV163" s="205"/>
      <c r="AW163" s="205"/>
      <c r="AX163" s="205"/>
      <c r="AY163" s="204"/>
      <c r="AZ163" s="208">
        <f t="shared" si="402"/>
        <v>0</v>
      </c>
      <c r="BA163" s="208">
        <f t="shared" si="435"/>
        <v>0</v>
      </c>
      <c r="BB163" s="203"/>
      <c r="BC163" s="205"/>
      <c r="BD163" s="205"/>
      <c r="BE163" s="205"/>
      <c r="BF163" s="204"/>
      <c r="BG163" s="208">
        <f t="shared" si="403"/>
        <v>0</v>
      </c>
      <c r="BH163" s="203"/>
      <c r="BI163" s="205"/>
      <c r="BJ163" s="205"/>
      <c r="BK163" s="205"/>
      <c r="BL163" s="204"/>
      <c r="BM163" s="208">
        <f t="shared" si="404"/>
        <v>0</v>
      </c>
      <c r="BN163" s="203"/>
      <c r="BO163" s="205"/>
      <c r="BP163" s="205"/>
      <c r="BQ163" s="204"/>
      <c r="BR163" s="208">
        <f t="shared" si="405"/>
        <v>0</v>
      </c>
      <c r="BS163" s="203"/>
      <c r="BT163" s="205"/>
      <c r="BU163" s="205"/>
      <c r="BV163" s="205"/>
      <c r="BW163" s="204"/>
      <c r="BX163" s="208">
        <f t="shared" si="390"/>
        <v>0</v>
      </c>
      <c r="BY163" s="203"/>
      <c r="BZ163" s="205"/>
      <c r="CA163" s="208">
        <f t="shared" si="406"/>
        <v>0</v>
      </c>
      <c r="CB163" s="208">
        <f t="shared" si="407"/>
        <v>0</v>
      </c>
      <c r="CC163" s="203"/>
      <c r="CD163" s="205"/>
      <c r="CE163" s="205"/>
      <c r="CF163" s="208">
        <f t="shared" si="408"/>
        <v>0</v>
      </c>
      <c r="CG163" s="203"/>
      <c r="CH163" s="205"/>
      <c r="CI163" s="205"/>
      <c r="CJ163" s="204"/>
      <c r="CK163" s="208">
        <f t="shared" si="391"/>
        <v>0</v>
      </c>
      <c r="CL163" s="203"/>
      <c r="CM163" s="205"/>
      <c r="CN163" s="205"/>
      <c r="CO163" s="205"/>
      <c r="CP163" s="204"/>
      <c r="CQ163" s="208">
        <f t="shared" si="409"/>
        <v>0</v>
      </c>
      <c r="CR163" s="203"/>
      <c r="CS163" s="205"/>
      <c r="CT163" s="205"/>
      <c r="CU163" s="205"/>
      <c r="CV163" s="204"/>
      <c r="CW163" s="208">
        <f t="shared" si="392"/>
        <v>0</v>
      </c>
      <c r="CX163" s="203"/>
      <c r="CY163" s="205"/>
      <c r="CZ163" s="205"/>
      <c r="DA163" s="204"/>
      <c r="DB163" s="208">
        <f t="shared" si="410"/>
        <v>0</v>
      </c>
      <c r="DC163" s="208">
        <f t="shared" si="411"/>
        <v>0</v>
      </c>
      <c r="DD163" s="203"/>
      <c r="DE163" s="205"/>
      <c r="DF163" s="205"/>
      <c r="DG163" s="205"/>
      <c r="DH163" s="205"/>
      <c r="DI163" s="208">
        <f t="shared" si="412"/>
        <v>0</v>
      </c>
      <c r="DJ163" s="203"/>
      <c r="DK163" s="205"/>
      <c r="DL163" s="205"/>
      <c r="DM163" s="205"/>
      <c r="DN163" s="204"/>
      <c r="DO163" s="208">
        <f t="shared" si="413"/>
        <v>0</v>
      </c>
      <c r="DP163" s="203"/>
      <c r="DQ163" s="205"/>
      <c r="DR163" s="205"/>
      <c r="DS163" s="205"/>
      <c r="DT163" s="204"/>
      <c r="DU163" s="245">
        <f t="shared" si="414"/>
        <v>0</v>
      </c>
      <c r="DV163" s="203"/>
      <c r="DW163" s="205"/>
      <c r="DX163" s="205"/>
      <c r="DY163" s="205"/>
      <c r="DZ163" s="204"/>
      <c r="EA163" s="208">
        <f t="shared" si="415"/>
        <v>0</v>
      </c>
      <c r="EB163" s="208">
        <f t="shared" si="416"/>
        <v>0</v>
      </c>
      <c r="EC163" s="203"/>
      <c r="ED163" s="205"/>
      <c r="EE163" s="205"/>
      <c r="EF163" s="205"/>
      <c r="EG163" s="204"/>
      <c r="EH163" s="208">
        <f t="shared" si="417"/>
        <v>0</v>
      </c>
      <c r="EI163" s="203"/>
      <c r="EJ163" s="205"/>
      <c r="EK163" s="205"/>
      <c r="EL163" s="205"/>
      <c r="EM163" s="204"/>
      <c r="EN163" s="208">
        <f t="shared" si="418"/>
        <v>0</v>
      </c>
      <c r="EO163" s="203"/>
      <c r="EP163" s="205"/>
      <c r="EQ163" s="205"/>
      <c r="ER163" s="205"/>
      <c r="ES163" s="204"/>
      <c r="ET163" s="308">
        <f t="shared" si="419"/>
        <v>0</v>
      </c>
      <c r="EU163" s="203"/>
      <c r="EV163" s="205"/>
      <c r="EW163" s="205"/>
      <c r="EX163" s="205"/>
      <c r="EY163" s="205"/>
      <c r="EZ163" s="205"/>
      <c r="FA163" s="204"/>
      <c r="FB163" s="208">
        <f t="shared" si="420"/>
        <v>0</v>
      </c>
      <c r="FC163" s="208">
        <f t="shared" si="421"/>
        <v>0</v>
      </c>
      <c r="FD163" s="203">
        <v>7456.6379999999999</v>
      </c>
      <c r="FE163" s="205"/>
      <c r="FF163" s="204"/>
      <c r="FG163" s="208">
        <f t="shared" si="422"/>
        <v>7456.6379999999999</v>
      </c>
      <c r="FH163" s="203"/>
      <c r="FI163" s="205"/>
      <c r="FJ163" s="205"/>
      <c r="FK163" s="205"/>
      <c r="FL163" s="204"/>
      <c r="FM163" s="208">
        <f t="shared" si="423"/>
        <v>0</v>
      </c>
      <c r="FN163" s="203"/>
      <c r="FO163" s="205"/>
      <c r="FP163" s="205"/>
      <c r="FQ163" s="205"/>
      <c r="FR163" s="208">
        <f t="shared" si="393"/>
        <v>0</v>
      </c>
      <c r="FS163" s="203"/>
      <c r="FT163" s="205"/>
      <c r="FU163" s="205"/>
      <c r="FV163" s="205"/>
      <c r="FW163" s="204"/>
      <c r="FX163" s="208">
        <f t="shared" si="424"/>
        <v>0</v>
      </c>
      <c r="FY163" s="203"/>
      <c r="FZ163" s="205"/>
      <c r="GA163" s="205"/>
      <c r="GB163" s="205"/>
      <c r="GC163" s="204"/>
      <c r="GD163" s="208">
        <f t="shared" si="425"/>
        <v>0</v>
      </c>
      <c r="GE163" s="208">
        <f t="shared" si="394"/>
        <v>7456.6379999999999</v>
      </c>
      <c r="GF163" s="203"/>
      <c r="GG163" s="205"/>
      <c r="GH163" s="205"/>
      <c r="GI163" s="205"/>
      <c r="GJ163" s="205"/>
      <c r="GK163" s="208">
        <f t="shared" si="426"/>
        <v>0</v>
      </c>
      <c r="GL163" s="203"/>
      <c r="GM163" s="205"/>
      <c r="GN163" s="205"/>
      <c r="GO163" s="204"/>
      <c r="GP163" s="208">
        <f t="shared" si="427"/>
        <v>0</v>
      </c>
      <c r="GQ163" s="203"/>
      <c r="GR163" s="205"/>
      <c r="GS163" s="205"/>
      <c r="GT163" s="205"/>
      <c r="GU163" s="204"/>
      <c r="GV163" s="208">
        <f t="shared" si="428"/>
        <v>0</v>
      </c>
      <c r="GW163" s="203"/>
      <c r="GX163" s="205"/>
      <c r="GY163" s="205"/>
      <c r="GZ163" s="205"/>
      <c r="HA163" s="205"/>
      <c r="HB163" s="204"/>
      <c r="HC163" s="208">
        <f t="shared" si="429"/>
        <v>0</v>
      </c>
      <c r="HD163" s="208">
        <f t="shared" si="430"/>
        <v>0</v>
      </c>
      <c r="HE163" s="203"/>
      <c r="HF163" s="205"/>
      <c r="HG163" s="205"/>
      <c r="HH163" s="205"/>
      <c r="HI163" s="208">
        <f t="shared" si="436"/>
        <v>0</v>
      </c>
      <c r="HJ163" s="203"/>
      <c r="HK163" s="205"/>
      <c r="HL163" s="205"/>
      <c r="HM163" s="205"/>
      <c r="HN163" s="204"/>
      <c r="HO163" s="245">
        <f t="shared" si="437"/>
        <v>0</v>
      </c>
      <c r="HP163" s="203"/>
      <c r="HQ163" s="205"/>
      <c r="HR163" s="205"/>
      <c r="HS163" s="205"/>
      <c r="HT163" s="204"/>
      <c r="HU163" s="208">
        <f t="shared" si="438"/>
        <v>0</v>
      </c>
      <c r="HV163" s="203"/>
      <c r="HW163" s="205"/>
      <c r="HX163" s="205"/>
      <c r="HY163" s="208">
        <f t="shared" si="395"/>
        <v>0</v>
      </c>
      <c r="HZ163" s="203"/>
      <c r="IA163" s="205"/>
      <c r="IB163" s="204"/>
      <c r="IC163" s="208">
        <f t="shared" si="439"/>
        <v>0</v>
      </c>
      <c r="ID163" s="208">
        <f t="shared" si="396"/>
        <v>0</v>
      </c>
      <c r="IE163" s="203"/>
      <c r="IF163" s="204"/>
      <c r="IG163" s="208">
        <f t="shared" si="440"/>
        <v>0</v>
      </c>
      <c r="IH163" s="203"/>
      <c r="II163" s="205"/>
      <c r="IJ163" s="205"/>
      <c r="IK163" s="205"/>
      <c r="IL163" s="204"/>
      <c r="IM163" s="208">
        <f t="shared" si="441"/>
        <v>0</v>
      </c>
      <c r="IN163" s="203"/>
      <c r="IO163" s="205"/>
      <c r="IP163" s="204"/>
      <c r="IQ163" s="208">
        <f t="shared" si="442"/>
        <v>0</v>
      </c>
      <c r="IR163" s="203"/>
      <c r="IS163" s="205"/>
      <c r="IT163" s="205"/>
      <c r="IU163" s="205"/>
      <c r="IV163" s="204"/>
      <c r="IW163" s="208">
        <f t="shared" si="443"/>
        <v>0</v>
      </c>
      <c r="IX163" s="203"/>
      <c r="IY163" s="205"/>
      <c r="IZ163" s="205"/>
      <c r="JA163" s="205"/>
      <c r="JB163" s="204"/>
      <c r="JC163" s="208">
        <f t="shared" si="444"/>
        <v>0</v>
      </c>
      <c r="JD163" s="208">
        <f t="shared" si="431"/>
        <v>0</v>
      </c>
      <c r="JE163" s="203"/>
      <c r="JF163" s="205"/>
      <c r="JG163" s="205"/>
      <c r="JH163" s="205"/>
      <c r="JI163" s="204"/>
      <c r="JJ163" s="208">
        <f t="shared" si="445"/>
        <v>0</v>
      </c>
      <c r="JK163" s="203"/>
      <c r="JL163" s="205"/>
      <c r="JM163" s="205"/>
      <c r="JN163" s="205"/>
      <c r="JO163" s="204"/>
      <c r="JP163" s="208">
        <f t="shared" si="446"/>
        <v>0</v>
      </c>
      <c r="JQ163" s="203"/>
      <c r="JR163" s="205"/>
      <c r="JS163" s="205"/>
      <c r="JT163" s="205"/>
      <c r="JU163" s="204"/>
      <c r="JV163" s="208">
        <f t="shared" si="447"/>
        <v>0</v>
      </c>
      <c r="JW163" s="203"/>
      <c r="JX163" s="205"/>
      <c r="JY163" s="205"/>
      <c r="JZ163" s="205"/>
      <c r="KA163" s="205"/>
      <c r="KB163" s="204"/>
      <c r="KC163" s="208">
        <f t="shared" si="448"/>
        <v>0</v>
      </c>
      <c r="KD163" s="208">
        <f t="shared" si="449"/>
        <v>0</v>
      </c>
      <c r="KE163" s="203"/>
      <c r="KF163" s="205"/>
      <c r="KG163" s="205"/>
      <c r="KH163" s="205"/>
      <c r="KI163" s="204"/>
      <c r="KJ163" s="208">
        <f t="shared" si="450"/>
        <v>0</v>
      </c>
      <c r="KK163" s="203"/>
      <c r="KL163" s="205"/>
      <c r="KM163" s="205"/>
      <c r="KN163" s="205"/>
      <c r="KO163" s="204"/>
      <c r="KP163" s="208">
        <f t="shared" si="451"/>
        <v>0</v>
      </c>
      <c r="KQ163" s="203"/>
      <c r="KR163" s="205"/>
      <c r="KS163" s="205"/>
      <c r="KT163" s="205"/>
      <c r="KU163" s="204"/>
      <c r="KV163" s="208">
        <f t="shared" si="452"/>
        <v>0</v>
      </c>
      <c r="KW163" s="203"/>
      <c r="KX163" s="205"/>
      <c r="KY163" s="205"/>
      <c r="KZ163" s="205"/>
      <c r="LA163" s="204"/>
      <c r="LB163" s="208">
        <f t="shared" si="453"/>
        <v>0</v>
      </c>
      <c r="LC163" s="202"/>
      <c r="LD163" s="244"/>
      <c r="LE163" s="245"/>
      <c r="LF163" s="208">
        <f t="shared" si="454"/>
        <v>0</v>
      </c>
      <c r="LG163" s="208">
        <f>CMT!F7</f>
        <v>7257.5829999999996</v>
      </c>
    </row>
    <row r="164" spans="2:322" s="91" customFormat="1">
      <c r="B164" s="167" t="s">
        <v>101</v>
      </c>
      <c r="C164" s="167"/>
      <c r="D164" s="202">
        <f t="shared" si="389"/>
        <v>0</v>
      </c>
      <c r="E164" s="167"/>
      <c r="F164" s="177"/>
      <c r="G164" s="177"/>
      <c r="H164" s="177"/>
      <c r="I164" s="178"/>
      <c r="J164" s="202">
        <f t="shared" si="432"/>
        <v>0</v>
      </c>
      <c r="K164" s="167"/>
      <c r="L164" s="177"/>
      <c r="M164" s="177"/>
      <c r="N164" s="178"/>
      <c r="O164" s="202">
        <f t="shared" si="456"/>
        <v>0</v>
      </c>
      <c r="P164" s="167"/>
      <c r="Q164" s="177"/>
      <c r="R164" s="177"/>
      <c r="S164" s="177"/>
      <c r="T164" s="178"/>
      <c r="U164" s="202">
        <f t="shared" si="397"/>
        <v>0</v>
      </c>
      <c r="V164" s="167"/>
      <c r="W164" s="177"/>
      <c r="X164" s="177"/>
      <c r="Y164" s="177"/>
      <c r="Z164" s="177"/>
      <c r="AA164" s="208">
        <f t="shared" si="398"/>
        <v>0</v>
      </c>
      <c r="AB164" s="208">
        <f t="shared" si="434"/>
        <v>0</v>
      </c>
      <c r="AC164" s="203"/>
      <c r="AD164" s="205"/>
      <c r="AE164" s="205"/>
      <c r="AF164" s="205"/>
      <c r="AG164" s="204"/>
      <c r="AH164" s="208">
        <f t="shared" si="399"/>
        <v>0</v>
      </c>
      <c r="AI164" s="203"/>
      <c r="AJ164" s="205"/>
      <c r="AK164" s="205"/>
      <c r="AL164" s="205"/>
      <c r="AM164" s="204"/>
      <c r="AN164" s="208">
        <f t="shared" si="400"/>
        <v>0</v>
      </c>
      <c r="AO164" s="203"/>
      <c r="AP164" s="205"/>
      <c r="AQ164" s="205"/>
      <c r="AR164" s="205"/>
      <c r="AS164" s="204"/>
      <c r="AT164" s="208">
        <f t="shared" si="401"/>
        <v>0</v>
      </c>
      <c r="AU164" s="203"/>
      <c r="AV164" s="205"/>
      <c r="AW164" s="205"/>
      <c r="AX164" s="205"/>
      <c r="AY164" s="204"/>
      <c r="AZ164" s="208">
        <f t="shared" si="402"/>
        <v>0</v>
      </c>
      <c r="BA164" s="208">
        <f t="shared" si="435"/>
        <v>0</v>
      </c>
      <c r="BB164" s="203"/>
      <c r="BC164" s="205"/>
      <c r="BD164" s="205"/>
      <c r="BE164" s="205"/>
      <c r="BF164" s="204"/>
      <c r="BG164" s="208">
        <f t="shared" si="403"/>
        <v>0</v>
      </c>
      <c r="BH164" s="203"/>
      <c r="BI164" s="205"/>
      <c r="BJ164" s="205"/>
      <c r="BK164" s="205"/>
      <c r="BL164" s="204"/>
      <c r="BM164" s="208">
        <f t="shared" si="404"/>
        <v>0</v>
      </c>
      <c r="BN164" s="203"/>
      <c r="BO164" s="205"/>
      <c r="BP164" s="205"/>
      <c r="BQ164" s="204"/>
      <c r="BR164" s="208">
        <f t="shared" si="405"/>
        <v>0</v>
      </c>
      <c r="BS164" s="203"/>
      <c r="BT164" s="205"/>
      <c r="BU164" s="205"/>
      <c r="BV164" s="205"/>
      <c r="BW164" s="204"/>
      <c r="BX164" s="208">
        <f t="shared" si="390"/>
        <v>0</v>
      </c>
      <c r="BY164" s="203"/>
      <c r="BZ164" s="205"/>
      <c r="CA164" s="208">
        <f t="shared" si="406"/>
        <v>0</v>
      </c>
      <c r="CB164" s="208">
        <f t="shared" si="407"/>
        <v>0</v>
      </c>
      <c r="CC164" s="203"/>
      <c r="CD164" s="205"/>
      <c r="CE164" s="205"/>
      <c r="CF164" s="208">
        <f t="shared" si="408"/>
        <v>0</v>
      </c>
      <c r="CG164" s="203"/>
      <c r="CH164" s="205"/>
      <c r="CI164" s="205"/>
      <c r="CJ164" s="204"/>
      <c r="CK164" s="208">
        <f t="shared" si="391"/>
        <v>0</v>
      </c>
      <c r="CL164" s="203"/>
      <c r="CM164" s="205">
        <f>628019.071+959.474</f>
        <v>628978.54500000004</v>
      </c>
      <c r="CN164" s="205"/>
      <c r="CO164" s="205"/>
      <c r="CP164" s="204"/>
      <c r="CQ164" s="208">
        <f t="shared" si="409"/>
        <v>628978.54500000004</v>
      </c>
      <c r="CR164" s="203"/>
      <c r="CS164" s="205"/>
      <c r="CT164" s="205"/>
      <c r="CU164" s="205"/>
      <c r="CV164" s="204"/>
      <c r="CW164" s="208">
        <f t="shared" si="392"/>
        <v>0</v>
      </c>
      <c r="CX164" s="203"/>
      <c r="CY164" s="205"/>
      <c r="CZ164" s="205"/>
      <c r="DA164" s="204"/>
      <c r="DB164" s="208">
        <f t="shared" si="410"/>
        <v>0</v>
      </c>
      <c r="DC164" s="208">
        <f t="shared" si="411"/>
        <v>628978.54500000004</v>
      </c>
      <c r="DD164" s="203"/>
      <c r="DE164" s="205"/>
      <c r="DF164" s="205"/>
      <c r="DG164" s="205"/>
      <c r="DH164" s="205"/>
      <c r="DI164" s="208">
        <f t="shared" si="412"/>
        <v>0</v>
      </c>
      <c r="DJ164" s="203"/>
      <c r="DK164" s="205"/>
      <c r="DL164" s="205"/>
      <c r="DM164" s="205"/>
      <c r="DN164" s="204"/>
      <c r="DO164" s="208">
        <f t="shared" si="413"/>
        <v>0</v>
      </c>
      <c r="DP164" s="203"/>
      <c r="DQ164" s="205"/>
      <c r="DR164" s="205"/>
      <c r="DS164" s="205"/>
      <c r="DT164" s="204"/>
      <c r="DU164" s="245">
        <f t="shared" si="414"/>
        <v>0</v>
      </c>
      <c r="DV164" s="203"/>
      <c r="DW164" s="205"/>
      <c r="DX164" s="205"/>
      <c r="DY164" s="205"/>
      <c r="DZ164" s="204"/>
      <c r="EA164" s="208">
        <f t="shared" si="415"/>
        <v>0</v>
      </c>
      <c r="EB164" s="208">
        <f t="shared" si="416"/>
        <v>0</v>
      </c>
      <c r="EC164" s="203"/>
      <c r="ED164" s="205"/>
      <c r="EE164" s="205"/>
      <c r="EF164" s="205"/>
      <c r="EG164" s="204"/>
      <c r="EH164" s="208">
        <f t="shared" si="417"/>
        <v>0</v>
      </c>
      <c r="EI164" s="203"/>
      <c r="EJ164" s="205"/>
      <c r="EK164" s="205"/>
      <c r="EL164" s="205"/>
      <c r="EM164" s="204"/>
      <c r="EN164" s="208">
        <f t="shared" si="418"/>
        <v>0</v>
      </c>
      <c r="EO164" s="203"/>
      <c r="EP164" s="205"/>
      <c r="EQ164" s="205"/>
      <c r="ER164" s="205"/>
      <c r="ES164" s="204"/>
      <c r="ET164" s="308">
        <f t="shared" si="419"/>
        <v>0</v>
      </c>
      <c r="EU164" s="203"/>
      <c r="EV164" s="205"/>
      <c r="EW164" s="205"/>
      <c r="EX164" s="205"/>
      <c r="EY164" s="205"/>
      <c r="EZ164" s="205"/>
      <c r="FA164" s="204"/>
      <c r="FB164" s="208">
        <f t="shared" si="420"/>
        <v>0</v>
      </c>
      <c r="FC164" s="208">
        <f t="shared" si="421"/>
        <v>0</v>
      </c>
      <c r="FD164" s="203"/>
      <c r="FE164" s="205"/>
      <c r="FF164" s="204"/>
      <c r="FG164" s="208">
        <f t="shared" si="422"/>
        <v>0</v>
      </c>
      <c r="FH164" s="203"/>
      <c r="FI164" s="205"/>
      <c r="FJ164" s="205"/>
      <c r="FK164" s="205"/>
      <c r="FL164" s="204"/>
      <c r="FM164" s="208">
        <f t="shared" si="423"/>
        <v>0</v>
      </c>
      <c r="FN164" s="203"/>
      <c r="FO164" s="205"/>
      <c r="FP164" s="205"/>
      <c r="FQ164" s="205"/>
      <c r="FR164" s="208">
        <f t="shared" si="393"/>
        <v>0</v>
      </c>
      <c r="FS164" s="203"/>
      <c r="FT164" s="205"/>
      <c r="FU164" s="205"/>
      <c r="FV164" s="205"/>
      <c r="FW164" s="204"/>
      <c r="FX164" s="208">
        <f t="shared" si="424"/>
        <v>0</v>
      </c>
      <c r="FY164" s="203"/>
      <c r="FZ164" s="205"/>
      <c r="GA164" s="205"/>
      <c r="GB164" s="205"/>
      <c r="GC164" s="204"/>
      <c r="GD164" s="208">
        <f t="shared" si="425"/>
        <v>0</v>
      </c>
      <c r="GE164" s="208">
        <f t="shared" si="394"/>
        <v>0</v>
      </c>
      <c r="GF164" s="203"/>
      <c r="GG164" s="205"/>
      <c r="GH164" s="205"/>
      <c r="GI164" s="205"/>
      <c r="GJ164" s="205"/>
      <c r="GK164" s="208">
        <f t="shared" si="426"/>
        <v>0</v>
      </c>
      <c r="GL164" s="203"/>
      <c r="GM164" s="205"/>
      <c r="GN164" s="205"/>
      <c r="GO164" s="204"/>
      <c r="GP164" s="208">
        <f t="shared" si="427"/>
        <v>0</v>
      </c>
      <c r="GQ164" s="203"/>
      <c r="GR164" s="205"/>
      <c r="GS164" s="205"/>
      <c r="GT164" s="205"/>
      <c r="GU164" s="204"/>
      <c r="GV164" s="208">
        <f t="shared" si="428"/>
        <v>0</v>
      </c>
      <c r="GW164" s="203"/>
      <c r="GX164" s="205"/>
      <c r="GY164" s="205"/>
      <c r="GZ164" s="205"/>
      <c r="HA164" s="205"/>
      <c r="HB164" s="204"/>
      <c r="HC164" s="208">
        <f t="shared" si="429"/>
        <v>0</v>
      </c>
      <c r="HD164" s="208">
        <f t="shared" si="430"/>
        <v>0</v>
      </c>
      <c r="HE164" s="203"/>
      <c r="HF164" s="205"/>
      <c r="HG164" s="205"/>
      <c r="HH164" s="205"/>
      <c r="HI164" s="208">
        <f t="shared" si="436"/>
        <v>0</v>
      </c>
      <c r="HJ164" s="203"/>
      <c r="HK164" s="205"/>
      <c r="HL164" s="205"/>
      <c r="HM164" s="205"/>
      <c r="HN164" s="204"/>
      <c r="HO164" s="245">
        <f t="shared" si="437"/>
        <v>0</v>
      </c>
      <c r="HP164" s="203"/>
      <c r="HQ164" s="205"/>
      <c r="HR164" s="205"/>
      <c r="HS164" s="205"/>
      <c r="HT164" s="204"/>
      <c r="HU164" s="208">
        <f t="shared" si="438"/>
        <v>0</v>
      </c>
      <c r="HV164" s="203"/>
      <c r="HW164" s="205"/>
      <c r="HX164" s="205"/>
      <c r="HY164" s="208">
        <f t="shared" si="395"/>
        <v>0</v>
      </c>
      <c r="HZ164" s="203"/>
      <c r="IA164" s="205"/>
      <c r="IB164" s="204"/>
      <c r="IC164" s="208">
        <f t="shared" si="439"/>
        <v>0</v>
      </c>
      <c r="ID164" s="208">
        <f t="shared" si="396"/>
        <v>0</v>
      </c>
      <c r="IE164" s="203"/>
      <c r="IF164" s="204"/>
      <c r="IG164" s="208">
        <f t="shared" si="440"/>
        <v>0</v>
      </c>
      <c r="IH164" s="203"/>
      <c r="II164" s="205"/>
      <c r="IJ164" s="205"/>
      <c r="IK164" s="205"/>
      <c r="IL164" s="204"/>
      <c r="IM164" s="208">
        <f t="shared" si="441"/>
        <v>0</v>
      </c>
      <c r="IN164" s="203"/>
      <c r="IO164" s="205"/>
      <c r="IP164" s="204"/>
      <c r="IQ164" s="208">
        <f t="shared" si="442"/>
        <v>0</v>
      </c>
      <c r="IR164" s="203"/>
      <c r="IS164" s="205"/>
      <c r="IT164" s="205"/>
      <c r="IU164" s="205"/>
      <c r="IV164" s="204"/>
      <c r="IW164" s="208">
        <f t="shared" si="443"/>
        <v>0</v>
      </c>
      <c r="IX164" s="203"/>
      <c r="IY164" s="205"/>
      <c r="IZ164" s="205"/>
      <c r="JA164" s="205"/>
      <c r="JB164" s="204"/>
      <c r="JC164" s="208">
        <f t="shared" si="444"/>
        <v>0</v>
      </c>
      <c r="JD164" s="208">
        <f t="shared" si="431"/>
        <v>0</v>
      </c>
      <c r="JE164" s="203"/>
      <c r="JF164" s="205"/>
      <c r="JG164" s="205"/>
      <c r="JH164" s="205"/>
      <c r="JI164" s="204"/>
      <c r="JJ164" s="208">
        <f t="shared" si="445"/>
        <v>0</v>
      </c>
      <c r="JK164" s="203"/>
      <c r="JL164" s="205"/>
      <c r="JM164" s="205"/>
      <c r="JN164" s="205"/>
      <c r="JO164" s="204"/>
      <c r="JP164" s="208">
        <f t="shared" si="446"/>
        <v>0</v>
      </c>
      <c r="JQ164" s="203"/>
      <c r="JR164" s="205"/>
      <c r="JS164" s="205"/>
      <c r="JT164" s="205"/>
      <c r="JU164" s="204"/>
      <c r="JV164" s="208">
        <f t="shared" si="447"/>
        <v>0</v>
      </c>
      <c r="JW164" s="203"/>
      <c r="JX164" s="205"/>
      <c r="JY164" s="205"/>
      <c r="JZ164" s="205"/>
      <c r="KA164" s="205"/>
      <c r="KB164" s="204"/>
      <c r="KC164" s="208">
        <f t="shared" si="448"/>
        <v>0</v>
      </c>
      <c r="KD164" s="208">
        <f t="shared" si="449"/>
        <v>0</v>
      </c>
      <c r="KE164" s="203"/>
      <c r="KF164" s="205"/>
      <c r="KG164" s="205"/>
      <c r="KH164" s="205"/>
      <c r="KI164" s="204"/>
      <c r="KJ164" s="208">
        <f t="shared" si="450"/>
        <v>0</v>
      </c>
      <c r="KK164" s="203"/>
      <c r="KL164" s="205"/>
      <c r="KM164" s="205"/>
      <c r="KN164" s="205"/>
      <c r="KO164" s="204"/>
      <c r="KP164" s="208">
        <f t="shared" si="451"/>
        <v>0</v>
      </c>
      <c r="KQ164" s="203"/>
      <c r="KR164" s="205"/>
      <c r="KS164" s="205"/>
      <c r="KT164" s="205"/>
      <c r="KU164" s="204"/>
      <c r="KV164" s="208">
        <f t="shared" si="452"/>
        <v>0</v>
      </c>
      <c r="KW164" s="203"/>
      <c r="KX164" s="205"/>
      <c r="KY164" s="205"/>
      <c r="KZ164" s="205"/>
      <c r="LA164" s="204"/>
      <c r="LB164" s="208">
        <f t="shared" si="453"/>
        <v>0</v>
      </c>
      <c r="LC164" s="202"/>
      <c r="LD164" s="244"/>
      <c r="LE164" s="245"/>
      <c r="LF164" s="208">
        <f t="shared" si="454"/>
        <v>0</v>
      </c>
      <c r="LG164" s="208">
        <f t="shared" si="455"/>
        <v>0</v>
      </c>
    </row>
    <row r="165" spans="2:322" s="91" customFormat="1">
      <c r="B165" s="167" t="s">
        <v>89</v>
      </c>
      <c r="C165" s="167"/>
      <c r="D165" s="202">
        <f t="shared" si="389"/>
        <v>0</v>
      </c>
      <c r="E165" s="167"/>
      <c r="F165" s="177"/>
      <c r="G165" s="177"/>
      <c r="H165" s="177"/>
      <c r="I165" s="178"/>
      <c r="J165" s="202">
        <f t="shared" si="432"/>
        <v>0</v>
      </c>
      <c r="K165" s="167">
        <v>5040</v>
      </c>
      <c r="L165" s="177"/>
      <c r="M165" s="177"/>
      <c r="N165" s="178"/>
      <c r="O165" s="202">
        <f t="shared" si="456"/>
        <v>5040</v>
      </c>
      <c r="P165" s="167"/>
      <c r="Q165" s="177"/>
      <c r="R165" s="177"/>
      <c r="S165" s="177"/>
      <c r="T165" s="178"/>
      <c r="U165" s="202">
        <f t="shared" si="397"/>
        <v>0</v>
      </c>
      <c r="V165" s="167"/>
      <c r="W165" s="177"/>
      <c r="X165" s="177"/>
      <c r="Y165" s="177"/>
      <c r="Z165" s="177">
        <f>66586.609+6.098+6.098</f>
        <v>66598.804999999993</v>
      </c>
      <c r="AA165" s="208">
        <f t="shared" si="398"/>
        <v>66598.804999999993</v>
      </c>
      <c r="AB165" s="208">
        <f t="shared" si="434"/>
        <v>71638.804999999993</v>
      </c>
      <c r="AC165" s="203"/>
      <c r="AD165" s="205"/>
      <c r="AE165" s="205"/>
      <c r="AF165" s="205">
        <v>3710</v>
      </c>
      <c r="AG165" s="204"/>
      <c r="AH165" s="208">
        <f t="shared" si="399"/>
        <v>3710</v>
      </c>
      <c r="AI165" s="203"/>
      <c r="AJ165" s="205"/>
      <c r="AK165" s="205"/>
      <c r="AL165" s="205"/>
      <c r="AM165" s="204"/>
      <c r="AN165" s="208">
        <f t="shared" si="400"/>
        <v>0</v>
      </c>
      <c r="AO165" s="203"/>
      <c r="AP165" s="205"/>
      <c r="AQ165" s="205"/>
      <c r="AR165" s="205"/>
      <c r="AS165" s="204"/>
      <c r="AT165" s="208">
        <f t="shared" si="401"/>
        <v>0</v>
      </c>
      <c r="AU165" s="203"/>
      <c r="AV165" s="205"/>
      <c r="AW165" s="205"/>
      <c r="AX165" s="205"/>
      <c r="AY165" s="204"/>
      <c r="AZ165" s="208">
        <f t="shared" si="402"/>
        <v>0</v>
      </c>
      <c r="BA165" s="208">
        <f t="shared" si="435"/>
        <v>3710</v>
      </c>
      <c r="BB165" s="203"/>
      <c r="BC165" s="205"/>
      <c r="BD165" s="205">
        <f>6.098+45731.183</f>
        <v>45737.280999999995</v>
      </c>
      <c r="BE165" s="205"/>
      <c r="BF165" s="204"/>
      <c r="BG165" s="208">
        <f t="shared" si="403"/>
        <v>45737.280999999995</v>
      </c>
      <c r="BH165" s="203"/>
      <c r="BI165" s="205"/>
      <c r="BJ165" s="205"/>
      <c r="BK165" s="205"/>
      <c r="BL165" s="204"/>
      <c r="BM165" s="208">
        <f t="shared" si="404"/>
        <v>0</v>
      </c>
      <c r="BN165" s="203"/>
      <c r="BO165" s="205"/>
      <c r="BP165" s="205"/>
      <c r="BQ165" s="204"/>
      <c r="BR165" s="208">
        <f t="shared" si="405"/>
        <v>0</v>
      </c>
      <c r="BS165" s="203"/>
      <c r="BT165" s="205"/>
      <c r="BU165" s="205"/>
      <c r="BV165" s="205"/>
      <c r="BW165" s="204"/>
      <c r="BX165" s="208">
        <f t="shared" si="390"/>
        <v>0</v>
      </c>
      <c r="BY165" s="203"/>
      <c r="BZ165" s="205"/>
      <c r="CA165" s="208">
        <f t="shared" si="406"/>
        <v>0</v>
      </c>
      <c r="CB165" s="208">
        <f t="shared" si="407"/>
        <v>45737.280999999995</v>
      </c>
      <c r="CC165" s="203">
        <v>44310.375999999997</v>
      </c>
      <c r="CD165" s="205"/>
      <c r="CE165" s="205"/>
      <c r="CF165" s="208">
        <f t="shared" si="408"/>
        <v>44310.375999999997</v>
      </c>
      <c r="CG165" s="203"/>
      <c r="CH165" s="205"/>
      <c r="CI165" s="205"/>
      <c r="CJ165" s="204"/>
      <c r="CK165" s="208">
        <f t="shared" si="391"/>
        <v>0</v>
      </c>
      <c r="CL165" s="203"/>
      <c r="CM165" s="205"/>
      <c r="CN165" s="205"/>
      <c r="CO165" s="205"/>
      <c r="CP165" s="204"/>
      <c r="CQ165" s="208">
        <f t="shared" si="409"/>
        <v>0</v>
      </c>
      <c r="CR165" s="203"/>
      <c r="CS165" s="205"/>
      <c r="CT165" s="205"/>
      <c r="CU165" s="205"/>
      <c r="CV165" s="204"/>
      <c r="CW165" s="208">
        <f t="shared" si="392"/>
        <v>0</v>
      </c>
      <c r="CX165" s="203"/>
      <c r="CY165" s="205"/>
      <c r="CZ165" s="205"/>
      <c r="DA165" s="204">
        <v>37074.099000000002</v>
      </c>
      <c r="DB165" s="208">
        <f t="shared" si="410"/>
        <v>37074.099000000002</v>
      </c>
      <c r="DC165" s="208">
        <f t="shared" si="411"/>
        <v>81384.475000000006</v>
      </c>
      <c r="DD165" s="203"/>
      <c r="DE165" s="205"/>
      <c r="DF165" s="205"/>
      <c r="DG165" s="205"/>
      <c r="DH165" s="205"/>
      <c r="DI165" s="208">
        <f t="shared" si="412"/>
        <v>0</v>
      </c>
      <c r="DJ165" s="203"/>
      <c r="DK165" s="205"/>
      <c r="DL165" s="205"/>
      <c r="DM165" s="205"/>
      <c r="DN165" s="204"/>
      <c r="DO165" s="208">
        <f t="shared" si="413"/>
        <v>0</v>
      </c>
      <c r="DP165" s="203"/>
      <c r="DQ165" s="205"/>
      <c r="DR165" s="205"/>
      <c r="DS165" s="205"/>
      <c r="DT165" s="204"/>
      <c r="DU165" s="245">
        <f t="shared" si="414"/>
        <v>0</v>
      </c>
      <c r="DV165" s="203"/>
      <c r="DW165" s="205">
        <v>60</v>
      </c>
      <c r="DX165" s="205"/>
      <c r="DY165" s="205"/>
      <c r="DZ165" s="204"/>
      <c r="EA165" s="208">
        <f t="shared" si="415"/>
        <v>60</v>
      </c>
      <c r="EB165" s="208">
        <f t="shared" si="416"/>
        <v>60</v>
      </c>
      <c r="EC165" s="203">
        <v>29376.86</v>
      </c>
      <c r="ED165" s="205"/>
      <c r="EE165" s="205"/>
      <c r="EF165" s="205"/>
      <c r="EG165" s="204"/>
      <c r="EH165" s="208">
        <f t="shared" si="417"/>
        <v>29376.86</v>
      </c>
      <c r="EI165" s="203"/>
      <c r="EJ165" s="205"/>
      <c r="EK165" s="205"/>
      <c r="EL165" s="205"/>
      <c r="EM165" s="204"/>
      <c r="EN165" s="208">
        <f t="shared" si="418"/>
        <v>0</v>
      </c>
      <c r="EO165" s="203"/>
      <c r="EP165" s="205"/>
      <c r="EQ165" s="205"/>
      <c r="ER165" s="205"/>
      <c r="ES165" s="204"/>
      <c r="ET165" s="308">
        <f t="shared" si="419"/>
        <v>0</v>
      </c>
      <c r="EU165" s="203"/>
      <c r="EV165" s="205"/>
      <c r="EW165" s="205"/>
      <c r="EX165" s="205"/>
      <c r="EY165" s="205"/>
      <c r="EZ165" s="205"/>
      <c r="FA165" s="204">
        <f>6.098+17020.009</f>
        <v>17026.107</v>
      </c>
      <c r="FB165" s="208">
        <f t="shared" si="420"/>
        <v>17026.107</v>
      </c>
      <c r="FC165" s="208">
        <f t="shared" si="421"/>
        <v>46402.967000000004</v>
      </c>
      <c r="FD165" s="203"/>
      <c r="FE165" s="205"/>
      <c r="FF165" s="204"/>
      <c r="FG165" s="208">
        <f t="shared" si="422"/>
        <v>0</v>
      </c>
      <c r="FH165" s="203"/>
      <c r="FI165" s="205"/>
      <c r="FJ165" s="205"/>
      <c r="FK165" s="205"/>
      <c r="FL165" s="204"/>
      <c r="FM165" s="208">
        <f t="shared" si="423"/>
        <v>0</v>
      </c>
      <c r="FN165" s="203"/>
      <c r="FO165" s="205"/>
      <c r="FP165" s="205"/>
      <c r="FQ165" s="205"/>
      <c r="FR165" s="208">
        <f t="shared" si="393"/>
        <v>0</v>
      </c>
      <c r="FS165" s="203"/>
      <c r="FT165" s="205"/>
      <c r="FU165" s="205"/>
      <c r="FV165" s="205"/>
      <c r="FW165" s="204"/>
      <c r="FX165" s="208">
        <f t="shared" si="424"/>
        <v>0</v>
      </c>
      <c r="FY165" s="203"/>
      <c r="FZ165" s="205"/>
      <c r="GA165" s="205"/>
      <c r="GB165" s="205">
        <v>28144.663</v>
      </c>
      <c r="GC165" s="204"/>
      <c r="GD165" s="208">
        <f t="shared" si="425"/>
        <v>28144.663</v>
      </c>
      <c r="GE165" s="208">
        <f t="shared" si="394"/>
        <v>28144.663</v>
      </c>
      <c r="GF165" s="203"/>
      <c r="GG165" s="205"/>
      <c r="GH165" s="205"/>
      <c r="GI165" s="205"/>
      <c r="GJ165" s="205"/>
      <c r="GK165" s="208">
        <f t="shared" si="426"/>
        <v>0</v>
      </c>
      <c r="GL165" s="203"/>
      <c r="GM165" s="205"/>
      <c r="GN165" s="205"/>
      <c r="GO165" s="204"/>
      <c r="GP165" s="208">
        <f t="shared" si="427"/>
        <v>0</v>
      </c>
      <c r="GQ165" s="203"/>
      <c r="GR165" s="205"/>
      <c r="GS165" s="205"/>
      <c r="GT165" s="205"/>
      <c r="GU165" s="204"/>
      <c r="GV165" s="208">
        <f t="shared" si="428"/>
        <v>0</v>
      </c>
      <c r="GW165" s="203"/>
      <c r="GX165" s="205"/>
      <c r="GY165" s="205"/>
      <c r="GZ165" s="205"/>
      <c r="HA165" s="205"/>
      <c r="HB165" s="204"/>
      <c r="HC165" s="208">
        <f t="shared" si="429"/>
        <v>0</v>
      </c>
      <c r="HD165" s="208">
        <f t="shared" si="430"/>
        <v>0</v>
      </c>
      <c r="HE165" s="203">
        <v>19969.588</v>
      </c>
      <c r="HF165" s="205"/>
      <c r="HG165" s="205"/>
      <c r="HH165" s="205"/>
      <c r="HI165" s="208">
        <f t="shared" si="436"/>
        <v>19969.588</v>
      </c>
      <c r="HJ165" s="203"/>
      <c r="HK165" s="205"/>
      <c r="HL165" s="205"/>
      <c r="HM165" s="205"/>
      <c r="HN165" s="204"/>
      <c r="HO165" s="245">
        <f t="shared" si="437"/>
        <v>0</v>
      </c>
      <c r="HP165" s="203"/>
      <c r="HQ165" s="205"/>
      <c r="HR165" s="205"/>
      <c r="HS165" s="205"/>
      <c r="HT165" s="204"/>
      <c r="HU165" s="208">
        <f t="shared" si="438"/>
        <v>0</v>
      </c>
      <c r="HV165" s="203"/>
      <c r="HW165" s="205"/>
      <c r="HX165" s="205"/>
      <c r="HY165" s="208">
        <f t="shared" si="395"/>
        <v>0</v>
      </c>
      <c r="HZ165" s="203"/>
      <c r="IA165" s="205"/>
      <c r="IB165" s="204">
        <f>33419.21</f>
        <v>33419.21</v>
      </c>
      <c r="IC165" s="208">
        <f t="shared" si="439"/>
        <v>33419.21</v>
      </c>
      <c r="ID165" s="208">
        <f t="shared" si="396"/>
        <v>53388.797999999995</v>
      </c>
      <c r="IE165" s="203"/>
      <c r="IF165" s="204"/>
      <c r="IG165" s="208">
        <f t="shared" si="440"/>
        <v>0</v>
      </c>
      <c r="IH165" s="203"/>
      <c r="II165" s="205"/>
      <c r="IJ165" s="205"/>
      <c r="IK165" s="205"/>
      <c r="IL165" s="204"/>
      <c r="IM165" s="208">
        <f t="shared" si="441"/>
        <v>0</v>
      </c>
      <c r="IN165" s="203"/>
      <c r="IO165" s="205"/>
      <c r="IP165" s="204"/>
      <c r="IQ165" s="208">
        <f t="shared" si="442"/>
        <v>0</v>
      </c>
      <c r="IR165" s="203"/>
      <c r="IS165" s="205"/>
      <c r="IT165" s="205"/>
      <c r="IU165" s="205"/>
      <c r="IV165" s="204"/>
      <c r="IW165" s="208">
        <f t="shared" si="443"/>
        <v>0</v>
      </c>
      <c r="IX165" s="203"/>
      <c r="IY165" s="205">
        <v>325</v>
      </c>
      <c r="IZ165" s="205"/>
      <c r="JA165" s="205"/>
      <c r="JB165" s="204">
        <v>39701.993000000002</v>
      </c>
      <c r="JC165" s="208">
        <f t="shared" si="444"/>
        <v>40026.993000000002</v>
      </c>
      <c r="JD165" s="208">
        <f t="shared" si="431"/>
        <v>40026.993000000002</v>
      </c>
      <c r="JE165" s="203"/>
      <c r="JF165" s="205"/>
      <c r="JG165" s="205"/>
      <c r="JH165" s="205"/>
      <c r="JI165" s="204"/>
      <c r="JJ165" s="208">
        <f t="shared" si="445"/>
        <v>0</v>
      </c>
      <c r="JK165" s="203"/>
      <c r="JL165" s="205"/>
      <c r="JM165" s="205"/>
      <c r="JN165" s="205"/>
      <c r="JO165" s="204"/>
      <c r="JP165" s="208">
        <f t="shared" si="446"/>
        <v>0</v>
      </c>
      <c r="JQ165" s="203"/>
      <c r="JR165" s="205"/>
      <c r="JS165" s="205"/>
      <c r="JT165" s="205"/>
      <c r="JU165" s="204"/>
      <c r="JV165" s="208">
        <f t="shared" si="447"/>
        <v>0</v>
      </c>
      <c r="JW165" s="203"/>
      <c r="JX165" s="205"/>
      <c r="JY165" s="205"/>
      <c r="JZ165" s="205"/>
      <c r="KA165" s="205"/>
      <c r="KB165" s="204"/>
      <c r="KC165" s="208">
        <f t="shared" si="448"/>
        <v>0</v>
      </c>
      <c r="KD165" s="208">
        <v>35000</v>
      </c>
      <c r="KE165" s="203"/>
      <c r="KF165" s="205"/>
      <c r="KG165" s="205"/>
      <c r="KH165" s="205"/>
      <c r="KI165" s="204"/>
      <c r="KJ165" s="208">
        <f t="shared" si="450"/>
        <v>0</v>
      </c>
      <c r="KK165" s="203"/>
      <c r="KL165" s="205"/>
      <c r="KM165" s="205"/>
      <c r="KN165" s="205"/>
      <c r="KO165" s="204"/>
      <c r="KP165" s="208">
        <f t="shared" si="451"/>
        <v>0</v>
      </c>
      <c r="KQ165" s="203"/>
      <c r="KR165" s="205"/>
      <c r="KS165" s="205"/>
      <c r="KT165" s="205"/>
      <c r="KU165" s="204"/>
      <c r="KV165" s="208">
        <f t="shared" si="452"/>
        <v>0</v>
      </c>
      <c r="KW165" s="203"/>
      <c r="KX165" s="205"/>
      <c r="KY165" s="205"/>
      <c r="KZ165" s="205"/>
      <c r="LA165" s="204"/>
      <c r="LB165" s="208">
        <f t="shared" si="453"/>
        <v>0</v>
      </c>
      <c r="LC165" s="202"/>
      <c r="LD165" s="244"/>
      <c r="LE165" s="245"/>
      <c r="LF165" s="208">
        <f t="shared" si="454"/>
        <v>0</v>
      </c>
      <c r="LG165" s="208">
        <v>35000</v>
      </c>
    </row>
    <row r="166" spans="2:322" s="30" customFormat="1">
      <c r="B166" s="265" t="s">
        <v>225</v>
      </c>
      <c r="C166" s="181"/>
      <c r="D166" s="202">
        <f>SUM(C166:C166)</f>
        <v>0</v>
      </c>
      <c r="E166" s="167"/>
      <c r="F166" s="177"/>
      <c r="G166" s="177"/>
      <c r="H166" s="177"/>
      <c r="I166" s="178"/>
      <c r="J166" s="202">
        <f>SUM(E166:I166)</f>
        <v>0</v>
      </c>
      <c r="K166" s="167"/>
      <c r="L166" s="177"/>
      <c r="M166" s="177"/>
      <c r="N166" s="178"/>
      <c r="O166" s="202">
        <f>SUM(K166:N166)</f>
        <v>0</v>
      </c>
      <c r="P166" s="167"/>
      <c r="Q166" s="177"/>
      <c r="R166" s="177"/>
      <c r="S166" s="177"/>
      <c r="T166" s="178"/>
      <c r="U166" s="202">
        <f>SUM(P166:T166)</f>
        <v>0</v>
      </c>
      <c r="V166" s="167"/>
      <c r="W166" s="177"/>
      <c r="X166" s="177"/>
      <c r="Y166" s="177"/>
      <c r="Z166" s="178"/>
      <c r="AA166" s="202">
        <f>SUM(V166:Z166)</f>
        <v>0</v>
      </c>
      <c r="AB166" s="208">
        <f>D166+J166+O166+U166+AA166</f>
        <v>0</v>
      </c>
      <c r="AC166" s="202"/>
      <c r="AD166" s="244"/>
      <c r="AE166" s="244"/>
      <c r="AF166" s="244"/>
      <c r="AG166" s="245"/>
      <c r="AH166" s="208">
        <f t="shared" si="399"/>
        <v>0</v>
      </c>
      <c r="AI166" s="202"/>
      <c r="AJ166" s="244"/>
      <c r="AK166" s="244"/>
      <c r="AL166" s="244"/>
      <c r="AM166" s="245"/>
      <c r="AN166" s="208">
        <f t="shared" si="400"/>
        <v>0</v>
      </c>
      <c r="AO166" s="203"/>
      <c r="AP166" s="205"/>
      <c r="AQ166" s="205"/>
      <c r="AR166" s="205"/>
      <c r="AS166" s="204">
        <v>200001.098</v>
      </c>
      <c r="AT166" s="208">
        <f t="shared" si="401"/>
        <v>200001.098</v>
      </c>
      <c r="AU166" s="203"/>
      <c r="AV166" s="205"/>
      <c r="AW166" s="205"/>
      <c r="AX166" s="205"/>
      <c r="AY166" s="204">
        <v>50000</v>
      </c>
      <c r="AZ166" s="208">
        <f t="shared" si="402"/>
        <v>50000</v>
      </c>
      <c r="BA166" s="208">
        <f t="shared" si="435"/>
        <v>250001.098</v>
      </c>
      <c r="BB166" s="203"/>
      <c r="BC166" s="205">
        <v>10000</v>
      </c>
      <c r="BD166" s="205"/>
      <c r="BE166" s="205"/>
      <c r="BF166" s="204"/>
      <c r="BG166" s="208">
        <f t="shared" si="403"/>
        <v>10000</v>
      </c>
      <c r="BH166" s="203">
        <v>200001.57</v>
      </c>
      <c r="BI166" s="205"/>
      <c r="BJ166" s="205"/>
      <c r="BK166" s="205"/>
      <c r="BL166" s="204"/>
      <c r="BM166" s="208">
        <f t="shared" si="404"/>
        <v>200001.57</v>
      </c>
      <c r="BN166" s="203"/>
      <c r="BO166" s="205"/>
      <c r="BP166" s="205"/>
      <c r="BQ166" s="204"/>
      <c r="BR166" s="208">
        <f t="shared" si="405"/>
        <v>0</v>
      </c>
      <c r="BS166" s="203"/>
      <c r="BT166" s="205"/>
      <c r="BU166" s="205"/>
      <c r="BV166" s="205"/>
      <c r="BW166" s="204"/>
      <c r="BX166" s="208">
        <f t="shared" si="390"/>
        <v>0</v>
      </c>
      <c r="BY166" s="203"/>
      <c r="BZ166" s="205"/>
      <c r="CA166" s="208">
        <f t="shared" si="406"/>
        <v>0</v>
      </c>
      <c r="CB166" s="208">
        <f t="shared" si="407"/>
        <v>210001.57</v>
      </c>
      <c r="CC166" s="203"/>
      <c r="CD166" s="205"/>
      <c r="CE166" s="205"/>
      <c r="CF166" s="208">
        <f t="shared" si="408"/>
        <v>0</v>
      </c>
      <c r="CG166" s="203"/>
      <c r="CH166" s="205"/>
      <c r="CI166" s="205"/>
      <c r="CJ166" s="204"/>
      <c r="CK166" s="208">
        <f t="shared" si="391"/>
        <v>0</v>
      </c>
      <c r="CL166" s="203"/>
      <c r="CM166" s="205"/>
      <c r="CN166" s="205"/>
      <c r="CO166" s="205"/>
      <c r="CP166" s="204"/>
      <c r="CQ166" s="208">
        <f t="shared" si="409"/>
        <v>0</v>
      </c>
      <c r="CR166" s="203"/>
      <c r="CS166" s="205"/>
      <c r="CT166" s="205"/>
      <c r="CU166" s="205"/>
      <c r="CV166" s="204"/>
      <c r="CW166" s="208">
        <f t="shared" si="392"/>
        <v>0</v>
      </c>
      <c r="CX166" s="203"/>
      <c r="CY166" s="205"/>
      <c r="CZ166" s="205"/>
      <c r="DA166" s="204"/>
      <c r="DB166" s="208">
        <f t="shared" si="410"/>
        <v>0</v>
      </c>
      <c r="DC166" s="208">
        <f t="shared" si="411"/>
        <v>0</v>
      </c>
      <c r="DD166" s="203"/>
      <c r="DE166" s="205"/>
      <c r="DF166" s="205"/>
      <c r="DG166" s="205"/>
      <c r="DH166" s="205"/>
      <c r="DI166" s="208">
        <f t="shared" si="412"/>
        <v>0</v>
      </c>
      <c r="DJ166" s="203"/>
      <c r="DK166" s="205"/>
      <c r="DL166" s="205"/>
      <c r="DM166" s="205"/>
      <c r="DN166" s="204"/>
      <c r="DO166" s="208">
        <f t="shared" si="413"/>
        <v>0</v>
      </c>
      <c r="DP166" s="203"/>
      <c r="DQ166" s="205">
        <v>200000</v>
      </c>
      <c r="DR166" s="205"/>
      <c r="DS166" s="205"/>
      <c r="DT166" s="204"/>
      <c r="DU166" s="245">
        <f t="shared" si="414"/>
        <v>200000</v>
      </c>
      <c r="DV166" s="203"/>
      <c r="DW166" s="205"/>
      <c r="DX166" s="205"/>
      <c r="DY166" s="205"/>
      <c r="DZ166" s="204"/>
      <c r="EA166" s="208">
        <f t="shared" si="415"/>
        <v>0</v>
      </c>
      <c r="EB166" s="208">
        <f t="shared" si="416"/>
        <v>200000</v>
      </c>
      <c r="EC166" s="203"/>
      <c r="ED166" s="205"/>
      <c r="EE166" s="205"/>
      <c r="EF166" s="205"/>
      <c r="EG166" s="204"/>
      <c r="EH166" s="208">
        <f t="shared" si="417"/>
        <v>0</v>
      </c>
      <c r="EI166" s="203"/>
      <c r="EJ166" s="205"/>
      <c r="EK166" s="205"/>
      <c r="EL166" s="205"/>
      <c r="EM166" s="204"/>
      <c r="EN166" s="208">
        <f t="shared" si="418"/>
        <v>0</v>
      </c>
      <c r="EO166" s="203"/>
      <c r="EP166" s="205"/>
      <c r="EQ166" s="205"/>
      <c r="ER166" s="205"/>
      <c r="ES166" s="204"/>
      <c r="ET166" s="308">
        <f t="shared" si="419"/>
        <v>0</v>
      </c>
      <c r="EU166" s="203"/>
      <c r="EV166" s="205"/>
      <c r="EW166" s="205"/>
      <c r="EX166" s="205"/>
      <c r="EY166" s="660">
        <v>-150000</v>
      </c>
      <c r="EZ166" s="205"/>
      <c r="FA166" s="204"/>
      <c r="FB166" s="208">
        <f t="shared" si="420"/>
        <v>-150000</v>
      </c>
      <c r="FC166" s="208">
        <f t="shared" si="421"/>
        <v>-150000</v>
      </c>
      <c r="FD166" s="203"/>
      <c r="FE166" s="205"/>
      <c r="FF166" s="204"/>
      <c r="FG166" s="208">
        <f t="shared" si="422"/>
        <v>0</v>
      </c>
      <c r="FH166" s="203"/>
      <c r="FI166" s="205"/>
      <c r="FJ166" s="205"/>
      <c r="FK166" s="205"/>
      <c r="FL166" s="204"/>
      <c r="FM166" s="208">
        <f t="shared" si="423"/>
        <v>0</v>
      </c>
      <c r="FN166" s="203"/>
      <c r="FO166" s="205"/>
      <c r="FP166" s="205"/>
      <c r="FQ166" s="205"/>
      <c r="FR166" s="208">
        <f t="shared" si="393"/>
        <v>0</v>
      </c>
      <c r="FS166" s="203"/>
      <c r="FT166" s="205"/>
      <c r="FU166" s="205"/>
      <c r="FV166" s="205"/>
      <c r="FW166" s="204"/>
      <c r="FX166" s="208">
        <f t="shared" si="424"/>
        <v>0</v>
      </c>
      <c r="FY166" s="203"/>
      <c r="FZ166" s="205"/>
      <c r="GA166" s="205"/>
      <c r="GB166" s="205"/>
      <c r="GC166" s="204"/>
      <c r="GD166" s="208">
        <f t="shared" si="425"/>
        <v>0</v>
      </c>
      <c r="GE166" s="208">
        <f t="shared" si="394"/>
        <v>0</v>
      </c>
      <c r="GF166" s="203"/>
      <c r="GG166" s="205"/>
      <c r="GH166" s="205"/>
      <c r="GI166" s="205"/>
      <c r="GJ166" s="205"/>
      <c r="GK166" s="208">
        <f t="shared" si="426"/>
        <v>0</v>
      </c>
      <c r="GL166" s="203"/>
      <c r="GM166" s="205"/>
      <c r="GN166" s="205"/>
      <c r="GO166" s="204"/>
      <c r="GP166" s="208">
        <f t="shared" si="427"/>
        <v>0</v>
      </c>
      <c r="GQ166" s="203"/>
      <c r="GR166" s="205"/>
      <c r="GS166" s="205"/>
      <c r="GT166" s="205"/>
      <c r="GU166" s="204"/>
      <c r="GV166" s="208">
        <f t="shared" si="428"/>
        <v>0</v>
      </c>
      <c r="GW166" s="203"/>
      <c r="GX166" s="205"/>
      <c r="GY166" s="205"/>
      <c r="GZ166" s="205"/>
      <c r="HA166" s="205"/>
      <c r="HB166" s="204"/>
      <c r="HC166" s="208">
        <f t="shared" si="429"/>
        <v>0</v>
      </c>
      <c r="HD166" s="208">
        <f t="shared" si="430"/>
        <v>0</v>
      </c>
      <c r="HE166" s="203"/>
      <c r="HF166" s="205"/>
      <c r="HG166" s="205"/>
      <c r="HH166" s="205"/>
      <c r="HI166" s="208">
        <f t="shared" si="436"/>
        <v>0</v>
      </c>
      <c r="HJ166" s="203"/>
      <c r="HK166" s="205"/>
      <c r="HL166" s="205"/>
      <c r="HM166" s="205"/>
      <c r="HN166" s="204"/>
      <c r="HO166" s="245">
        <f t="shared" si="437"/>
        <v>0</v>
      </c>
      <c r="HP166" s="203"/>
      <c r="HQ166" s="205"/>
      <c r="HR166" s="205"/>
      <c r="HS166" s="205"/>
      <c r="HT166" s="204"/>
      <c r="HU166" s="208">
        <f t="shared" si="438"/>
        <v>0</v>
      </c>
      <c r="HV166" s="203"/>
      <c r="HW166" s="205"/>
      <c r="HX166" s="205"/>
      <c r="HY166" s="208">
        <f t="shared" si="395"/>
        <v>0</v>
      </c>
      <c r="HZ166" s="203"/>
      <c r="IA166" s="205"/>
      <c r="IB166" s="204"/>
      <c r="IC166" s="208">
        <f t="shared" si="439"/>
        <v>0</v>
      </c>
      <c r="ID166" s="208">
        <f t="shared" si="396"/>
        <v>0</v>
      </c>
      <c r="IE166" s="203"/>
      <c r="IF166" s="204"/>
      <c r="IG166" s="208">
        <f t="shared" si="440"/>
        <v>0</v>
      </c>
      <c r="IH166" s="203"/>
      <c r="II166" s="205"/>
      <c r="IJ166" s="205"/>
      <c r="IK166" s="205"/>
      <c r="IL166" s="204"/>
      <c r="IM166" s="208">
        <f t="shared" si="441"/>
        <v>0</v>
      </c>
      <c r="IN166" s="203"/>
      <c r="IO166" s="205"/>
      <c r="IP166" s="204"/>
      <c r="IQ166" s="208">
        <f t="shared" si="442"/>
        <v>0</v>
      </c>
      <c r="IR166" s="203"/>
      <c r="IS166" s="205"/>
      <c r="IT166" s="205"/>
      <c r="IU166" s="205"/>
      <c r="IV166" s="204"/>
      <c r="IW166" s="208">
        <f t="shared" si="443"/>
        <v>0</v>
      </c>
      <c r="IX166" s="203"/>
      <c r="IY166" s="205"/>
      <c r="IZ166" s="205"/>
      <c r="JA166" s="205"/>
      <c r="JB166" s="204"/>
      <c r="JC166" s="208">
        <f t="shared" si="444"/>
        <v>0</v>
      </c>
      <c r="JD166" s="208">
        <f t="shared" si="431"/>
        <v>0</v>
      </c>
      <c r="JE166" s="203"/>
      <c r="JF166" s="205"/>
      <c r="JG166" s="205"/>
      <c r="JH166" s="205"/>
      <c r="JI166" s="204"/>
      <c r="JJ166" s="208">
        <f t="shared" si="445"/>
        <v>0</v>
      </c>
      <c r="JK166" s="203"/>
      <c r="JL166" s="205"/>
      <c r="JM166" s="205"/>
      <c r="JN166" s="205"/>
      <c r="JO166" s="204"/>
      <c r="JP166" s="208">
        <f t="shared" si="446"/>
        <v>0</v>
      </c>
      <c r="JQ166" s="203"/>
      <c r="JR166" s="205"/>
      <c r="JS166" s="205"/>
      <c r="JT166" s="205"/>
      <c r="JU166" s="204"/>
      <c r="JV166" s="208">
        <f t="shared" si="447"/>
        <v>0</v>
      </c>
      <c r="JW166" s="203"/>
      <c r="JX166" s="205"/>
      <c r="JY166" s="205"/>
      <c r="JZ166" s="205"/>
      <c r="KA166" s="205"/>
      <c r="KB166" s="204"/>
      <c r="KC166" s="208">
        <f t="shared" si="448"/>
        <v>0</v>
      </c>
      <c r="KD166" s="208">
        <f t="shared" si="449"/>
        <v>0</v>
      </c>
      <c r="KE166" s="203"/>
      <c r="KF166" s="205"/>
      <c r="KG166" s="205"/>
      <c r="KH166" s="205"/>
      <c r="KI166" s="204"/>
      <c r="KJ166" s="208">
        <f t="shared" si="450"/>
        <v>0</v>
      </c>
      <c r="KK166" s="203"/>
      <c r="KL166" s="205"/>
      <c r="KM166" s="205"/>
      <c r="KN166" s="205"/>
      <c r="KO166" s="204"/>
      <c r="KP166" s="208">
        <f t="shared" si="451"/>
        <v>0</v>
      </c>
      <c r="KQ166" s="203"/>
      <c r="KR166" s="205"/>
      <c r="KS166" s="205"/>
      <c r="KT166" s="205"/>
      <c r="KU166" s="204"/>
      <c r="KV166" s="208">
        <f t="shared" si="452"/>
        <v>0</v>
      </c>
      <c r="KW166" s="203"/>
      <c r="KX166" s="205"/>
      <c r="KY166" s="205"/>
      <c r="KZ166" s="205"/>
      <c r="LA166" s="204"/>
      <c r="LB166" s="208">
        <f t="shared" si="453"/>
        <v>0</v>
      </c>
      <c r="LC166" s="202"/>
      <c r="LD166" s="244"/>
      <c r="LE166" s="245"/>
      <c r="LF166" s="208">
        <f t="shared" si="454"/>
        <v>0</v>
      </c>
      <c r="LG166" s="208">
        <f t="shared" si="455"/>
        <v>0</v>
      </c>
      <c r="LJ166" s="201"/>
    </row>
    <row r="167" spans="2:322" s="91" customFormat="1">
      <c r="B167" s="167" t="s">
        <v>177</v>
      </c>
      <c r="C167" s="167"/>
      <c r="D167" s="202">
        <f>SUM(C167:C167)</f>
        <v>0</v>
      </c>
      <c r="E167" s="167"/>
      <c r="F167" s="177"/>
      <c r="G167" s="177"/>
      <c r="H167" s="177"/>
      <c r="I167" s="178">
        <f>560000-550368+385000-378618.625</f>
        <v>16013.375</v>
      </c>
      <c r="J167" s="202">
        <f>SUM(E167:I167)</f>
        <v>16013.375</v>
      </c>
      <c r="K167" s="167"/>
      <c r="L167" s="177"/>
      <c r="M167" s="177"/>
      <c r="N167" s="178"/>
      <c r="O167" s="202">
        <f>SUM(K167:N167)</f>
        <v>0</v>
      </c>
      <c r="P167" s="167"/>
      <c r="Q167" s="177"/>
      <c r="R167" s="177"/>
      <c r="S167" s="177"/>
      <c r="T167" s="178"/>
      <c r="U167" s="202">
        <f>SUM(P167:T167)</f>
        <v>0</v>
      </c>
      <c r="V167" s="167"/>
      <c r="W167" s="177"/>
      <c r="X167" s="177"/>
      <c r="Y167" s="177"/>
      <c r="Z167" s="178"/>
      <c r="AA167" s="202">
        <f>SUM(V167:Z167)</f>
        <v>0</v>
      </c>
      <c r="AB167" s="208">
        <f>D167+J167+O167+U167+AA167</f>
        <v>16013.375</v>
      </c>
      <c r="AC167" s="203"/>
      <c r="AD167" s="205"/>
      <c r="AE167" s="205"/>
      <c r="AF167" s="205"/>
      <c r="AG167" s="204"/>
      <c r="AH167" s="208">
        <f t="shared" si="399"/>
        <v>0</v>
      </c>
      <c r="AI167" s="203"/>
      <c r="AJ167" s="205"/>
      <c r="AK167" s="205"/>
      <c r="AL167" s="205"/>
      <c r="AM167" s="204">
        <v>200000</v>
      </c>
      <c r="AN167" s="208">
        <f t="shared" si="400"/>
        <v>200000</v>
      </c>
      <c r="AO167" s="203"/>
      <c r="AP167" s="205"/>
      <c r="AQ167" s="205"/>
      <c r="AR167" s="205"/>
      <c r="AS167" s="204"/>
      <c r="AT167" s="208">
        <f t="shared" si="401"/>
        <v>0</v>
      </c>
      <c r="AU167" s="203"/>
      <c r="AV167" s="205"/>
      <c r="AW167" s="205"/>
      <c r="AX167" s="205"/>
      <c r="AY167" s="204"/>
      <c r="AZ167" s="208">
        <f t="shared" si="402"/>
        <v>0</v>
      </c>
      <c r="BA167" s="208">
        <f t="shared" si="435"/>
        <v>200000</v>
      </c>
      <c r="BB167" s="203"/>
      <c r="BC167" s="205">
        <f>697729.975+8876.482+1337.316</f>
        <v>707943.77299999993</v>
      </c>
      <c r="BD167" s="205"/>
      <c r="BE167" s="205"/>
      <c r="BF167" s="204"/>
      <c r="BG167" s="208">
        <f t="shared" si="403"/>
        <v>707943.77299999993</v>
      </c>
      <c r="BH167" s="203"/>
      <c r="BI167" s="205"/>
      <c r="BJ167" s="205"/>
      <c r="BK167" s="205"/>
      <c r="BL167" s="204"/>
      <c r="BM167" s="208">
        <f t="shared" si="404"/>
        <v>0</v>
      </c>
      <c r="BN167" s="203"/>
      <c r="BO167" s="205"/>
      <c r="BP167" s="205"/>
      <c r="BQ167" s="204"/>
      <c r="BR167" s="208">
        <f t="shared" si="405"/>
        <v>0</v>
      </c>
      <c r="BS167" s="203"/>
      <c r="BT167" s="205"/>
      <c r="BU167" s="205"/>
      <c r="BV167" s="205"/>
      <c r="BW167" s="204"/>
      <c r="BX167" s="208">
        <f t="shared" si="390"/>
        <v>0</v>
      </c>
      <c r="BY167" s="203"/>
      <c r="BZ167" s="205"/>
      <c r="CA167" s="208">
        <f t="shared" si="406"/>
        <v>0</v>
      </c>
      <c r="CB167" s="208">
        <f t="shared" si="407"/>
        <v>707943.77299999993</v>
      </c>
      <c r="CC167" s="203"/>
      <c r="CD167" s="205"/>
      <c r="CE167" s="205"/>
      <c r="CF167" s="208">
        <f t="shared" si="408"/>
        <v>0</v>
      </c>
      <c r="CG167" s="203">
        <f>560000-550345.911+385000-378606.112</f>
        <v>16047.977000000014</v>
      </c>
      <c r="CH167" s="205"/>
      <c r="CI167" s="205"/>
      <c r="CJ167" s="204"/>
      <c r="CK167" s="208">
        <f t="shared" si="391"/>
        <v>16047.977000000014</v>
      </c>
      <c r="CL167" s="203"/>
      <c r="CM167" s="205"/>
      <c r="CN167" s="205"/>
      <c r="CO167" s="205"/>
      <c r="CP167" s="204"/>
      <c r="CQ167" s="208">
        <f t="shared" si="409"/>
        <v>0</v>
      </c>
      <c r="CR167" s="203"/>
      <c r="CS167" s="205"/>
      <c r="CT167" s="205"/>
      <c r="CU167" s="205"/>
      <c r="CV167" s="204"/>
      <c r="CW167" s="208">
        <f t="shared" si="392"/>
        <v>0</v>
      </c>
      <c r="CX167" s="203"/>
      <c r="CY167" s="205"/>
      <c r="CZ167" s="205"/>
      <c r="DA167" s="204"/>
      <c r="DB167" s="208">
        <f t="shared" si="410"/>
        <v>0</v>
      </c>
      <c r="DC167" s="208">
        <f t="shared" si="411"/>
        <v>16047.977000000014</v>
      </c>
      <c r="DD167" s="203"/>
      <c r="DE167" s="205"/>
      <c r="DF167" s="205"/>
      <c r="DG167" s="205"/>
      <c r="DH167" s="205"/>
      <c r="DI167" s="208">
        <f t="shared" si="412"/>
        <v>0</v>
      </c>
      <c r="DJ167" s="203"/>
      <c r="DK167" s="205"/>
      <c r="DL167" s="205"/>
      <c r="DM167" s="205"/>
      <c r="DN167" s="204"/>
      <c r="DO167" s="208">
        <f t="shared" si="413"/>
        <v>0</v>
      </c>
      <c r="DP167" s="203"/>
      <c r="DQ167" s="205"/>
      <c r="DR167" s="205"/>
      <c r="DS167" s="205"/>
      <c r="DT167" s="204"/>
      <c r="DU167" s="245">
        <f t="shared" si="414"/>
        <v>0</v>
      </c>
      <c r="DV167" s="203"/>
      <c r="DW167" s="205"/>
      <c r="DX167" s="205"/>
      <c r="DY167" s="205"/>
      <c r="DZ167" s="204"/>
      <c r="EA167" s="208">
        <f t="shared" si="415"/>
        <v>0</v>
      </c>
      <c r="EB167" s="208">
        <f t="shared" si="416"/>
        <v>0</v>
      </c>
      <c r="EC167" s="203"/>
      <c r="ED167" s="205"/>
      <c r="EE167" s="205"/>
      <c r="EF167" s="205"/>
      <c r="EG167" s="204"/>
      <c r="EH167" s="208">
        <f t="shared" si="417"/>
        <v>0</v>
      </c>
      <c r="EI167" s="203"/>
      <c r="EJ167" s="205"/>
      <c r="EK167" s="205"/>
      <c r="EL167" s="205"/>
      <c r="EM167" s="204"/>
      <c r="EN167" s="208">
        <f t="shared" si="418"/>
        <v>0</v>
      </c>
      <c r="EO167" s="203"/>
      <c r="EP167" s="205"/>
      <c r="EQ167" s="205"/>
      <c r="ER167" s="205"/>
      <c r="ES167" s="204"/>
      <c r="ET167" s="308">
        <f t="shared" si="419"/>
        <v>0</v>
      </c>
      <c r="EU167" s="203"/>
      <c r="EV167" s="205"/>
      <c r="EW167" s="205"/>
      <c r="EX167" s="205"/>
      <c r="EY167" s="205"/>
      <c r="EZ167" s="205"/>
      <c r="FA167" s="204"/>
      <c r="FB167" s="208">
        <f t="shared" si="420"/>
        <v>0</v>
      </c>
      <c r="FC167" s="208">
        <f t="shared" si="421"/>
        <v>0</v>
      </c>
      <c r="FD167" s="203"/>
      <c r="FE167" s="205"/>
      <c r="FF167" s="204"/>
      <c r="FG167" s="208">
        <f t="shared" si="422"/>
        <v>0</v>
      </c>
      <c r="FH167" s="203"/>
      <c r="FI167" s="205"/>
      <c r="FJ167" s="205"/>
      <c r="FK167" s="205">
        <f>385000-378555.528+560000-550268.444</f>
        <v>16176.028000000049</v>
      </c>
      <c r="FL167" s="204"/>
      <c r="FM167" s="208">
        <f t="shared" si="423"/>
        <v>16176.028000000049</v>
      </c>
      <c r="FN167" s="203"/>
      <c r="FO167" s="205"/>
      <c r="FP167" s="205"/>
      <c r="FQ167" s="205"/>
      <c r="FR167" s="208">
        <f t="shared" si="393"/>
        <v>0</v>
      </c>
      <c r="FS167" s="203"/>
      <c r="FT167" s="205"/>
      <c r="FU167" s="205"/>
      <c r="FV167" s="205"/>
      <c r="FW167" s="204"/>
      <c r="FX167" s="208">
        <f t="shared" si="424"/>
        <v>0</v>
      </c>
      <c r="FY167" s="203"/>
      <c r="FZ167" s="205"/>
      <c r="GA167" s="205"/>
      <c r="GB167" s="205"/>
      <c r="GC167" s="204"/>
      <c r="GD167" s="208">
        <f t="shared" si="425"/>
        <v>0</v>
      </c>
      <c r="GE167" s="208">
        <f t="shared" si="394"/>
        <v>16176.028000000049</v>
      </c>
      <c r="GF167" s="203"/>
      <c r="GG167" s="205"/>
      <c r="GH167" s="205"/>
      <c r="GI167" s="205"/>
      <c r="GJ167" s="205"/>
      <c r="GK167" s="208">
        <f t="shared" si="426"/>
        <v>0</v>
      </c>
      <c r="GL167" s="203"/>
      <c r="GM167" s="205"/>
      <c r="GN167" s="205"/>
      <c r="GO167" s="204"/>
      <c r="GP167" s="208">
        <f t="shared" si="427"/>
        <v>0</v>
      </c>
      <c r="GQ167" s="203"/>
      <c r="GR167" s="205"/>
      <c r="GS167" s="205"/>
      <c r="GT167" s="205"/>
      <c r="GU167" s="204"/>
      <c r="GV167" s="208">
        <f t="shared" si="428"/>
        <v>0</v>
      </c>
      <c r="GW167" s="203"/>
      <c r="GX167" s="205"/>
      <c r="GY167" s="205"/>
      <c r="GZ167" s="205"/>
      <c r="HA167" s="205"/>
      <c r="HB167" s="204"/>
      <c r="HC167" s="208">
        <f t="shared" si="429"/>
        <v>0</v>
      </c>
      <c r="HD167" s="208">
        <f t="shared" si="430"/>
        <v>0</v>
      </c>
      <c r="HE167" s="203"/>
      <c r="HF167" s="205"/>
      <c r="HG167" s="205"/>
      <c r="HH167" s="205"/>
      <c r="HI167" s="208">
        <f t="shared" si="436"/>
        <v>0</v>
      </c>
      <c r="HJ167" s="203"/>
      <c r="HK167" s="205"/>
      <c r="HL167" s="205"/>
      <c r="HM167" s="205"/>
      <c r="HN167" s="204"/>
      <c r="HO167" s="245">
        <f t="shared" si="437"/>
        <v>0</v>
      </c>
      <c r="HP167" s="203"/>
      <c r="HQ167" s="205"/>
      <c r="HR167" s="205"/>
      <c r="HS167" s="205"/>
      <c r="HT167" s="204"/>
      <c r="HU167" s="208">
        <f t="shared" si="438"/>
        <v>0</v>
      </c>
      <c r="HV167" s="203"/>
      <c r="HW167" s="205"/>
      <c r="HX167" s="205"/>
      <c r="HY167" s="208">
        <f t="shared" si="395"/>
        <v>0</v>
      </c>
      <c r="HZ167" s="203"/>
      <c r="IA167" s="205"/>
      <c r="IB167" s="204"/>
      <c r="IC167" s="208">
        <f t="shared" si="439"/>
        <v>0</v>
      </c>
      <c r="ID167" s="208">
        <f t="shared" si="396"/>
        <v>0</v>
      </c>
      <c r="IE167" s="203"/>
      <c r="IF167" s="204"/>
      <c r="IG167" s="208">
        <f t="shared" si="440"/>
        <v>0</v>
      </c>
      <c r="IH167" s="203"/>
      <c r="II167" s="205"/>
      <c r="IJ167" s="205"/>
      <c r="IK167" s="205"/>
      <c r="IL167" s="204"/>
      <c r="IM167" s="208">
        <f t="shared" si="441"/>
        <v>0</v>
      </c>
      <c r="IN167" s="203"/>
      <c r="IO167" s="205">
        <f>385000+560000-378585.044-550311.378</f>
        <v>16103.57799999998</v>
      </c>
      <c r="IP167" s="204"/>
      <c r="IQ167" s="208">
        <f t="shared" si="442"/>
        <v>16103.57799999998</v>
      </c>
      <c r="IR167" s="203"/>
      <c r="IS167" s="205"/>
      <c r="IT167" s="205"/>
      <c r="IU167" s="205"/>
      <c r="IV167" s="204"/>
      <c r="IW167" s="208">
        <f t="shared" si="443"/>
        <v>0</v>
      </c>
      <c r="IX167" s="203"/>
      <c r="IY167" s="205"/>
      <c r="IZ167" s="205"/>
      <c r="JA167" s="205"/>
      <c r="JB167" s="204"/>
      <c r="JC167" s="208">
        <f t="shared" si="444"/>
        <v>0</v>
      </c>
      <c r="JD167" s="208">
        <f t="shared" si="431"/>
        <v>16103.57799999998</v>
      </c>
      <c r="JE167" s="203"/>
      <c r="JF167" s="205"/>
      <c r="JG167" s="205"/>
      <c r="JH167" s="205"/>
      <c r="JI167" s="204"/>
      <c r="JJ167" s="208">
        <f t="shared" si="445"/>
        <v>0</v>
      </c>
      <c r="JK167" s="203"/>
      <c r="JL167" s="205"/>
      <c r="JM167" s="205"/>
      <c r="JN167" s="205"/>
      <c r="JO167" s="204"/>
      <c r="JP167" s="208">
        <f t="shared" si="446"/>
        <v>0</v>
      </c>
      <c r="JQ167" s="203"/>
      <c r="JR167" s="205"/>
      <c r="JS167" s="205"/>
      <c r="JT167" s="205"/>
      <c r="JU167" s="204"/>
      <c r="JV167" s="208">
        <f t="shared" si="447"/>
        <v>0</v>
      </c>
      <c r="JW167" s="203"/>
      <c r="JX167" s="205"/>
      <c r="JY167" s="205"/>
      <c r="JZ167" s="205"/>
      <c r="KA167" s="205"/>
      <c r="KB167" s="204"/>
      <c r="KC167" s="208">
        <f t="shared" si="448"/>
        <v>0</v>
      </c>
      <c r="KD167" s="208">
        <f t="shared" si="449"/>
        <v>0</v>
      </c>
      <c r="KE167" s="203"/>
      <c r="KF167" s="205"/>
      <c r="KG167" s="205"/>
      <c r="KH167" s="205"/>
      <c r="KI167" s="204"/>
      <c r="KJ167" s="208">
        <f t="shared" si="450"/>
        <v>0</v>
      </c>
      <c r="KK167" s="203"/>
      <c r="KL167" s="205"/>
      <c r="KM167" s="205"/>
      <c r="KN167" s="205"/>
      <c r="KO167" s="204"/>
      <c r="KP167" s="208">
        <f t="shared" si="451"/>
        <v>0</v>
      </c>
      <c r="KQ167" s="203"/>
      <c r="KR167" s="205"/>
      <c r="KS167" s="205"/>
      <c r="KT167" s="205"/>
      <c r="KU167" s="204"/>
      <c r="KV167" s="208">
        <f t="shared" si="452"/>
        <v>0</v>
      </c>
      <c r="KW167" s="203"/>
      <c r="KX167" s="205"/>
      <c r="KY167" s="205"/>
      <c r="KZ167" s="205"/>
      <c r="LA167" s="204"/>
      <c r="LB167" s="208">
        <f t="shared" si="453"/>
        <v>0</v>
      </c>
      <c r="LC167" s="202"/>
      <c r="LD167" s="244"/>
      <c r="LE167" s="245"/>
      <c r="LF167" s="208">
        <f t="shared" si="454"/>
        <v>0</v>
      </c>
      <c r="LG167" s="208">
        <f t="shared" si="455"/>
        <v>0</v>
      </c>
    </row>
    <row r="168" spans="2:322" s="91" customFormat="1">
      <c r="B168" s="167" t="s">
        <v>171</v>
      </c>
      <c r="C168" s="167"/>
      <c r="D168" s="202">
        <f t="shared" ref="D168:D182" si="457">SUM(C168:C168)</f>
        <v>0</v>
      </c>
      <c r="E168" s="167"/>
      <c r="F168" s="177">
        <v>30938.166000000001</v>
      </c>
      <c r="G168" s="177"/>
      <c r="H168" s="177"/>
      <c r="I168" s="178"/>
      <c r="J168" s="202">
        <f t="shared" ref="J168:J183" si="458">SUM(E168:I168)</f>
        <v>30938.166000000001</v>
      </c>
      <c r="K168" s="167"/>
      <c r="L168" s="177"/>
      <c r="M168" s="177"/>
      <c r="N168" s="178"/>
      <c r="O168" s="202">
        <f>SUM(K168:N168)</f>
        <v>0</v>
      </c>
      <c r="P168" s="167"/>
      <c r="Q168" s="177"/>
      <c r="R168" s="177"/>
      <c r="S168" s="177"/>
      <c r="T168" s="178"/>
      <c r="U168" s="202">
        <f t="shared" ref="U168:U183" si="459">SUM(P168:T168)</f>
        <v>0</v>
      </c>
      <c r="V168" s="167"/>
      <c r="W168" s="177"/>
      <c r="X168" s="177"/>
      <c r="Y168" s="177"/>
      <c r="Z168" s="177"/>
      <c r="AA168" s="208">
        <f t="shared" ref="AA168:AA183" si="460">SUM(V168:Z168)</f>
        <v>0</v>
      </c>
      <c r="AB168" s="208">
        <f t="shared" ref="AB168:AB182" si="461">AA168+U168+O168+J168+D168</f>
        <v>30938.166000000001</v>
      </c>
      <c r="AC168" s="203">
        <v>53.1</v>
      </c>
      <c r="AD168" s="205"/>
      <c r="AE168" s="205"/>
      <c r="AF168" s="205"/>
      <c r="AG168" s="204"/>
      <c r="AH168" s="208">
        <f t="shared" si="399"/>
        <v>53.1</v>
      </c>
      <c r="AI168" s="203"/>
      <c r="AJ168" s="205"/>
      <c r="AK168" s="205"/>
      <c r="AL168" s="205"/>
      <c r="AM168" s="204"/>
      <c r="AN168" s="208">
        <f t="shared" si="400"/>
        <v>0</v>
      </c>
      <c r="AO168" s="203"/>
      <c r="AP168" s="205"/>
      <c r="AQ168" s="205"/>
      <c r="AR168" s="205"/>
      <c r="AS168" s="204"/>
      <c r="AT168" s="208">
        <f t="shared" si="401"/>
        <v>0</v>
      </c>
      <c r="AU168" s="203"/>
      <c r="AV168" s="205"/>
      <c r="AW168" s="205"/>
      <c r="AX168" s="205"/>
      <c r="AY168" s="204"/>
      <c r="AZ168" s="208">
        <f t="shared" si="402"/>
        <v>0</v>
      </c>
      <c r="BA168" s="208">
        <f t="shared" si="435"/>
        <v>53.1</v>
      </c>
      <c r="BB168" s="203"/>
      <c r="BC168" s="205"/>
      <c r="BD168" s="205"/>
      <c r="BE168" s="205"/>
      <c r="BF168" s="204"/>
      <c r="BG168" s="208">
        <f t="shared" si="403"/>
        <v>0</v>
      </c>
      <c r="BH168" s="203"/>
      <c r="BI168" s="205"/>
      <c r="BJ168" s="205"/>
      <c r="BK168" s="205"/>
      <c r="BL168" s="204"/>
      <c r="BM168" s="208">
        <f t="shared" si="404"/>
        <v>0</v>
      </c>
      <c r="BN168" s="203"/>
      <c r="BO168" s="205"/>
      <c r="BP168" s="205"/>
      <c r="BQ168" s="204"/>
      <c r="BR168" s="208">
        <f t="shared" si="405"/>
        <v>0</v>
      </c>
      <c r="BS168" s="203"/>
      <c r="BT168" s="205"/>
      <c r="BU168" s="205"/>
      <c r="BV168" s="205"/>
      <c r="BW168" s="204"/>
      <c r="BX168" s="208">
        <f t="shared" si="390"/>
        <v>0</v>
      </c>
      <c r="BY168" s="203"/>
      <c r="BZ168" s="205"/>
      <c r="CA168" s="208">
        <f t="shared" si="406"/>
        <v>0</v>
      </c>
      <c r="CB168" s="208">
        <f t="shared" si="407"/>
        <v>0</v>
      </c>
      <c r="CC168" s="203"/>
      <c r="CD168" s="205"/>
      <c r="CE168" s="205"/>
      <c r="CF168" s="208">
        <f t="shared" si="408"/>
        <v>0</v>
      </c>
      <c r="CG168" s="203">
        <v>20981.187999999998</v>
      </c>
      <c r="CH168" s="205"/>
      <c r="CI168" s="205"/>
      <c r="CJ168" s="204">
        <v>5227.7049999999999</v>
      </c>
      <c r="CK168" s="208">
        <f t="shared" si="391"/>
        <v>26208.892999999996</v>
      </c>
      <c r="CL168" s="203"/>
      <c r="CM168" s="205"/>
      <c r="CN168" s="205"/>
      <c r="CO168" s="205"/>
      <c r="CP168" s="204"/>
      <c r="CQ168" s="208">
        <f t="shared" si="409"/>
        <v>0</v>
      </c>
      <c r="CR168" s="203"/>
      <c r="CS168" s="205"/>
      <c r="CT168" s="205"/>
      <c r="CU168" s="205"/>
      <c r="CV168" s="204"/>
      <c r="CW168" s="208">
        <f t="shared" si="392"/>
        <v>0</v>
      </c>
      <c r="CX168" s="203"/>
      <c r="CY168" s="205"/>
      <c r="CZ168" s="205"/>
      <c r="DA168" s="204"/>
      <c r="DB168" s="208">
        <f t="shared" si="410"/>
        <v>0</v>
      </c>
      <c r="DC168" s="208">
        <f t="shared" si="411"/>
        <v>26208.892999999996</v>
      </c>
      <c r="DD168" s="203"/>
      <c r="DE168" s="205"/>
      <c r="DF168" s="205"/>
      <c r="DG168" s="205"/>
      <c r="DH168" s="205"/>
      <c r="DI168" s="208">
        <f t="shared" si="412"/>
        <v>0</v>
      </c>
      <c r="DJ168" s="203"/>
      <c r="DK168" s="205"/>
      <c r="DL168" s="205"/>
      <c r="DM168" s="205"/>
      <c r="DN168" s="204"/>
      <c r="DO168" s="208">
        <f t="shared" si="413"/>
        <v>0</v>
      </c>
      <c r="DP168" s="203"/>
      <c r="DQ168" s="205"/>
      <c r="DR168" s="205"/>
      <c r="DS168" s="205"/>
      <c r="DT168" s="204"/>
      <c r="DU168" s="245">
        <f t="shared" si="414"/>
        <v>0</v>
      </c>
      <c r="DV168" s="203"/>
      <c r="DW168" s="205"/>
      <c r="DX168" s="205"/>
      <c r="DY168" s="205"/>
      <c r="DZ168" s="204"/>
      <c r="EA168" s="208">
        <f t="shared" si="415"/>
        <v>0</v>
      </c>
      <c r="EB168" s="208">
        <f t="shared" si="416"/>
        <v>0</v>
      </c>
      <c r="EC168" s="203"/>
      <c r="ED168" s="205"/>
      <c r="EE168" s="205"/>
      <c r="EF168" s="205"/>
      <c r="EG168" s="204"/>
      <c r="EH168" s="208">
        <f t="shared" si="417"/>
        <v>0</v>
      </c>
      <c r="EI168" s="203"/>
      <c r="EJ168" s="205"/>
      <c r="EK168" s="205"/>
      <c r="EL168" s="205"/>
      <c r="EM168" s="204"/>
      <c r="EN168" s="208">
        <f t="shared" si="418"/>
        <v>0</v>
      </c>
      <c r="EO168" s="203"/>
      <c r="EP168" s="205"/>
      <c r="EQ168" s="205"/>
      <c r="ER168" s="205"/>
      <c r="ES168" s="204"/>
      <c r="ET168" s="308">
        <f t="shared" si="419"/>
        <v>0</v>
      </c>
      <c r="EU168" s="203"/>
      <c r="EV168" s="205"/>
      <c r="EW168" s="205"/>
      <c r="EX168" s="205"/>
      <c r="EY168" s="205"/>
      <c r="EZ168" s="205"/>
      <c r="FA168" s="204"/>
      <c r="FB168" s="208">
        <f t="shared" si="420"/>
        <v>0</v>
      </c>
      <c r="FC168" s="208">
        <f t="shared" si="421"/>
        <v>0</v>
      </c>
      <c r="FD168" s="203"/>
      <c r="FE168" s="205"/>
      <c r="FF168" s="204">
        <v>5058.607</v>
      </c>
      <c r="FG168" s="208">
        <f t="shared" si="422"/>
        <v>5058.607</v>
      </c>
      <c r="FH168" s="203">
        <v>26058.666000000001</v>
      </c>
      <c r="FI168" s="205"/>
      <c r="FJ168" s="205"/>
      <c r="FK168" s="205"/>
      <c r="FL168" s="204"/>
      <c r="FM168" s="208">
        <f t="shared" si="423"/>
        <v>26058.666000000001</v>
      </c>
      <c r="FN168" s="203"/>
      <c r="FO168" s="205"/>
      <c r="FP168" s="205"/>
      <c r="FQ168" s="205"/>
      <c r="FR168" s="208">
        <f t="shared" si="393"/>
        <v>0</v>
      </c>
      <c r="FS168" s="203"/>
      <c r="FT168" s="205"/>
      <c r="FU168" s="205"/>
      <c r="FV168" s="205"/>
      <c r="FW168" s="204"/>
      <c r="FX168" s="208">
        <f t="shared" si="424"/>
        <v>0</v>
      </c>
      <c r="FY168" s="203"/>
      <c r="FZ168" s="205"/>
      <c r="GA168" s="205"/>
      <c r="GB168" s="205"/>
      <c r="GC168" s="204"/>
      <c r="GD168" s="208">
        <f t="shared" si="425"/>
        <v>0</v>
      </c>
      <c r="GE168" s="208">
        <f t="shared" si="394"/>
        <v>31117.273000000001</v>
      </c>
      <c r="GF168" s="203"/>
      <c r="GG168" s="205"/>
      <c r="GH168" s="205"/>
      <c r="GI168" s="205"/>
      <c r="GJ168" s="205"/>
      <c r="GK168" s="208">
        <f t="shared" si="426"/>
        <v>0</v>
      </c>
      <c r="GL168" s="203"/>
      <c r="GM168" s="205"/>
      <c r="GN168" s="205"/>
      <c r="GO168" s="204"/>
      <c r="GP168" s="208">
        <f t="shared" si="427"/>
        <v>0</v>
      </c>
      <c r="GQ168" s="203"/>
      <c r="GR168" s="205"/>
      <c r="GS168" s="205"/>
      <c r="GT168" s="205"/>
      <c r="GU168" s="204"/>
      <c r="GV168" s="208">
        <f t="shared" si="428"/>
        <v>0</v>
      </c>
      <c r="GW168" s="203"/>
      <c r="GX168" s="205"/>
      <c r="GY168" s="205"/>
      <c r="GZ168" s="205"/>
      <c r="HA168" s="205"/>
      <c r="HB168" s="204"/>
      <c r="HC168" s="208">
        <f t="shared" si="429"/>
        <v>0</v>
      </c>
      <c r="HD168" s="208">
        <f t="shared" si="430"/>
        <v>0</v>
      </c>
      <c r="HE168" s="203"/>
      <c r="HF168" s="205"/>
      <c r="HG168" s="205"/>
      <c r="HH168" s="205"/>
      <c r="HI168" s="208">
        <f t="shared" si="436"/>
        <v>0</v>
      </c>
      <c r="HJ168" s="203"/>
      <c r="HK168" s="205"/>
      <c r="HL168" s="205"/>
      <c r="HM168" s="205"/>
      <c r="HN168" s="204"/>
      <c r="HO168" s="245">
        <f t="shared" si="437"/>
        <v>0</v>
      </c>
      <c r="HP168" s="203"/>
      <c r="HQ168" s="205"/>
      <c r="HR168" s="205"/>
      <c r="HS168" s="205"/>
      <c r="HT168" s="204"/>
      <c r="HU168" s="208">
        <f t="shared" si="438"/>
        <v>0</v>
      </c>
      <c r="HV168" s="203"/>
      <c r="HW168" s="205"/>
      <c r="HX168" s="205"/>
      <c r="HY168" s="208">
        <f t="shared" si="395"/>
        <v>0</v>
      </c>
      <c r="HZ168" s="203"/>
      <c r="IA168" s="205"/>
      <c r="IB168" s="204"/>
      <c r="IC168" s="208">
        <f t="shared" si="439"/>
        <v>0</v>
      </c>
      <c r="ID168" s="208">
        <f t="shared" si="396"/>
        <v>0</v>
      </c>
      <c r="IE168" s="203"/>
      <c r="IF168" s="204"/>
      <c r="IG168" s="208">
        <f t="shared" si="440"/>
        <v>0</v>
      </c>
      <c r="IH168" s="203">
        <v>32582.642</v>
      </c>
      <c r="II168" s="205"/>
      <c r="IJ168" s="205"/>
      <c r="IK168" s="205"/>
      <c r="IL168" s="204"/>
      <c r="IM168" s="208">
        <f t="shared" si="441"/>
        <v>32582.642</v>
      </c>
      <c r="IN168" s="203"/>
      <c r="IO168" s="205"/>
      <c r="IP168" s="204"/>
      <c r="IQ168" s="208">
        <f t="shared" si="442"/>
        <v>0</v>
      </c>
      <c r="IR168" s="203"/>
      <c r="IS168" s="205"/>
      <c r="IT168" s="205"/>
      <c r="IU168" s="205"/>
      <c r="IV168" s="204"/>
      <c r="IW168" s="208">
        <f t="shared" si="443"/>
        <v>0</v>
      </c>
      <c r="IX168" s="203"/>
      <c r="IY168" s="205"/>
      <c r="IZ168" s="205"/>
      <c r="JA168" s="205"/>
      <c r="JB168" s="204"/>
      <c r="JC168" s="208">
        <f t="shared" si="444"/>
        <v>0</v>
      </c>
      <c r="JD168" s="208">
        <f t="shared" si="431"/>
        <v>32582.642</v>
      </c>
      <c r="JE168" s="203"/>
      <c r="JF168" s="205"/>
      <c r="JG168" s="205"/>
      <c r="JH168" s="205"/>
      <c r="JI168" s="204"/>
      <c r="JJ168" s="208">
        <f t="shared" si="445"/>
        <v>0</v>
      </c>
      <c r="JK168" s="203"/>
      <c r="JL168" s="205"/>
      <c r="JM168" s="205"/>
      <c r="JN168" s="205"/>
      <c r="JO168" s="204"/>
      <c r="JP168" s="208">
        <f t="shared" si="446"/>
        <v>0</v>
      </c>
      <c r="JQ168" s="203"/>
      <c r="JR168" s="205"/>
      <c r="JS168" s="205"/>
      <c r="JT168" s="205"/>
      <c r="JU168" s="204"/>
      <c r="JV168" s="208">
        <f t="shared" si="447"/>
        <v>0</v>
      </c>
      <c r="JW168" s="203"/>
      <c r="JX168" s="205"/>
      <c r="JY168" s="205"/>
      <c r="JZ168" s="205"/>
      <c r="KA168" s="205"/>
      <c r="KB168" s="204"/>
      <c r="KC168" s="208">
        <f t="shared" si="448"/>
        <v>0</v>
      </c>
      <c r="KD168" s="208">
        <f t="shared" si="449"/>
        <v>0</v>
      </c>
      <c r="KE168" s="203"/>
      <c r="KF168" s="205"/>
      <c r="KG168" s="205"/>
      <c r="KH168" s="205"/>
      <c r="KI168" s="204"/>
      <c r="KJ168" s="208">
        <f t="shared" si="450"/>
        <v>0</v>
      </c>
      <c r="KK168" s="203"/>
      <c r="KL168" s="205"/>
      <c r="KM168" s="205"/>
      <c r="KN168" s="205"/>
      <c r="KO168" s="204"/>
      <c r="KP168" s="208">
        <f t="shared" si="451"/>
        <v>0</v>
      </c>
      <c r="KQ168" s="203"/>
      <c r="KR168" s="205"/>
      <c r="KS168" s="205"/>
      <c r="KT168" s="205"/>
      <c r="KU168" s="204"/>
      <c r="KV168" s="208">
        <f t="shared" si="452"/>
        <v>0</v>
      </c>
      <c r="KW168" s="203"/>
      <c r="KX168" s="205"/>
      <c r="KY168" s="205"/>
      <c r="KZ168" s="205"/>
      <c r="LA168" s="204"/>
      <c r="LB168" s="208">
        <f t="shared" si="453"/>
        <v>0</v>
      </c>
      <c r="LC168" s="202"/>
      <c r="LD168" s="244"/>
      <c r="LE168" s="245"/>
      <c r="LF168" s="208">
        <f t="shared" si="454"/>
        <v>0</v>
      </c>
      <c r="LG168" s="208">
        <f t="shared" si="455"/>
        <v>0</v>
      </c>
    </row>
    <row r="169" spans="2:322" s="91" customFormat="1">
      <c r="B169" s="93" t="s">
        <v>386</v>
      </c>
      <c r="C169" s="167"/>
      <c r="D169" s="202">
        <f t="shared" si="457"/>
        <v>0</v>
      </c>
      <c r="E169" s="167"/>
      <c r="F169" s="177">
        <v>2277.2109999999998</v>
      </c>
      <c r="G169" s="177"/>
      <c r="H169" s="177"/>
      <c r="I169" s="178"/>
      <c r="J169" s="202">
        <f t="shared" si="458"/>
        <v>2277.2109999999998</v>
      </c>
      <c r="K169" s="167"/>
      <c r="L169" s="177"/>
      <c r="M169" s="177"/>
      <c r="N169" s="178"/>
      <c r="O169" s="202">
        <f>SUM(K169:N169)</f>
        <v>0</v>
      </c>
      <c r="P169" s="167"/>
      <c r="Q169" s="177"/>
      <c r="R169" s="177"/>
      <c r="S169" s="177"/>
      <c r="T169" s="178"/>
      <c r="U169" s="202">
        <f t="shared" si="459"/>
        <v>0</v>
      </c>
      <c r="V169" s="167"/>
      <c r="W169" s="177"/>
      <c r="X169" s="177"/>
      <c r="Y169" s="177"/>
      <c r="Z169" s="177"/>
      <c r="AA169" s="208">
        <f t="shared" si="460"/>
        <v>0</v>
      </c>
      <c r="AB169" s="208">
        <f t="shared" si="461"/>
        <v>2277.2109999999998</v>
      </c>
      <c r="AC169" s="203"/>
      <c r="AD169" s="205"/>
      <c r="AE169" s="205"/>
      <c r="AF169" s="205"/>
      <c r="AG169" s="204"/>
      <c r="AH169" s="208">
        <f t="shared" si="399"/>
        <v>0</v>
      </c>
      <c r="AI169" s="203"/>
      <c r="AJ169" s="205"/>
      <c r="AK169" s="205"/>
      <c r="AL169" s="205"/>
      <c r="AM169" s="204"/>
      <c r="AN169" s="208">
        <f t="shared" si="400"/>
        <v>0</v>
      </c>
      <c r="AO169" s="203"/>
      <c r="AP169" s="205"/>
      <c r="AQ169" s="205"/>
      <c r="AR169" s="205"/>
      <c r="AS169" s="204"/>
      <c r="AT169" s="208">
        <f t="shared" si="401"/>
        <v>0</v>
      </c>
      <c r="AU169" s="203"/>
      <c r="AV169" s="205"/>
      <c r="AW169" s="205"/>
      <c r="AX169" s="205"/>
      <c r="AY169" s="204"/>
      <c r="AZ169" s="208">
        <f t="shared" si="402"/>
        <v>0</v>
      </c>
      <c r="BA169" s="208">
        <f t="shared" si="435"/>
        <v>0</v>
      </c>
      <c r="BB169" s="203"/>
      <c r="BC169" s="205"/>
      <c r="BD169" s="205"/>
      <c r="BE169" s="205"/>
      <c r="BF169" s="204"/>
      <c r="BG169" s="208">
        <f t="shared" si="403"/>
        <v>0</v>
      </c>
      <c r="BH169" s="203"/>
      <c r="BI169" s="205"/>
      <c r="BJ169" s="205"/>
      <c r="BK169" s="205"/>
      <c r="BL169" s="204"/>
      <c r="BM169" s="208">
        <f t="shared" si="404"/>
        <v>0</v>
      </c>
      <c r="BN169" s="203"/>
      <c r="BO169" s="205"/>
      <c r="BP169" s="205"/>
      <c r="BQ169" s="204"/>
      <c r="BR169" s="208">
        <f t="shared" si="405"/>
        <v>0</v>
      </c>
      <c r="BS169" s="203"/>
      <c r="BT169" s="205"/>
      <c r="BU169" s="205"/>
      <c r="BV169" s="205"/>
      <c r="BW169" s="204"/>
      <c r="BX169" s="208">
        <f t="shared" si="390"/>
        <v>0</v>
      </c>
      <c r="BY169" s="203"/>
      <c r="BZ169" s="205"/>
      <c r="CA169" s="208">
        <f t="shared" si="406"/>
        <v>0</v>
      </c>
      <c r="CB169" s="208">
        <f t="shared" si="407"/>
        <v>0</v>
      </c>
      <c r="CC169" s="203"/>
      <c r="CD169" s="205"/>
      <c r="CE169" s="205"/>
      <c r="CF169" s="208">
        <f t="shared" si="408"/>
        <v>0</v>
      </c>
      <c r="CG169" s="203">
        <v>1157.175</v>
      </c>
      <c r="CH169" s="205"/>
      <c r="CI169" s="205"/>
      <c r="CJ169" s="204"/>
      <c r="CK169" s="208">
        <f t="shared" si="391"/>
        <v>1157.175</v>
      </c>
      <c r="CL169" s="203"/>
      <c r="CM169" s="205"/>
      <c r="CN169" s="205"/>
      <c r="CO169" s="205"/>
      <c r="CP169" s="204"/>
      <c r="CQ169" s="208">
        <f t="shared" si="409"/>
        <v>0</v>
      </c>
      <c r="CR169" s="203"/>
      <c r="CS169" s="205"/>
      <c r="CT169" s="205"/>
      <c r="CU169" s="205"/>
      <c r="CV169" s="204"/>
      <c r="CW169" s="208">
        <f t="shared" si="392"/>
        <v>0</v>
      </c>
      <c r="CX169" s="203"/>
      <c r="CY169" s="205"/>
      <c r="CZ169" s="205"/>
      <c r="DA169" s="204"/>
      <c r="DB169" s="208">
        <f t="shared" si="410"/>
        <v>0</v>
      </c>
      <c r="DC169" s="208">
        <f t="shared" si="411"/>
        <v>1157.175</v>
      </c>
      <c r="DD169" s="203"/>
      <c r="DE169" s="205"/>
      <c r="DF169" s="205"/>
      <c r="DG169" s="205"/>
      <c r="DH169" s="205"/>
      <c r="DI169" s="208">
        <f t="shared" si="412"/>
        <v>0</v>
      </c>
      <c r="DJ169" s="203"/>
      <c r="DK169" s="205"/>
      <c r="DL169" s="205"/>
      <c r="DM169" s="205"/>
      <c r="DN169" s="204"/>
      <c r="DO169" s="208">
        <f t="shared" si="413"/>
        <v>0</v>
      </c>
      <c r="DP169" s="203"/>
      <c r="DQ169" s="205"/>
      <c r="DR169" s="205"/>
      <c r="DS169" s="205"/>
      <c r="DT169" s="204"/>
      <c r="DU169" s="245">
        <f t="shared" si="414"/>
        <v>0</v>
      </c>
      <c r="DV169" s="203"/>
      <c r="DW169" s="205"/>
      <c r="DX169" s="205"/>
      <c r="DY169" s="205"/>
      <c r="DZ169" s="204"/>
      <c r="EA169" s="208">
        <f t="shared" si="415"/>
        <v>0</v>
      </c>
      <c r="EB169" s="208">
        <f t="shared" si="416"/>
        <v>0</v>
      </c>
      <c r="EC169" s="203"/>
      <c r="ED169" s="205"/>
      <c r="EE169" s="205"/>
      <c r="EF169" s="205"/>
      <c r="EG169" s="204"/>
      <c r="EH169" s="208">
        <f t="shared" si="417"/>
        <v>0</v>
      </c>
      <c r="EI169" s="203"/>
      <c r="EJ169" s="205"/>
      <c r="EK169" s="205"/>
      <c r="EL169" s="205"/>
      <c r="EM169" s="204"/>
      <c r="EN169" s="208">
        <f t="shared" si="418"/>
        <v>0</v>
      </c>
      <c r="EO169" s="203"/>
      <c r="EP169" s="205"/>
      <c r="EQ169" s="205"/>
      <c r="ER169" s="205"/>
      <c r="ES169" s="204"/>
      <c r="ET169" s="308">
        <f t="shared" si="419"/>
        <v>0</v>
      </c>
      <c r="EU169" s="203"/>
      <c r="EV169" s="205"/>
      <c r="EW169" s="205"/>
      <c r="EX169" s="205"/>
      <c r="EY169" s="205"/>
      <c r="EZ169" s="205"/>
      <c r="FA169" s="204"/>
      <c r="FB169" s="208">
        <f t="shared" si="420"/>
        <v>0</v>
      </c>
      <c r="FC169" s="208">
        <f t="shared" si="421"/>
        <v>0</v>
      </c>
      <c r="FD169" s="203"/>
      <c r="FE169" s="205"/>
      <c r="FF169" s="204"/>
      <c r="FG169" s="208">
        <f t="shared" si="422"/>
        <v>0</v>
      </c>
      <c r="FH169" s="203">
        <v>1848.742</v>
      </c>
      <c r="FI169" s="205"/>
      <c r="FJ169" s="205"/>
      <c r="FK169" s="205"/>
      <c r="FL169" s="204"/>
      <c r="FM169" s="208">
        <f t="shared" si="423"/>
        <v>1848.742</v>
      </c>
      <c r="FN169" s="203"/>
      <c r="FO169" s="205"/>
      <c r="FP169" s="205"/>
      <c r="FQ169" s="205"/>
      <c r="FR169" s="208">
        <f t="shared" si="393"/>
        <v>0</v>
      </c>
      <c r="FS169" s="203"/>
      <c r="FT169" s="205"/>
      <c r="FU169" s="205"/>
      <c r="FV169" s="205"/>
      <c r="FW169" s="204"/>
      <c r="FX169" s="208">
        <f t="shared" si="424"/>
        <v>0</v>
      </c>
      <c r="FY169" s="203"/>
      <c r="FZ169" s="205"/>
      <c r="GA169" s="205"/>
      <c r="GB169" s="205"/>
      <c r="GC169" s="204"/>
      <c r="GD169" s="208">
        <f t="shared" si="425"/>
        <v>0</v>
      </c>
      <c r="GE169" s="208">
        <f t="shared" si="394"/>
        <v>1848.742</v>
      </c>
      <c r="GF169" s="203"/>
      <c r="GG169" s="205"/>
      <c r="GH169" s="205"/>
      <c r="GI169" s="205"/>
      <c r="GJ169" s="205"/>
      <c r="GK169" s="208">
        <f t="shared" si="426"/>
        <v>0</v>
      </c>
      <c r="GL169" s="203"/>
      <c r="GM169" s="205"/>
      <c r="GN169" s="205"/>
      <c r="GO169" s="204"/>
      <c r="GP169" s="208">
        <f t="shared" si="427"/>
        <v>0</v>
      </c>
      <c r="GQ169" s="203"/>
      <c r="GR169" s="205"/>
      <c r="GS169" s="205"/>
      <c r="GT169" s="205"/>
      <c r="GU169" s="204"/>
      <c r="GV169" s="208">
        <f t="shared" si="428"/>
        <v>0</v>
      </c>
      <c r="GW169" s="203"/>
      <c r="GX169" s="205"/>
      <c r="GY169" s="205"/>
      <c r="GZ169" s="205"/>
      <c r="HA169" s="205"/>
      <c r="HB169" s="204"/>
      <c r="HC169" s="208">
        <f t="shared" si="429"/>
        <v>0</v>
      </c>
      <c r="HD169" s="208">
        <f t="shared" si="430"/>
        <v>0</v>
      </c>
      <c r="HE169" s="203"/>
      <c r="HF169" s="205"/>
      <c r="HG169" s="205"/>
      <c r="HH169" s="205"/>
      <c r="HI169" s="208">
        <f t="shared" si="436"/>
        <v>0</v>
      </c>
      <c r="HJ169" s="203"/>
      <c r="HK169" s="205"/>
      <c r="HL169" s="205"/>
      <c r="HM169" s="205"/>
      <c r="HN169" s="204"/>
      <c r="HO169" s="245">
        <f t="shared" si="437"/>
        <v>0</v>
      </c>
      <c r="HP169" s="203"/>
      <c r="HQ169" s="205"/>
      <c r="HR169" s="205"/>
      <c r="HS169" s="205"/>
      <c r="HT169" s="204"/>
      <c r="HU169" s="208">
        <f t="shared" si="438"/>
        <v>0</v>
      </c>
      <c r="HV169" s="203"/>
      <c r="HW169" s="205"/>
      <c r="HX169" s="205"/>
      <c r="HY169" s="208">
        <f t="shared" si="395"/>
        <v>0</v>
      </c>
      <c r="HZ169" s="203"/>
      <c r="IA169" s="205"/>
      <c r="IB169" s="204"/>
      <c r="IC169" s="208">
        <f t="shared" si="439"/>
        <v>0</v>
      </c>
      <c r="ID169" s="208">
        <f t="shared" si="396"/>
        <v>0</v>
      </c>
      <c r="IE169" s="203"/>
      <c r="IF169" s="204"/>
      <c r="IG169" s="208">
        <f t="shared" si="440"/>
        <v>0</v>
      </c>
      <c r="IH169" s="203">
        <v>3061.5050000000001</v>
      </c>
      <c r="II169" s="205"/>
      <c r="IJ169" s="205"/>
      <c r="IK169" s="205"/>
      <c r="IL169" s="204"/>
      <c r="IM169" s="208">
        <f t="shared" si="441"/>
        <v>3061.5050000000001</v>
      </c>
      <c r="IN169" s="203"/>
      <c r="IO169" s="205"/>
      <c r="IP169" s="204"/>
      <c r="IQ169" s="208">
        <f t="shared" si="442"/>
        <v>0</v>
      </c>
      <c r="IR169" s="203"/>
      <c r="IS169" s="205"/>
      <c r="IT169" s="205"/>
      <c r="IU169" s="205"/>
      <c r="IV169" s="204"/>
      <c r="IW169" s="208">
        <f t="shared" si="443"/>
        <v>0</v>
      </c>
      <c r="IX169" s="203"/>
      <c r="IY169" s="205"/>
      <c r="IZ169" s="205"/>
      <c r="JA169" s="205"/>
      <c r="JB169" s="204"/>
      <c r="JC169" s="208">
        <f t="shared" si="444"/>
        <v>0</v>
      </c>
      <c r="JD169" s="208">
        <f t="shared" si="431"/>
        <v>3061.5050000000001</v>
      </c>
      <c r="JE169" s="203"/>
      <c r="JF169" s="205"/>
      <c r="JG169" s="205"/>
      <c r="JH169" s="205"/>
      <c r="JI169" s="204"/>
      <c r="JJ169" s="208">
        <f t="shared" si="445"/>
        <v>0</v>
      </c>
      <c r="JK169" s="203"/>
      <c r="JL169" s="205"/>
      <c r="JM169" s="205"/>
      <c r="JN169" s="205"/>
      <c r="JO169" s="204"/>
      <c r="JP169" s="208">
        <f t="shared" si="446"/>
        <v>0</v>
      </c>
      <c r="JQ169" s="203"/>
      <c r="JR169" s="205"/>
      <c r="JS169" s="205"/>
      <c r="JT169" s="205"/>
      <c r="JU169" s="204"/>
      <c r="JV169" s="208">
        <f t="shared" si="447"/>
        <v>0</v>
      </c>
      <c r="JW169" s="203"/>
      <c r="JX169" s="205"/>
      <c r="JY169" s="205"/>
      <c r="JZ169" s="205"/>
      <c r="KA169" s="205"/>
      <c r="KB169" s="204"/>
      <c r="KC169" s="208">
        <f t="shared" si="448"/>
        <v>0</v>
      </c>
      <c r="KD169" s="208">
        <f t="shared" si="449"/>
        <v>0</v>
      </c>
      <c r="KE169" s="203"/>
      <c r="KF169" s="205"/>
      <c r="KG169" s="205"/>
      <c r="KH169" s="205"/>
      <c r="KI169" s="204"/>
      <c r="KJ169" s="208">
        <f t="shared" si="450"/>
        <v>0</v>
      </c>
      <c r="KK169" s="203"/>
      <c r="KL169" s="205"/>
      <c r="KM169" s="205"/>
      <c r="KN169" s="205"/>
      <c r="KO169" s="204"/>
      <c r="KP169" s="208">
        <f t="shared" si="451"/>
        <v>0</v>
      </c>
      <c r="KQ169" s="203"/>
      <c r="KR169" s="205"/>
      <c r="KS169" s="205"/>
      <c r="KT169" s="205"/>
      <c r="KU169" s="204"/>
      <c r="KV169" s="208">
        <f t="shared" si="452"/>
        <v>0</v>
      </c>
      <c r="KW169" s="203"/>
      <c r="KX169" s="205"/>
      <c r="KY169" s="205"/>
      <c r="KZ169" s="205"/>
      <c r="LA169" s="204"/>
      <c r="LB169" s="208">
        <f t="shared" si="453"/>
        <v>0</v>
      </c>
      <c r="LC169" s="202"/>
      <c r="LD169" s="244"/>
      <c r="LE169" s="245"/>
      <c r="LF169" s="208">
        <f t="shared" si="454"/>
        <v>0</v>
      </c>
      <c r="LG169" s="208">
        <f t="shared" si="455"/>
        <v>0</v>
      </c>
    </row>
    <row r="170" spans="2:322" s="91" customFormat="1">
      <c r="B170" s="93" t="s">
        <v>376</v>
      </c>
      <c r="C170" s="167">
        <v>0.5</v>
      </c>
      <c r="D170" s="202">
        <f t="shared" si="457"/>
        <v>0.5</v>
      </c>
      <c r="E170" s="167">
        <v>0.5</v>
      </c>
      <c r="F170" s="177"/>
      <c r="G170" s="177"/>
      <c r="H170" s="177"/>
      <c r="I170" s="178"/>
      <c r="J170" s="202">
        <f t="shared" si="458"/>
        <v>0.5</v>
      </c>
      <c r="K170" s="167"/>
      <c r="L170" s="177">
        <v>0.5</v>
      </c>
      <c r="M170" s="177"/>
      <c r="N170" s="178">
        <v>1.5</v>
      </c>
      <c r="O170" s="202">
        <f>SUM(K170:N170)</f>
        <v>2</v>
      </c>
      <c r="P170" s="167"/>
      <c r="Q170" s="177">
        <v>0.3</v>
      </c>
      <c r="R170" s="177"/>
      <c r="S170" s="177">
        <v>0.5</v>
      </c>
      <c r="T170" s="178"/>
      <c r="U170" s="202">
        <f t="shared" si="459"/>
        <v>0.8</v>
      </c>
      <c r="V170" s="167"/>
      <c r="W170" s="177">
        <v>0.3</v>
      </c>
      <c r="X170" s="177">
        <v>0.8</v>
      </c>
      <c r="Y170" s="177"/>
      <c r="Z170" s="177">
        <v>0.5</v>
      </c>
      <c r="AA170" s="208">
        <f t="shared" si="460"/>
        <v>1.6</v>
      </c>
      <c r="AB170" s="208">
        <f t="shared" si="461"/>
        <v>5.4</v>
      </c>
      <c r="AC170" s="203"/>
      <c r="AD170" s="205">
        <v>1.3</v>
      </c>
      <c r="AE170" s="205"/>
      <c r="AF170" s="205"/>
      <c r="AG170" s="204">
        <v>0.5</v>
      </c>
      <c r="AH170" s="208">
        <f t="shared" si="399"/>
        <v>1.8</v>
      </c>
      <c r="AI170" s="203"/>
      <c r="AJ170" s="205"/>
      <c r="AK170" s="205">
        <v>0.8</v>
      </c>
      <c r="AL170" s="205"/>
      <c r="AM170" s="204"/>
      <c r="AN170" s="208">
        <f t="shared" si="400"/>
        <v>0.8</v>
      </c>
      <c r="AO170" s="203">
        <v>1.5</v>
      </c>
      <c r="AP170" s="205">
        <v>0.5</v>
      </c>
      <c r="AQ170" s="205"/>
      <c r="AR170" s="205"/>
      <c r="AS170" s="204">
        <v>0.5</v>
      </c>
      <c r="AT170" s="208">
        <f t="shared" si="401"/>
        <v>2.5</v>
      </c>
      <c r="AU170" s="203"/>
      <c r="AV170" s="205"/>
      <c r="AW170" s="205"/>
      <c r="AX170" s="205"/>
      <c r="AY170" s="204"/>
      <c r="AZ170" s="208">
        <f t="shared" si="402"/>
        <v>0</v>
      </c>
      <c r="BA170" s="208">
        <f t="shared" si="435"/>
        <v>5.0999999999999996</v>
      </c>
      <c r="BB170" s="203"/>
      <c r="BC170" s="205">
        <v>0.5</v>
      </c>
      <c r="BD170" s="205">
        <v>0.8</v>
      </c>
      <c r="BE170" s="205">
        <v>0.5</v>
      </c>
      <c r="BF170" s="204"/>
      <c r="BG170" s="208">
        <f t="shared" si="403"/>
        <v>1.8</v>
      </c>
      <c r="BH170" s="203"/>
      <c r="BI170" s="205"/>
      <c r="BJ170" s="205">
        <v>0.3</v>
      </c>
      <c r="BK170" s="205"/>
      <c r="BL170" s="204">
        <v>1</v>
      </c>
      <c r="BM170" s="208">
        <f t="shared" si="404"/>
        <v>1.3</v>
      </c>
      <c r="BN170" s="203"/>
      <c r="BO170" s="205">
        <v>0.5</v>
      </c>
      <c r="BP170" s="205"/>
      <c r="BQ170" s="204"/>
      <c r="BR170" s="208">
        <f t="shared" si="405"/>
        <v>0.5</v>
      </c>
      <c r="BS170" s="203"/>
      <c r="BT170" s="205"/>
      <c r="BU170" s="205"/>
      <c r="BV170" s="205">
        <v>0.5</v>
      </c>
      <c r="BW170" s="204"/>
      <c r="BX170" s="208">
        <f t="shared" si="390"/>
        <v>0.5</v>
      </c>
      <c r="BY170" s="203">
        <v>0.5</v>
      </c>
      <c r="BZ170" s="205"/>
      <c r="CA170" s="208">
        <f t="shared" si="406"/>
        <v>0.5</v>
      </c>
      <c r="CB170" s="208">
        <f t="shared" si="407"/>
        <v>4.5999999999999996</v>
      </c>
      <c r="CC170" s="203"/>
      <c r="CD170" s="205">
        <v>1.3</v>
      </c>
      <c r="CE170" s="205"/>
      <c r="CF170" s="208">
        <f t="shared" si="408"/>
        <v>1.3</v>
      </c>
      <c r="CG170" s="203"/>
      <c r="CH170" s="205"/>
      <c r="CI170" s="205">
        <v>1</v>
      </c>
      <c r="CJ170" s="204">
        <v>1.5</v>
      </c>
      <c r="CK170" s="208">
        <f t="shared" si="391"/>
        <v>2.5</v>
      </c>
      <c r="CL170" s="203">
        <v>0.5</v>
      </c>
      <c r="CM170" s="205"/>
      <c r="CN170" s="205"/>
      <c r="CO170" s="205">
        <v>0.5</v>
      </c>
      <c r="CP170" s="204">
        <v>0.5</v>
      </c>
      <c r="CQ170" s="208">
        <f t="shared" si="409"/>
        <v>1.5</v>
      </c>
      <c r="CR170" s="203">
        <v>0.5</v>
      </c>
      <c r="CS170" s="205"/>
      <c r="CT170" s="205"/>
      <c r="CU170" s="205">
        <v>1.5</v>
      </c>
      <c r="CV170" s="204"/>
      <c r="CW170" s="208">
        <f t="shared" si="392"/>
        <v>2</v>
      </c>
      <c r="CX170" s="203"/>
      <c r="CY170" s="205"/>
      <c r="CZ170" s="205"/>
      <c r="DA170" s="204"/>
      <c r="DB170" s="208">
        <f t="shared" si="410"/>
        <v>0</v>
      </c>
      <c r="DC170" s="208">
        <f t="shared" si="411"/>
        <v>7.3</v>
      </c>
      <c r="DD170" s="203">
        <v>0.5</v>
      </c>
      <c r="DE170" s="205">
        <v>0.8</v>
      </c>
      <c r="DF170" s="205"/>
      <c r="DG170" s="205"/>
      <c r="DH170" s="205">
        <v>0.3</v>
      </c>
      <c r="DI170" s="208">
        <f t="shared" si="412"/>
        <v>1.6</v>
      </c>
      <c r="DJ170" s="203">
        <v>1.5</v>
      </c>
      <c r="DK170" s="205"/>
      <c r="DL170" s="205"/>
      <c r="DM170" s="205"/>
      <c r="DN170" s="204"/>
      <c r="DO170" s="208">
        <f t="shared" si="413"/>
        <v>1.5</v>
      </c>
      <c r="DP170" s="203"/>
      <c r="DQ170" s="205">
        <v>0.3</v>
      </c>
      <c r="DR170" s="205"/>
      <c r="DS170" s="205">
        <v>0.3</v>
      </c>
      <c r="DT170" s="204">
        <v>1</v>
      </c>
      <c r="DU170" s="245">
        <f t="shared" si="414"/>
        <v>1.6</v>
      </c>
      <c r="DV170" s="203"/>
      <c r="DW170" s="205">
        <v>0.3</v>
      </c>
      <c r="DX170" s="205"/>
      <c r="DY170" s="205"/>
      <c r="DZ170" s="204">
        <v>1.5</v>
      </c>
      <c r="EA170" s="208">
        <f t="shared" si="415"/>
        <v>1.8</v>
      </c>
      <c r="EB170" s="208">
        <f t="shared" si="416"/>
        <v>6.5</v>
      </c>
      <c r="EC170" s="203"/>
      <c r="ED170" s="205"/>
      <c r="EE170" s="205"/>
      <c r="EF170" s="205"/>
      <c r="EG170" s="204"/>
      <c r="EH170" s="208">
        <f t="shared" si="417"/>
        <v>0</v>
      </c>
      <c r="EI170" s="203"/>
      <c r="EJ170" s="205"/>
      <c r="EK170" s="205"/>
      <c r="EL170" s="205"/>
      <c r="EM170" s="204"/>
      <c r="EN170" s="208">
        <f t="shared" si="418"/>
        <v>0</v>
      </c>
      <c r="EO170" s="203"/>
      <c r="EP170" s="205"/>
      <c r="EQ170" s="205">
        <v>0.8</v>
      </c>
      <c r="ER170" s="205"/>
      <c r="ES170" s="204"/>
      <c r="ET170" s="308">
        <f t="shared" si="419"/>
        <v>0.8</v>
      </c>
      <c r="EU170" s="203"/>
      <c r="EV170" s="205"/>
      <c r="EW170" s="205"/>
      <c r="EX170" s="205"/>
      <c r="EY170" s="205"/>
      <c r="EZ170" s="205"/>
      <c r="FA170" s="204"/>
      <c r="FB170" s="208">
        <f t="shared" si="420"/>
        <v>0</v>
      </c>
      <c r="FC170" s="208">
        <f t="shared" si="421"/>
        <v>0.8</v>
      </c>
      <c r="FD170" s="203"/>
      <c r="FE170" s="205"/>
      <c r="FF170" s="204">
        <v>0.3</v>
      </c>
      <c r="FG170" s="208">
        <f t="shared" si="422"/>
        <v>0.3</v>
      </c>
      <c r="FH170" s="203"/>
      <c r="FI170" s="205"/>
      <c r="FJ170" s="205"/>
      <c r="FK170" s="205"/>
      <c r="FL170" s="204"/>
      <c r="FM170" s="208">
        <f t="shared" si="423"/>
        <v>0</v>
      </c>
      <c r="FN170" s="203">
        <v>1</v>
      </c>
      <c r="FO170" s="205">
        <v>0.5</v>
      </c>
      <c r="FP170" s="205"/>
      <c r="FQ170" s="205"/>
      <c r="FR170" s="208">
        <f t="shared" si="393"/>
        <v>1.5</v>
      </c>
      <c r="FS170" s="203">
        <v>0.6</v>
      </c>
      <c r="FT170" s="205"/>
      <c r="FU170" s="205"/>
      <c r="FV170" s="205"/>
      <c r="FW170" s="204"/>
      <c r="FX170" s="208">
        <f t="shared" si="424"/>
        <v>0.6</v>
      </c>
      <c r="FY170" s="203"/>
      <c r="FZ170" s="205"/>
      <c r="GA170" s="205"/>
      <c r="GB170" s="205">
        <v>0.5</v>
      </c>
      <c r="GC170" s="204"/>
      <c r="GD170" s="208">
        <f t="shared" si="425"/>
        <v>0.5</v>
      </c>
      <c r="GE170" s="208">
        <f t="shared" si="394"/>
        <v>2.9</v>
      </c>
      <c r="GF170" s="203">
        <v>1.5</v>
      </c>
      <c r="GG170" s="205">
        <v>0.5</v>
      </c>
      <c r="GH170" s="205"/>
      <c r="GI170" s="205"/>
      <c r="GJ170" s="205"/>
      <c r="GK170" s="208">
        <f t="shared" si="426"/>
        <v>2</v>
      </c>
      <c r="GL170" s="203"/>
      <c r="GM170" s="205"/>
      <c r="GN170" s="205"/>
      <c r="GO170" s="204">
        <v>0.5</v>
      </c>
      <c r="GP170" s="208">
        <f t="shared" si="427"/>
        <v>0.5</v>
      </c>
      <c r="GQ170" s="203"/>
      <c r="GR170" s="205"/>
      <c r="GS170" s="205">
        <v>1</v>
      </c>
      <c r="GT170" s="205"/>
      <c r="GU170" s="204"/>
      <c r="GV170" s="208">
        <f t="shared" si="428"/>
        <v>1</v>
      </c>
      <c r="GW170" s="203"/>
      <c r="GX170" s="205"/>
      <c r="GY170" s="205"/>
      <c r="GZ170" s="205"/>
      <c r="HA170" s="205"/>
      <c r="HB170" s="204">
        <v>1</v>
      </c>
      <c r="HC170" s="208">
        <f t="shared" si="429"/>
        <v>1</v>
      </c>
      <c r="HD170" s="208">
        <f t="shared" si="430"/>
        <v>4.5</v>
      </c>
      <c r="HE170" s="203"/>
      <c r="HF170" s="205">
        <v>0.8</v>
      </c>
      <c r="HG170" s="205"/>
      <c r="HH170" s="205"/>
      <c r="HI170" s="208">
        <f t="shared" si="436"/>
        <v>0.8</v>
      </c>
      <c r="HJ170" s="203"/>
      <c r="HK170" s="205"/>
      <c r="HL170" s="205"/>
      <c r="HM170" s="205"/>
      <c r="HN170" s="204">
        <v>0.3</v>
      </c>
      <c r="HO170" s="245">
        <f t="shared" si="437"/>
        <v>0.3</v>
      </c>
      <c r="HP170" s="203"/>
      <c r="HQ170" s="205"/>
      <c r="HR170" s="205"/>
      <c r="HS170" s="205">
        <v>1.5</v>
      </c>
      <c r="HT170" s="204"/>
      <c r="HU170" s="208">
        <f t="shared" si="438"/>
        <v>1.5</v>
      </c>
      <c r="HV170" s="203"/>
      <c r="HW170" s="205">
        <v>0.5</v>
      </c>
      <c r="HX170" s="205"/>
      <c r="HY170" s="208">
        <f t="shared" si="395"/>
        <v>0.5</v>
      </c>
      <c r="HZ170" s="203"/>
      <c r="IA170" s="205"/>
      <c r="IB170" s="204"/>
      <c r="IC170" s="208">
        <f t="shared" si="439"/>
        <v>0</v>
      </c>
      <c r="ID170" s="208">
        <f t="shared" si="396"/>
        <v>3.0999999999999996</v>
      </c>
      <c r="IE170" s="203"/>
      <c r="IF170" s="204">
        <v>0.8</v>
      </c>
      <c r="IG170" s="208">
        <f t="shared" si="440"/>
        <v>0.8</v>
      </c>
      <c r="IH170" s="203"/>
      <c r="II170" s="205"/>
      <c r="IJ170" s="205"/>
      <c r="IK170" s="205"/>
      <c r="IL170" s="204">
        <v>0.5</v>
      </c>
      <c r="IM170" s="208">
        <f t="shared" si="441"/>
        <v>0.5</v>
      </c>
      <c r="IN170" s="203"/>
      <c r="IO170" s="205"/>
      <c r="IP170" s="204">
        <v>0.5</v>
      </c>
      <c r="IQ170" s="208">
        <f t="shared" si="442"/>
        <v>0.5</v>
      </c>
      <c r="IR170" s="203">
        <v>0.5</v>
      </c>
      <c r="IS170" s="205">
        <v>1</v>
      </c>
      <c r="IT170" s="205"/>
      <c r="IU170" s="205"/>
      <c r="IV170" s="204"/>
      <c r="IW170" s="208">
        <f t="shared" si="443"/>
        <v>1.5</v>
      </c>
      <c r="IX170" s="203"/>
      <c r="IY170" s="205"/>
      <c r="IZ170" s="205"/>
      <c r="JA170" s="205"/>
      <c r="JB170" s="204"/>
      <c r="JC170" s="208">
        <f t="shared" si="444"/>
        <v>0</v>
      </c>
      <c r="JD170" s="208">
        <f t="shared" si="431"/>
        <v>3.3</v>
      </c>
      <c r="JE170" s="203">
        <v>0.5</v>
      </c>
      <c r="JF170" s="205"/>
      <c r="JG170" s="205"/>
      <c r="JH170" s="205"/>
      <c r="JI170" s="204">
        <v>3.5</v>
      </c>
      <c r="JJ170" s="208">
        <f t="shared" si="445"/>
        <v>4</v>
      </c>
      <c r="JK170" s="203"/>
      <c r="JL170" s="205"/>
      <c r="JM170" s="205"/>
      <c r="JN170" s="205"/>
      <c r="JO170" s="204"/>
      <c r="JP170" s="208">
        <f t="shared" si="446"/>
        <v>0</v>
      </c>
      <c r="JQ170" s="203"/>
      <c r="JR170" s="205"/>
      <c r="JS170" s="205"/>
      <c r="JT170" s="205"/>
      <c r="JU170" s="204"/>
      <c r="JV170" s="208">
        <f t="shared" si="447"/>
        <v>0</v>
      </c>
      <c r="JW170" s="203"/>
      <c r="JX170" s="205"/>
      <c r="JY170" s="205"/>
      <c r="JZ170" s="205"/>
      <c r="KA170" s="205"/>
      <c r="KB170" s="204"/>
      <c r="KC170" s="208">
        <f t="shared" si="448"/>
        <v>0</v>
      </c>
      <c r="KD170" s="208">
        <v>2500</v>
      </c>
      <c r="KE170" s="203"/>
      <c r="KF170" s="205"/>
      <c r="KG170" s="205"/>
      <c r="KH170" s="205"/>
      <c r="KI170" s="204"/>
      <c r="KJ170" s="208">
        <f t="shared" si="450"/>
        <v>0</v>
      </c>
      <c r="KK170" s="203"/>
      <c r="KL170" s="205"/>
      <c r="KM170" s="205"/>
      <c r="KN170" s="205"/>
      <c r="KO170" s="204"/>
      <c r="KP170" s="208">
        <f t="shared" si="451"/>
        <v>0</v>
      </c>
      <c r="KQ170" s="203"/>
      <c r="KR170" s="205"/>
      <c r="KS170" s="205"/>
      <c r="KT170" s="205"/>
      <c r="KU170" s="204"/>
      <c r="KV170" s="208">
        <f t="shared" si="452"/>
        <v>0</v>
      </c>
      <c r="KW170" s="203"/>
      <c r="KX170" s="205"/>
      <c r="KY170" s="205"/>
      <c r="KZ170" s="205"/>
      <c r="LA170" s="204"/>
      <c r="LB170" s="208">
        <f t="shared" si="453"/>
        <v>0</v>
      </c>
      <c r="LC170" s="202"/>
      <c r="LD170" s="244"/>
      <c r="LE170" s="245"/>
      <c r="LF170" s="208">
        <f t="shared" si="454"/>
        <v>0</v>
      </c>
      <c r="LG170" s="208">
        <v>2500</v>
      </c>
    </row>
    <row r="171" spans="2:322" s="91" customFormat="1">
      <c r="B171" s="167" t="s">
        <v>390</v>
      </c>
      <c r="C171" s="167"/>
      <c r="D171" s="202">
        <f t="shared" si="457"/>
        <v>0</v>
      </c>
      <c r="E171" s="167"/>
      <c r="F171" s="177"/>
      <c r="G171" s="177"/>
      <c r="H171" s="177"/>
      <c r="I171" s="178"/>
      <c r="J171" s="202">
        <f t="shared" si="458"/>
        <v>0</v>
      </c>
      <c r="K171" s="167"/>
      <c r="L171" s="177"/>
      <c r="M171" s="177"/>
      <c r="N171" s="178"/>
      <c r="O171" s="202">
        <f t="shared" ref="O171:O182" si="462">SUM(K171:N171)</f>
        <v>0</v>
      </c>
      <c r="P171" s="167"/>
      <c r="Q171" s="177"/>
      <c r="R171" s="177"/>
      <c r="S171" s="177"/>
      <c r="T171" s="178"/>
      <c r="U171" s="202">
        <f t="shared" si="459"/>
        <v>0</v>
      </c>
      <c r="V171" s="167"/>
      <c r="W171" s="177"/>
      <c r="X171" s="177"/>
      <c r="Y171" s="177"/>
      <c r="Z171" s="177"/>
      <c r="AA171" s="208">
        <f t="shared" si="460"/>
        <v>0</v>
      </c>
      <c r="AB171" s="208">
        <f t="shared" si="461"/>
        <v>0</v>
      </c>
      <c r="AC171" s="203"/>
      <c r="AD171" s="205"/>
      <c r="AE171" s="205"/>
      <c r="AF171" s="205"/>
      <c r="AG171" s="204"/>
      <c r="AH171" s="208">
        <f t="shared" si="399"/>
        <v>0</v>
      </c>
      <c r="AI171" s="203"/>
      <c r="AJ171" s="205"/>
      <c r="AK171" s="205"/>
      <c r="AL171" s="205"/>
      <c r="AM171" s="204"/>
      <c r="AN171" s="208">
        <f t="shared" si="400"/>
        <v>0</v>
      </c>
      <c r="AO171" s="203"/>
      <c r="AP171" s="205">
        <v>25</v>
      </c>
      <c r="AQ171" s="205"/>
      <c r="AR171" s="205"/>
      <c r="AS171" s="204"/>
      <c r="AT171" s="208">
        <f t="shared" si="401"/>
        <v>25</v>
      </c>
      <c r="AU171" s="203"/>
      <c r="AV171" s="205"/>
      <c r="AW171" s="205"/>
      <c r="AX171" s="205"/>
      <c r="AY171" s="204"/>
      <c r="AZ171" s="208">
        <f t="shared" si="402"/>
        <v>0</v>
      </c>
      <c r="BA171" s="208">
        <f t="shared" si="435"/>
        <v>25</v>
      </c>
      <c r="BB171" s="203">
        <v>18.2</v>
      </c>
      <c r="BC171" s="205"/>
      <c r="BD171" s="205"/>
      <c r="BE171" s="205"/>
      <c r="BF171" s="204"/>
      <c r="BG171" s="208">
        <f t="shared" si="403"/>
        <v>18.2</v>
      </c>
      <c r="BH171" s="203"/>
      <c r="BI171" s="205"/>
      <c r="BJ171" s="205"/>
      <c r="BK171" s="205"/>
      <c r="BL171" s="204"/>
      <c r="BM171" s="208">
        <f t="shared" si="404"/>
        <v>0</v>
      </c>
      <c r="BN171" s="203"/>
      <c r="BO171" s="205"/>
      <c r="BP171" s="205"/>
      <c r="BQ171" s="204"/>
      <c r="BR171" s="208">
        <f t="shared" si="405"/>
        <v>0</v>
      </c>
      <c r="BS171" s="203"/>
      <c r="BT171" s="205"/>
      <c r="BU171" s="205"/>
      <c r="BV171" s="205"/>
      <c r="BW171" s="204"/>
      <c r="BX171" s="208">
        <f t="shared" si="390"/>
        <v>0</v>
      </c>
      <c r="BY171" s="203"/>
      <c r="BZ171" s="205"/>
      <c r="CA171" s="208">
        <f t="shared" si="406"/>
        <v>0</v>
      </c>
      <c r="CB171" s="208">
        <f t="shared" si="407"/>
        <v>18.2</v>
      </c>
      <c r="CC171" s="203"/>
      <c r="CD171" s="205">
        <v>17.774000000000001</v>
      </c>
      <c r="CE171" s="205"/>
      <c r="CF171" s="208">
        <f t="shared" si="408"/>
        <v>17.774000000000001</v>
      </c>
      <c r="CG171" s="203"/>
      <c r="CH171" s="205"/>
      <c r="CI171" s="205"/>
      <c r="CJ171" s="204"/>
      <c r="CK171" s="208">
        <f t="shared" si="391"/>
        <v>0</v>
      </c>
      <c r="CL171" s="203"/>
      <c r="CM171" s="205"/>
      <c r="CN171" s="205"/>
      <c r="CO171" s="205"/>
      <c r="CP171" s="204"/>
      <c r="CQ171" s="208">
        <f t="shared" si="409"/>
        <v>0</v>
      </c>
      <c r="CR171" s="203"/>
      <c r="CS171" s="205"/>
      <c r="CT171" s="205"/>
      <c r="CU171" s="205"/>
      <c r="CV171" s="204"/>
      <c r="CW171" s="208">
        <f t="shared" si="392"/>
        <v>0</v>
      </c>
      <c r="CX171" s="203"/>
      <c r="CY171" s="205"/>
      <c r="CZ171" s="205"/>
      <c r="DA171" s="204"/>
      <c r="DB171" s="208">
        <f t="shared" si="410"/>
        <v>0</v>
      </c>
      <c r="DC171" s="208">
        <f t="shared" si="411"/>
        <v>17.774000000000001</v>
      </c>
      <c r="DD171" s="203">
        <v>17.506</v>
      </c>
      <c r="DE171" s="205"/>
      <c r="DF171" s="205"/>
      <c r="DG171" s="205"/>
      <c r="DH171" s="205"/>
      <c r="DI171" s="208">
        <f t="shared" si="412"/>
        <v>17.506</v>
      </c>
      <c r="DJ171" s="203"/>
      <c r="DK171" s="205"/>
      <c r="DL171" s="205"/>
      <c r="DM171" s="205"/>
      <c r="DN171" s="204"/>
      <c r="DO171" s="208">
        <f t="shared" si="413"/>
        <v>0</v>
      </c>
      <c r="DP171" s="203"/>
      <c r="DQ171" s="205"/>
      <c r="DR171" s="205"/>
      <c r="DS171" s="205"/>
      <c r="DT171" s="204"/>
      <c r="DU171" s="245">
        <f t="shared" si="414"/>
        <v>0</v>
      </c>
      <c r="DV171" s="203"/>
      <c r="DW171" s="205"/>
      <c r="DX171" s="205"/>
      <c r="DY171" s="205"/>
      <c r="DZ171" s="204"/>
      <c r="EA171" s="208">
        <f t="shared" si="415"/>
        <v>0</v>
      </c>
      <c r="EB171" s="208">
        <f t="shared" si="416"/>
        <v>17.506</v>
      </c>
      <c r="EC171" s="203"/>
      <c r="ED171" s="205"/>
      <c r="EE171" s="205"/>
      <c r="EF171" s="205"/>
      <c r="EG171" s="204"/>
      <c r="EH171" s="208">
        <f t="shared" si="417"/>
        <v>0</v>
      </c>
      <c r="EI171" s="203"/>
      <c r="EJ171" s="205"/>
      <c r="EK171" s="205"/>
      <c r="EL171" s="205"/>
      <c r="EM171" s="204"/>
      <c r="EN171" s="208">
        <f t="shared" si="418"/>
        <v>0</v>
      </c>
      <c r="EO171" s="203"/>
      <c r="EP171" s="205"/>
      <c r="EQ171" s="205"/>
      <c r="ER171" s="205"/>
      <c r="ES171" s="204"/>
      <c r="ET171" s="308">
        <f t="shared" si="419"/>
        <v>0</v>
      </c>
      <c r="EU171" s="203"/>
      <c r="EV171" s="205"/>
      <c r="EW171" s="205"/>
      <c r="EX171" s="205"/>
      <c r="EY171" s="205"/>
      <c r="EZ171" s="205"/>
      <c r="FA171" s="204"/>
      <c r="FB171" s="208">
        <f t="shared" si="420"/>
        <v>0</v>
      </c>
      <c r="FC171" s="208">
        <f t="shared" si="421"/>
        <v>0</v>
      </c>
      <c r="FD171" s="203"/>
      <c r="FE171" s="205"/>
      <c r="FF171" s="204"/>
      <c r="FG171" s="208">
        <f t="shared" si="422"/>
        <v>0</v>
      </c>
      <c r="FH171" s="203"/>
      <c r="FI171" s="205"/>
      <c r="FJ171" s="205"/>
      <c r="FK171" s="205"/>
      <c r="FL171" s="204"/>
      <c r="FM171" s="208">
        <f t="shared" si="423"/>
        <v>0</v>
      </c>
      <c r="FN171" s="203"/>
      <c r="FO171" s="205"/>
      <c r="FP171" s="205"/>
      <c r="FQ171" s="205"/>
      <c r="FR171" s="208">
        <f t="shared" si="393"/>
        <v>0</v>
      </c>
      <c r="FS171" s="203"/>
      <c r="FT171" s="205"/>
      <c r="FU171" s="205"/>
      <c r="FV171" s="205"/>
      <c r="FW171" s="204"/>
      <c r="FX171" s="208">
        <f t="shared" si="424"/>
        <v>0</v>
      </c>
      <c r="FY171" s="203"/>
      <c r="FZ171" s="205"/>
      <c r="GA171" s="205"/>
      <c r="GB171" s="205"/>
      <c r="GC171" s="204"/>
      <c r="GD171" s="208">
        <f t="shared" si="425"/>
        <v>0</v>
      </c>
      <c r="GE171" s="208">
        <f t="shared" si="394"/>
        <v>0</v>
      </c>
      <c r="GF171" s="203"/>
      <c r="GG171" s="205"/>
      <c r="GH171" s="205"/>
      <c r="GI171" s="205"/>
      <c r="GJ171" s="205"/>
      <c r="GK171" s="208">
        <f t="shared" si="426"/>
        <v>0</v>
      </c>
      <c r="GL171" s="203"/>
      <c r="GM171" s="205"/>
      <c r="GN171" s="205"/>
      <c r="GO171" s="204"/>
      <c r="GP171" s="208">
        <f t="shared" si="427"/>
        <v>0</v>
      </c>
      <c r="GQ171" s="203"/>
      <c r="GR171" s="205"/>
      <c r="GS171" s="205"/>
      <c r="GT171" s="205"/>
      <c r="GU171" s="204"/>
      <c r="GV171" s="208">
        <f t="shared" si="428"/>
        <v>0</v>
      </c>
      <c r="GW171" s="203"/>
      <c r="GX171" s="205"/>
      <c r="GY171" s="205"/>
      <c r="GZ171" s="205"/>
      <c r="HA171" s="205"/>
      <c r="HB171" s="204"/>
      <c r="HC171" s="208">
        <f t="shared" si="429"/>
        <v>0</v>
      </c>
      <c r="HD171" s="208">
        <f t="shared" si="430"/>
        <v>0</v>
      </c>
      <c r="HE171" s="203"/>
      <c r="HF171" s="205"/>
      <c r="HG171" s="205"/>
      <c r="HH171" s="205"/>
      <c r="HI171" s="208">
        <f t="shared" si="436"/>
        <v>0</v>
      </c>
      <c r="HJ171" s="203"/>
      <c r="HK171" s="205"/>
      <c r="HL171" s="205"/>
      <c r="HM171" s="205"/>
      <c r="HN171" s="204"/>
      <c r="HO171" s="245">
        <f t="shared" si="437"/>
        <v>0</v>
      </c>
      <c r="HP171" s="203"/>
      <c r="HQ171" s="205"/>
      <c r="HR171" s="205"/>
      <c r="HS171" s="205"/>
      <c r="HT171" s="204"/>
      <c r="HU171" s="208">
        <f t="shared" si="438"/>
        <v>0</v>
      </c>
      <c r="HV171" s="203"/>
      <c r="HW171" s="205"/>
      <c r="HX171" s="205"/>
      <c r="HY171" s="208">
        <f t="shared" si="395"/>
        <v>0</v>
      </c>
      <c r="HZ171" s="203"/>
      <c r="IA171" s="205"/>
      <c r="IB171" s="204"/>
      <c r="IC171" s="208">
        <f t="shared" si="439"/>
        <v>0</v>
      </c>
      <c r="ID171" s="208">
        <f t="shared" si="396"/>
        <v>0</v>
      </c>
      <c r="IE171" s="203"/>
      <c r="IF171" s="204"/>
      <c r="IG171" s="208">
        <f t="shared" si="440"/>
        <v>0</v>
      </c>
      <c r="IH171" s="203"/>
      <c r="II171" s="205"/>
      <c r="IJ171" s="205"/>
      <c r="IK171" s="205"/>
      <c r="IL171" s="204"/>
      <c r="IM171" s="208">
        <f t="shared" si="441"/>
        <v>0</v>
      </c>
      <c r="IN171" s="203"/>
      <c r="IO171" s="205"/>
      <c r="IP171" s="204"/>
      <c r="IQ171" s="208">
        <f t="shared" si="442"/>
        <v>0</v>
      </c>
      <c r="IR171" s="203"/>
      <c r="IS171" s="205"/>
      <c r="IT171" s="205"/>
      <c r="IU171" s="205"/>
      <c r="IV171" s="204"/>
      <c r="IW171" s="208">
        <f t="shared" si="443"/>
        <v>0</v>
      </c>
      <c r="IX171" s="203"/>
      <c r="IY171" s="205"/>
      <c r="IZ171" s="205"/>
      <c r="JA171" s="205"/>
      <c r="JB171" s="204"/>
      <c r="JC171" s="208">
        <f t="shared" si="444"/>
        <v>0</v>
      </c>
      <c r="JD171" s="208">
        <f t="shared" si="431"/>
        <v>0</v>
      </c>
      <c r="JE171" s="203"/>
      <c r="JF171" s="205"/>
      <c r="JG171" s="205"/>
      <c r="JH171" s="205"/>
      <c r="JI171" s="204"/>
      <c r="JJ171" s="208">
        <f t="shared" si="445"/>
        <v>0</v>
      </c>
      <c r="JK171" s="203"/>
      <c r="JL171" s="205"/>
      <c r="JM171" s="205"/>
      <c r="JN171" s="205"/>
      <c r="JO171" s="204"/>
      <c r="JP171" s="208">
        <f t="shared" si="446"/>
        <v>0</v>
      </c>
      <c r="JQ171" s="203"/>
      <c r="JR171" s="205"/>
      <c r="JS171" s="205"/>
      <c r="JT171" s="205"/>
      <c r="JU171" s="204"/>
      <c r="JV171" s="208">
        <f t="shared" si="447"/>
        <v>0</v>
      </c>
      <c r="JW171" s="203"/>
      <c r="JX171" s="205"/>
      <c r="JY171" s="205"/>
      <c r="JZ171" s="205"/>
      <c r="KA171" s="205"/>
      <c r="KB171" s="204"/>
      <c r="KC171" s="208">
        <f t="shared" si="448"/>
        <v>0</v>
      </c>
      <c r="KD171" s="208">
        <f t="shared" si="449"/>
        <v>0</v>
      </c>
      <c r="KE171" s="203"/>
      <c r="KF171" s="205"/>
      <c r="KG171" s="205"/>
      <c r="KH171" s="205"/>
      <c r="KI171" s="204"/>
      <c r="KJ171" s="208">
        <f t="shared" si="450"/>
        <v>0</v>
      </c>
      <c r="KK171" s="203"/>
      <c r="KL171" s="205"/>
      <c r="KM171" s="205"/>
      <c r="KN171" s="205"/>
      <c r="KO171" s="204"/>
      <c r="KP171" s="208">
        <f t="shared" si="451"/>
        <v>0</v>
      </c>
      <c r="KQ171" s="203"/>
      <c r="KR171" s="205"/>
      <c r="KS171" s="205"/>
      <c r="KT171" s="205"/>
      <c r="KU171" s="204"/>
      <c r="KV171" s="208">
        <f t="shared" si="452"/>
        <v>0</v>
      </c>
      <c r="KW171" s="203"/>
      <c r="KX171" s="205"/>
      <c r="KY171" s="205"/>
      <c r="KZ171" s="205"/>
      <c r="LA171" s="204"/>
      <c r="LB171" s="208">
        <f t="shared" si="453"/>
        <v>0</v>
      </c>
      <c r="LC171" s="202"/>
      <c r="LD171" s="244"/>
      <c r="LE171" s="245"/>
      <c r="LF171" s="208">
        <f t="shared" si="454"/>
        <v>0</v>
      </c>
      <c r="LG171" s="208">
        <f t="shared" si="455"/>
        <v>0</v>
      </c>
    </row>
    <row r="172" spans="2:322" s="91" customFormat="1">
      <c r="B172" s="167" t="s">
        <v>391</v>
      </c>
      <c r="C172" s="167">
        <v>1155.17</v>
      </c>
      <c r="D172" s="202">
        <f t="shared" si="457"/>
        <v>1155.17</v>
      </c>
      <c r="E172" s="167"/>
      <c r="F172" s="177"/>
      <c r="G172" s="177"/>
      <c r="H172" s="177"/>
      <c r="I172" s="178"/>
      <c r="J172" s="202">
        <f t="shared" si="458"/>
        <v>0</v>
      </c>
      <c r="K172" s="167"/>
      <c r="L172" s="177"/>
      <c r="M172" s="177"/>
      <c r="N172" s="178"/>
      <c r="O172" s="202">
        <f t="shared" si="462"/>
        <v>0</v>
      </c>
      <c r="P172" s="167"/>
      <c r="Q172" s="177"/>
      <c r="R172" s="177"/>
      <c r="S172" s="177"/>
      <c r="T172" s="178"/>
      <c r="U172" s="202">
        <f t="shared" si="459"/>
        <v>0</v>
      </c>
      <c r="V172" s="167"/>
      <c r="W172" s="177"/>
      <c r="X172" s="177"/>
      <c r="Y172" s="177"/>
      <c r="Z172" s="177"/>
      <c r="AA172" s="208">
        <f t="shared" si="460"/>
        <v>0</v>
      </c>
      <c r="AB172" s="208">
        <f t="shared" si="461"/>
        <v>1155.17</v>
      </c>
      <c r="AC172" s="203">
        <v>1155.17</v>
      </c>
      <c r="AD172" s="205"/>
      <c r="AE172" s="205"/>
      <c r="AF172" s="205"/>
      <c r="AG172" s="204"/>
      <c r="AH172" s="208">
        <f t="shared" si="399"/>
        <v>1155.17</v>
      </c>
      <c r="AI172" s="203"/>
      <c r="AJ172" s="205"/>
      <c r="AK172" s="205"/>
      <c r="AL172" s="205"/>
      <c r="AM172" s="204"/>
      <c r="AN172" s="208">
        <f t="shared" si="400"/>
        <v>0</v>
      </c>
      <c r="AO172" s="203"/>
      <c r="AP172" s="205"/>
      <c r="AQ172" s="205"/>
      <c r="AR172" s="205"/>
      <c r="AS172" s="204"/>
      <c r="AT172" s="208">
        <f t="shared" si="401"/>
        <v>0</v>
      </c>
      <c r="AU172" s="203"/>
      <c r="AV172" s="205"/>
      <c r="AW172" s="205"/>
      <c r="AX172" s="205"/>
      <c r="AY172" s="204"/>
      <c r="AZ172" s="208">
        <f t="shared" si="402"/>
        <v>0</v>
      </c>
      <c r="BA172" s="208">
        <f t="shared" si="435"/>
        <v>1155.17</v>
      </c>
      <c r="BB172" s="203">
        <v>1155.17</v>
      </c>
      <c r="BC172" s="205"/>
      <c r="BD172" s="205"/>
      <c r="BE172" s="205"/>
      <c r="BF172" s="204"/>
      <c r="BG172" s="208">
        <f t="shared" si="403"/>
        <v>1155.17</v>
      </c>
      <c r="BH172" s="203"/>
      <c r="BI172" s="205"/>
      <c r="BJ172" s="205"/>
      <c r="BK172" s="205"/>
      <c r="BL172" s="204"/>
      <c r="BM172" s="208">
        <f t="shared" si="404"/>
        <v>0</v>
      </c>
      <c r="BN172" s="203"/>
      <c r="BO172" s="205"/>
      <c r="BP172" s="205"/>
      <c r="BQ172" s="204"/>
      <c r="BR172" s="208">
        <f t="shared" si="405"/>
        <v>0</v>
      </c>
      <c r="BS172" s="203"/>
      <c r="BT172" s="205"/>
      <c r="BU172" s="205"/>
      <c r="BV172" s="205"/>
      <c r="BW172" s="204"/>
      <c r="BX172" s="208">
        <f t="shared" si="390"/>
        <v>0</v>
      </c>
      <c r="BY172" s="203"/>
      <c r="BZ172" s="205"/>
      <c r="CA172" s="208">
        <f t="shared" si="406"/>
        <v>0</v>
      </c>
      <c r="CB172" s="208">
        <f t="shared" si="407"/>
        <v>1155.17</v>
      </c>
      <c r="CC172" s="203"/>
      <c r="CD172" s="205">
        <v>1155.17</v>
      </c>
      <c r="CE172" s="205"/>
      <c r="CF172" s="208">
        <f t="shared" si="408"/>
        <v>1155.17</v>
      </c>
      <c r="CG172" s="203"/>
      <c r="CH172" s="205"/>
      <c r="CI172" s="205"/>
      <c r="CJ172" s="204"/>
      <c r="CK172" s="208">
        <f t="shared" si="391"/>
        <v>0</v>
      </c>
      <c r="CL172" s="203"/>
      <c r="CM172" s="205"/>
      <c r="CN172" s="205"/>
      <c r="CO172" s="205"/>
      <c r="CP172" s="204"/>
      <c r="CQ172" s="208">
        <f t="shared" si="409"/>
        <v>0</v>
      </c>
      <c r="CR172" s="203"/>
      <c r="CS172" s="205"/>
      <c r="CT172" s="205"/>
      <c r="CU172" s="205"/>
      <c r="CV172" s="204"/>
      <c r="CW172" s="208">
        <f t="shared" si="392"/>
        <v>0</v>
      </c>
      <c r="CX172" s="203"/>
      <c r="CY172" s="205"/>
      <c r="CZ172" s="205"/>
      <c r="DA172" s="204"/>
      <c r="DB172" s="208">
        <f t="shared" si="410"/>
        <v>0</v>
      </c>
      <c r="DC172" s="208">
        <f t="shared" si="411"/>
        <v>1155.17</v>
      </c>
      <c r="DD172" s="203">
        <v>1145.17</v>
      </c>
      <c r="DE172" s="205"/>
      <c r="DF172" s="205"/>
      <c r="DG172" s="205"/>
      <c r="DH172" s="205"/>
      <c r="DI172" s="208">
        <f t="shared" si="412"/>
        <v>1145.17</v>
      </c>
      <c r="DJ172" s="203"/>
      <c r="DK172" s="205"/>
      <c r="DL172" s="205"/>
      <c r="DM172" s="205"/>
      <c r="DN172" s="204"/>
      <c r="DO172" s="208">
        <f t="shared" si="413"/>
        <v>0</v>
      </c>
      <c r="DP172" s="203"/>
      <c r="DQ172" s="205"/>
      <c r="DR172" s="205"/>
      <c r="DS172" s="205"/>
      <c r="DT172" s="204"/>
      <c r="DU172" s="245">
        <f t="shared" si="414"/>
        <v>0</v>
      </c>
      <c r="DV172" s="203"/>
      <c r="DW172" s="205"/>
      <c r="DX172" s="205"/>
      <c r="DY172" s="205"/>
      <c r="DZ172" s="204"/>
      <c r="EA172" s="208">
        <f t="shared" si="415"/>
        <v>0</v>
      </c>
      <c r="EB172" s="208">
        <f t="shared" si="416"/>
        <v>1145.17</v>
      </c>
      <c r="EC172" s="203">
        <v>1145.17</v>
      </c>
      <c r="ED172" s="205"/>
      <c r="EE172" s="205">
        <v>0.3</v>
      </c>
      <c r="EF172" s="205"/>
      <c r="EG172" s="204">
        <v>0.3</v>
      </c>
      <c r="EH172" s="208">
        <f t="shared" si="417"/>
        <v>1145.77</v>
      </c>
      <c r="EI172" s="203"/>
      <c r="EJ172" s="205"/>
      <c r="EK172" s="205"/>
      <c r="EL172" s="205"/>
      <c r="EM172" s="204"/>
      <c r="EN172" s="208">
        <f t="shared" si="418"/>
        <v>0</v>
      </c>
      <c r="EO172" s="203"/>
      <c r="EP172" s="205"/>
      <c r="EQ172" s="205"/>
      <c r="ER172" s="205"/>
      <c r="ES172" s="204"/>
      <c r="ET172" s="308">
        <f t="shared" si="419"/>
        <v>0</v>
      </c>
      <c r="EU172" s="203"/>
      <c r="EV172" s="205"/>
      <c r="EW172" s="205"/>
      <c r="EX172" s="205"/>
      <c r="EY172" s="205"/>
      <c r="EZ172" s="205"/>
      <c r="FA172" s="204"/>
      <c r="FB172" s="208">
        <f t="shared" si="420"/>
        <v>0</v>
      </c>
      <c r="FC172" s="208">
        <f t="shared" si="421"/>
        <v>1145.77</v>
      </c>
      <c r="FD172" s="203">
        <v>467.17</v>
      </c>
      <c r="FE172" s="205"/>
      <c r="FF172" s="204"/>
      <c r="FG172" s="208">
        <f t="shared" si="422"/>
        <v>467.17</v>
      </c>
      <c r="FH172" s="203"/>
      <c r="FI172" s="205"/>
      <c r="FJ172" s="205"/>
      <c r="FK172" s="205">
        <v>25</v>
      </c>
      <c r="FL172" s="204"/>
      <c r="FM172" s="208">
        <f t="shared" si="423"/>
        <v>25</v>
      </c>
      <c r="FN172" s="203"/>
      <c r="FO172" s="205"/>
      <c r="FP172" s="205"/>
      <c r="FQ172" s="205"/>
      <c r="FR172" s="208">
        <f t="shared" si="393"/>
        <v>0</v>
      </c>
      <c r="FS172" s="203"/>
      <c r="FT172" s="205"/>
      <c r="FU172" s="205"/>
      <c r="FV172" s="205"/>
      <c r="FW172" s="204"/>
      <c r="FX172" s="208">
        <f t="shared" si="424"/>
        <v>0</v>
      </c>
      <c r="FY172" s="203"/>
      <c r="FZ172" s="205"/>
      <c r="GA172" s="205"/>
      <c r="GB172" s="205"/>
      <c r="GC172" s="204"/>
      <c r="GD172" s="208">
        <f t="shared" si="425"/>
        <v>0</v>
      </c>
      <c r="GE172" s="208">
        <f t="shared" si="394"/>
        <v>492.17</v>
      </c>
      <c r="GF172" s="203"/>
      <c r="GG172" s="205">
        <v>487.09</v>
      </c>
      <c r="GH172" s="205"/>
      <c r="GI172" s="205"/>
      <c r="GJ172" s="205"/>
      <c r="GK172" s="208">
        <f t="shared" si="426"/>
        <v>487.09</v>
      </c>
      <c r="GL172" s="203"/>
      <c r="GM172" s="205"/>
      <c r="GN172" s="205"/>
      <c r="GO172" s="204"/>
      <c r="GP172" s="208">
        <f t="shared" si="427"/>
        <v>0</v>
      </c>
      <c r="GQ172" s="203"/>
      <c r="GR172" s="205"/>
      <c r="GS172" s="205"/>
      <c r="GT172" s="205"/>
      <c r="GU172" s="204"/>
      <c r="GV172" s="208">
        <f t="shared" si="428"/>
        <v>0</v>
      </c>
      <c r="GW172" s="203"/>
      <c r="GX172" s="205"/>
      <c r="GY172" s="205"/>
      <c r="GZ172" s="205"/>
      <c r="HA172" s="205"/>
      <c r="HB172" s="204"/>
      <c r="HC172" s="208">
        <f t="shared" si="429"/>
        <v>0</v>
      </c>
      <c r="HD172" s="208">
        <f t="shared" si="430"/>
        <v>487.09</v>
      </c>
      <c r="HE172" s="203">
        <v>487.09</v>
      </c>
      <c r="HF172" s="205"/>
      <c r="HG172" s="205"/>
      <c r="HH172" s="205"/>
      <c r="HI172" s="208">
        <f t="shared" si="436"/>
        <v>487.09</v>
      </c>
      <c r="HJ172" s="203"/>
      <c r="HK172" s="205"/>
      <c r="HL172" s="205"/>
      <c r="HM172" s="205"/>
      <c r="HN172" s="204"/>
      <c r="HO172" s="245">
        <f t="shared" si="437"/>
        <v>0</v>
      </c>
      <c r="HP172" s="203">
        <v>25</v>
      </c>
      <c r="HQ172" s="205"/>
      <c r="HR172" s="205"/>
      <c r="HS172" s="205"/>
      <c r="HT172" s="204"/>
      <c r="HU172" s="208">
        <f t="shared" si="438"/>
        <v>25</v>
      </c>
      <c r="HV172" s="203"/>
      <c r="HW172" s="205"/>
      <c r="HX172" s="205"/>
      <c r="HY172" s="208">
        <f t="shared" si="395"/>
        <v>0</v>
      </c>
      <c r="HZ172" s="203"/>
      <c r="IA172" s="205"/>
      <c r="IB172" s="204"/>
      <c r="IC172" s="208">
        <f t="shared" si="439"/>
        <v>0</v>
      </c>
      <c r="ID172" s="208">
        <f t="shared" si="396"/>
        <v>512.08999999999992</v>
      </c>
      <c r="IE172" s="203">
        <v>526.80999999999995</v>
      </c>
      <c r="IF172" s="204"/>
      <c r="IG172" s="208">
        <f t="shared" si="440"/>
        <v>526.80999999999995</v>
      </c>
      <c r="IH172" s="203"/>
      <c r="II172" s="205"/>
      <c r="IJ172" s="205"/>
      <c r="IK172" s="205"/>
      <c r="IL172" s="204"/>
      <c r="IM172" s="208">
        <f t="shared" si="441"/>
        <v>0</v>
      </c>
      <c r="IN172" s="203"/>
      <c r="IO172" s="205"/>
      <c r="IP172" s="204"/>
      <c r="IQ172" s="208">
        <f t="shared" si="442"/>
        <v>0</v>
      </c>
      <c r="IR172" s="203"/>
      <c r="IS172" s="205"/>
      <c r="IT172" s="205"/>
      <c r="IU172" s="205"/>
      <c r="IV172" s="204"/>
      <c r="IW172" s="208">
        <f t="shared" si="443"/>
        <v>0</v>
      </c>
      <c r="IX172" s="203"/>
      <c r="IY172" s="205"/>
      <c r="IZ172" s="205"/>
      <c r="JA172" s="205"/>
      <c r="JB172" s="204"/>
      <c r="JC172" s="208">
        <f t="shared" si="444"/>
        <v>0</v>
      </c>
      <c r="JD172" s="208">
        <f t="shared" si="431"/>
        <v>526.80999999999995</v>
      </c>
      <c r="JE172" s="203"/>
      <c r="JF172" s="205">
        <v>526.80999999999995</v>
      </c>
      <c r="JG172" s="205"/>
      <c r="JH172" s="205"/>
      <c r="JI172" s="204"/>
      <c r="JJ172" s="208">
        <f t="shared" si="445"/>
        <v>526.80999999999995</v>
      </c>
      <c r="JK172" s="203"/>
      <c r="JL172" s="205"/>
      <c r="JM172" s="205"/>
      <c r="JN172" s="205"/>
      <c r="JO172" s="204"/>
      <c r="JP172" s="208">
        <f t="shared" si="446"/>
        <v>0</v>
      </c>
      <c r="JQ172" s="203"/>
      <c r="JR172" s="205"/>
      <c r="JS172" s="205"/>
      <c r="JT172" s="205"/>
      <c r="JU172" s="204"/>
      <c r="JV172" s="208">
        <f t="shared" si="447"/>
        <v>0</v>
      </c>
      <c r="JW172" s="203"/>
      <c r="JX172" s="205"/>
      <c r="JY172" s="205"/>
      <c r="JZ172" s="205"/>
      <c r="KA172" s="205"/>
      <c r="KB172" s="204"/>
      <c r="KC172" s="208">
        <f t="shared" si="448"/>
        <v>0</v>
      </c>
      <c r="KD172" s="208">
        <f t="shared" si="449"/>
        <v>526.80999999999995</v>
      </c>
      <c r="KE172" s="203"/>
      <c r="KF172" s="205"/>
      <c r="KG172" s="205"/>
      <c r="KH172" s="205"/>
      <c r="KI172" s="204"/>
      <c r="KJ172" s="208">
        <f t="shared" si="450"/>
        <v>0</v>
      </c>
      <c r="KK172" s="203"/>
      <c r="KL172" s="205"/>
      <c r="KM172" s="205"/>
      <c r="KN172" s="205"/>
      <c r="KO172" s="204"/>
      <c r="KP172" s="208">
        <f t="shared" si="451"/>
        <v>0</v>
      </c>
      <c r="KQ172" s="203"/>
      <c r="KR172" s="205"/>
      <c r="KS172" s="205"/>
      <c r="KT172" s="205"/>
      <c r="KU172" s="204"/>
      <c r="KV172" s="208">
        <f t="shared" si="452"/>
        <v>0</v>
      </c>
      <c r="KW172" s="203"/>
      <c r="KX172" s="205"/>
      <c r="KY172" s="205"/>
      <c r="KZ172" s="205"/>
      <c r="LA172" s="204"/>
      <c r="LB172" s="208">
        <f t="shared" si="453"/>
        <v>0</v>
      </c>
      <c r="LC172" s="202"/>
      <c r="LD172" s="244"/>
      <c r="LE172" s="245"/>
      <c r="LF172" s="208">
        <f t="shared" si="454"/>
        <v>0</v>
      </c>
      <c r="LG172" s="208">
        <f t="shared" si="455"/>
        <v>0</v>
      </c>
    </row>
    <row r="173" spans="2:322" s="91" customFormat="1">
      <c r="B173" s="167" t="s">
        <v>392</v>
      </c>
      <c r="C173" s="167">
        <v>298.33300000000003</v>
      </c>
      <c r="D173" s="202">
        <f t="shared" si="457"/>
        <v>298.33300000000003</v>
      </c>
      <c r="E173" s="167"/>
      <c r="F173" s="177"/>
      <c r="G173" s="177"/>
      <c r="H173" s="177"/>
      <c r="I173" s="178"/>
      <c r="J173" s="202">
        <f t="shared" si="458"/>
        <v>0</v>
      </c>
      <c r="K173" s="167"/>
      <c r="L173" s="177"/>
      <c r="M173" s="177"/>
      <c r="N173" s="178"/>
      <c r="O173" s="202">
        <f t="shared" si="462"/>
        <v>0</v>
      </c>
      <c r="P173" s="167"/>
      <c r="Q173" s="177"/>
      <c r="R173" s="177"/>
      <c r="S173" s="177"/>
      <c r="T173" s="178"/>
      <c r="U173" s="202">
        <f t="shared" si="459"/>
        <v>0</v>
      </c>
      <c r="V173" s="167"/>
      <c r="W173" s="177"/>
      <c r="X173" s="177"/>
      <c r="Y173" s="177"/>
      <c r="Z173" s="177"/>
      <c r="AA173" s="208">
        <f t="shared" si="460"/>
        <v>0</v>
      </c>
      <c r="AB173" s="208">
        <f t="shared" si="461"/>
        <v>298.33300000000003</v>
      </c>
      <c r="AC173" s="203">
        <v>298.33300000000003</v>
      </c>
      <c r="AD173" s="205"/>
      <c r="AE173" s="205"/>
      <c r="AF173" s="205"/>
      <c r="AG173" s="204"/>
      <c r="AH173" s="208">
        <f t="shared" si="399"/>
        <v>298.33300000000003</v>
      </c>
      <c r="AI173" s="203"/>
      <c r="AJ173" s="205"/>
      <c r="AK173" s="205"/>
      <c r="AL173" s="205"/>
      <c r="AM173" s="204"/>
      <c r="AN173" s="208">
        <f t="shared" si="400"/>
        <v>0</v>
      </c>
      <c r="AO173" s="203"/>
      <c r="AP173" s="205"/>
      <c r="AQ173" s="205"/>
      <c r="AR173" s="205"/>
      <c r="AS173" s="204"/>
      <c r="AT173" s="208">
        <f t="shared" si="401"/>
        <v>0</v>
      </c>
      <c r="AU173" s="203"/>
      <c r="AV173" s="205"/>
      <c r="AW173" s="205"/>
      <c r="AX173" s="205"/>
      <c r="AY173" s="204"/>
      <c r="AZ173" s="208">
        <f t="shared" si="402"/>
        <v>0</v>
      </c>
      <c r="BA173" s="208">
        <f t="shared" si="435"/>
        <v>298.33300000000003</v>
      </c>
      <c r="BB173" s="203">
        <v>298.33300000000003</v>
      </c>
      <c r="BC173" s="205"/>
      <c r="BD173" s="205"/>
      <c r="BE173" s="205"/>
      <c r="BF173" s="204"/>
      <c r="BG173" s="208">
        <f t="shared" si="403"/>
        <v>298.33300000000003</v>
      </c>
      <c r="BH173" s="203"/>
      <c r="BI173" s="205"/>
      <c r="BJ173" s="205"/>
      <c r="BK173" s="205"/>
      <c r="BL173" s="204"/>
      <c r="BM173" s="208">
        <f t="shared" si="404"/>
        <v>0</v>
      </c>
      <c r="BN173" s="203"/>
      <c r="BO173" s="205"/>
      <c r="BP173" s="205"/>
      <c r="BQ173" s="204"/>
      <c r="BR173" s="208">
        <f t="shared" si="405"/>
        <v>0</v>
      </c>
      <c r="BS173" s="203"/>
      <c r="BT173" s="205"/>
      <c r="BU173" s="205"/>
      <c r="BV173" s="205"/>
      <c r="BW173" s="204"/>
      <c r="BX173" s="208">
        <f t="shared" si="390"/>
        <v>0</v>
      </c>
      <c r="BY173" s="203"/>
      <c r="BZ173" s="205"/>
      <c r="CA173" s="208">
        <f t="shared" si="406"/>
        <v>0</v>
      </c>
      <c r="CB173" s="208">
        <f t="shared" si="407"/>
        <v>298.33300000000003</v>
      </c>
      <c r="CC173" s="203"/>
      <c r="CD173" s="205">
        <v>298.33300000000003</v>
      </c>
      <c r="CE173" s="205"/>
      <c r="CF173" s="208">
        <f t="shared" si="408"/>
        <v>298.33300000000003</v>
      </c>
      <c r="CG173" s="203"/>
      <c r="CH173" s="205"/>
      <c r="CI173" s="205"/>
      <c r="CJ173" s="204"/>
      <c r="CK173" s="208">
        <f t="shared" si="391"/>
        <v>0</v>
      </c>
      <c r="CL173" s="203"/>
      <c r="CM173" s="205"/>
      <c r="CN173" s="205"/>
      <c r="CO173" s="205"/>
      <c r="CP173" s="204"/>
      <c r="CQ173" s="208">
        <f t="shared" si="409"/>
        <v>0</v>
      </c>
      <c r="CR173" s="203"/>
      <c r="CS173" s="205"/>
      <c r="CT173" s="205"/>
      <c r="CU173" s="205"/>
      <c r="CV173" s="204"/>
      <c r="CW173" s="208">
        <f t="shared" si="392"/>
        <v>0</v>
      </c>
      <c r="CX173" s="203"/>
      <c r="CY173" s="205"/>
      <c r="CZ173" s="205"/>
      <c r="DA173" s="204"/>
      <c r="DB173" s="208">
        <f t="shared" si="410"/>
        <v>0</v>
      </c>
      <c r="DC173" s="208">
        <f t="shared" si="411"/>
        <v>298.33300000000003</v>
      </c>
      <c r="DD173" s="203">
        <v>276.72199999999998</v>
      </c>
      <c r="DE173" s="205"/>
      <c r="DF173" s="205"/>
      <c r="DG173" s="205"/>
      <c r="DH173" s="205"/>
      <c r="DI173" s="208">
        <f t="shared" si="412"/>
        <v>276.72199999999998</v>
      </c>
      <c r="DJ173" s="203"/>
      <c r="DK173" s="205"/>
      <c r="DL173" s="205"/>
      <c r="DM173" s="205"/>
      <c r="DN173" s="204"/>
      <c r="DO173" s="208">
        <f t="shared" si="413"/>
        <v>0</v>
      </c>
      <c r="DP173" s="203"/>
      <c r="DQ173" s="205"/>
      <c r="DR173" s="205"/>
      <c r="DS173" s="205"/>
      <c r="DT173" s="204"/>
      <c r="DU173" s="245">
        <f t="shared" si="414"/>
        <v>0</v>
      </c>
      <c r="DV173" s="203"/>
      <c r="DW173" s="205"/>
      <c r="DX173" s="205"/>
      <c r="DY173" s="205"/>
      <c r="DZ173" s="204"/>
      <c r="EA173" s="208">
        <f t="shared" si="415"/>
        <v>0</v>
      </c>
      <c r="EB173" s="208">
        <f t="shared" si="416"/>
        <v>276.72199999999998</v>
      </c>
      <c r="EC173" s="203">
        <v>276.72199999999998</v>
      </c>
      <c r="ED173" s="205"/>
      <c r="EE173" s="205"/>
      <c r="EF173" s="205"/>
      <c r="EG173" s="204"/>
      <c r="EH173" s="208">
        <f t="shared" si="417"/>
        <v>276.72199999999998</v>
      </c>
      <c r="EI173" s="203"/>
      <c r="EJ173" s="205"/>
      <c r="EK173" s="205"/>
      <c r="EL173" s="205"/>
      <c r="EM173" s="204"/>
      <c r="EN173" s="208">
        <f t="shared" si="418"/>
        <v>0</v>
      </c>
      <c r="EO173" s="203"/>
      <c r="EP173" s="205"/>
      <c r="EQ173" s="205"/>
      <c r="ER173" s="205"/>
      <c r="ES173" s="204"/>
      <c r="ET173" s="308">
        <f t="shared" si="419"/>
        <v>0</v>
      </c>
      <c r="EU173" s="203"/>
      <c r="EV173" s="205"/>
      <c r="EW173" s="205"/>
      <c r="EX173" s="205"/>
      <c r="EY173" s="205"/>
      <c r="EZ173" s="205"/>
      <c r="FA173" s="204"/>
      <c r="FB173" s="208">
        <f t="shared" si="420"/>
        <v>0</v>
      </c>
      <c r="FC173" s="208">
        <f t="shared" si="421"/>
        <v>276.72199999999998</v>
      </c>
      <c r="FD173" s="203">
        <v>276.72199999999998</v>
      </c>
      <c r="FE173" s="205"/>
      <c r="FF173" s="204"/>
      <c r="FG173" s="208">
        <f t="shared" si="422"/>
        <v>276.72199999999998</v>
      </c>
      <c r="FH173" s="203"/>
      <c r="FI173" s="205"/>
      <c r="FJ173" s="205"/>
      <c r="FK173" s="205"/>
      <c r="FL173" s="204"/>
      <c r="FM173" s="208">
        <f t="shared" si="423"/>
        <v>0</v>
      </c>
      <c r="FN173" s="203"/>
      <c r="FO173" s="205"/>
      <c r="FP173" s="205"/>
      <c r="FQ173" s="205"/>
      <c r="FR173" s="208">
        <f t="shared" si="393"/>
        <v>0</v>
      </c>
      <c r="FS173" s="203"/>
      <c r="FT173" s="205"/>
      <c r="FU173" s="205"/>
      <c r="FV173" s="205"/>
      <c r="FW173" s="204"/>
      <c r="FX173" s="208">
        <f t="shared" si="424"/>
        <v>0</v>
      </c>
      <c r="FY173" s="203"/>
      <c r="FZ173" s="205"/>
      <c r="GA173" s="205"/>
      <c r="GB173" s="205"/>
      <c r="GC173" s="204"/>
      <c r="GD173" s="208">
        <f t="shared" si="425"/>
        <v>0</v>
      </c>
      <c r="GE173" s="208">
        <f t="shared" si="394"/>
        <v>276.72199999999998</v>
      </c>
      <c r="GF173" s="203"/>
      <c r="GG173" s="205">
        <v>276.72199999999998</v>
      </c>
      <c r="GH173" s="205"/>
      <c r="GI173" s="205"/>
      <c r="GJ173" s="205"/>
      <c r="GK173" s="208">
        <f t="shared" si="426"/>
        <v>276.72199999999998</v>
      </c>
      <c r="GL173" s="203"/>
      <c r="GM173" s="205"/>
      <c r="GN173" s="205"/>
      <c r="GO173" s="204"/>
      <c r="GP173" s="208">
        <f t="shared" si="427"/>
        <v>0</v>
      </c>
      <c r="GQ173" s="203"/>
      <c r="GR173" s="205"/>
      <c r="GS173" s="205"/>
      <c r="GT173" s="205"/>
      <c r="GU173" s="204"/>
      <c r="GV173" s="208">
        <f t="shared" si="428"/>
        <v>0</v>
      </c>
      <c r="GW173" s="203"/>
      <c r="GX173" s="205"/>
      <c r="GY173" s="205"/>
      <c r="GZ173" s="205"/>
      <c r="HA173" s="205"/>
      <c r="HB173" s="204"/>
      <c r="HC173" s="208">
        <f t="shared" si="429"/>
        <v>0</v>
      </c>
      <c r="HD173" s="208">
        <f t="shared" si="430"/>
        <v>276.72199999999998</v>
      </c>
      <c r="HE173" s="203">
        <v>266.72199999999998</v>
      </c>
      <c r="HF173" s="205"/>
      <c r="HG173" s="205"/>
      <c r="HH173" s="205"/>
      <c r="HI173" s="208">
        <f t="shared" si="436"/>
        <v>266.72199999999998</v>
      </c>
      <c r="HJ173" s="203"/>
      <c r="HK173" s="205"/>
      <c r="HL173" s="205"/>
      <c r="HM173" s="205"/>
      <c r="HN173" s="204"/>
      <c r="HO173" s="245">
        <f t="shared" si="437"/>
        <v>0</v>
      </c>
      <c r="HP173" s="203"/>
      <c r="HQ173" s="205"/>
      <c r="HR173" s="205"/>
      <c r="HS173" s="205"/>
      <c r="HT173" s="204"/>
      <c r="HU173" s="208">
        <f t="shared" si="438"/>
        <v>0</v>
      </c>
      <c r="HV173" s="203"/>
      <c r="HW173" s="205"/>
      <c r="HX173" s="205"/>
      <c r="HY173" s="208">
        <f t="shared" si="395"/>
        <v>0</v>
      </c>
      <c r="HZ173" s="203"/>
      <c r="IA173" s="205"/>
      <c r="IB173" s="204"/>
      <c r="IC173" s="208">
        <f t="shared" si="439"/>
        <v>0</v>
      </c>
      <c r="ID173" s="208">
        <f t="shared" si="396"/>
        <v>266.72199999999998</v>
      </c>
      <c r="IE173" s="203">
        <v>266.72199999999998</v>
      </c>
      <c r="IF173" s="204"/>
      <c r="IG173" s="208">
        <f t="shared" si="440"/>
        <v>266.72199999999998</v>
      </c>
      <c r="IH173" s="203"/>
      <c r="II173" s="205"/>
      <c r="IJ173" s="205"/>
      <c r="IK173" s="205"/>
      <c r="IL173" s="204"/>
      <c r="IM173" s="208">
        <f t="shared" si="441"/>
        <v>0</v>
      </c>
      <c r="IN173" s="203"/>
      <c r="IO173" s="205"/>
      <c r="IP173" s="204"/>
      <c r="IQ173" s="208">
        <f t="shared" si="442"/>
        <v>0</v>
      </c>
      <c r="IR173" s="203"/>
      <c r="IS173" s="205"/>
      <c r="IT173" s="205"/>
      <c r="IU173" s="205"/>
      <c r="IV173" s="204"/>
      <c r="IW173" s="208">
        <f t="shared" si="443"/>
        <v>0</v>
      </c>
      <c r="IX173" s="203"/>
      <c r="IY173" s="205"/>
      <c r="IZ173" s="205"/>
      <c r="JA173" s="205"/>
      <c r="JB173" s="204"/>
      <c r="JC173" s="208">
        <f t="shared" si="444"/>
        <v>0</v>
      </c>
      <c r="JD173" s="208">
        <f t="shared" si="431"/>
        <v>266.72199999999998</v>
      </c>
      <c r="JE173" s="203"/>
      <c r="JF173" s="205">
        <v>266.72199999999998</v>
      </c>
      <c r="JG173" s="205"/>
      <c r="JH173" s="205"/>
      <c r="JI173" s="204"/>
      <c r="JJ173" s="208">
        <f t="shared" si="445"/>
        <v>266.72199999999998</v>
      </c>
      <c r="JK173" s="203"/>
      <c r="JL173" s="205"/>
      <c r="JM173" s="205"/>
      <c r="JN173" s="205"/>
      <c r="JO173" s="204"/>
      <c r="JP173" s="208">
        <f t="shared" si="446"/>
        <v>0</v>
      </c>
      <c r="JQ173" s="203"/>
      <c r="JR173" s="205"/>
      <c r="JS173" s="205"/>
      <c r="JT173" s="205"/>
      <c r="JU173" s="204"/>
      <c r="JV173" s="208">
        <f t="shared" si="447"/>
        <v>0</v>
      </c>
      <c r="JW173" s="203"/>
      <c r="JX173" s="205"/>
      <c r="JY173" s="205"/>
      <c r="JZ173" s="205"/>
      <c r="KA173" s="205"/>
      <c r="KB173" s="204"/>
      <c r="KC173" s="208">
        <f t="shared" si="448"/>
        <v>0</v>
      </c>
      <c r="KD173" s="208">
        <f t="shared" si="449"/>
        <v>266.72199999999998</v>
      </c>
      <c r="KE173" s="203"/>
      <c r="KF173" s="205"/>
      <c r="KG173" s="205"/>
      <c r="KH173" s="205"/>
      <c r="KI173" s="204"/>
      <c r="KJ173" s="208">
        <f t="shared" si="450"/>
        <v>0</v>
      </c>
      <c r="KK173" s="203"/>
      <c r="KL173" s="205"/>
      <c r="KM173" s="205"/>
      <c r="KN173" s="205"/>
      <c r="KO173" s="204"/>
      <c r="KP173" s="208">
        <f t="shared" si="451"/>
        <v>0</v>
      </c>
      <c r="KQ173" s="203"/>
      <c r="KR173" s="205"/>
      <c r="KS173" s="205"/>
      <c r="KT173" s="205"/>
      <c r="KU173" s="204"/>
      <c r="KV173" s="208">
        <f t="shared" si="452"/>
        <v>0</v>
      </c>
      <c r="KW173" s="203"/>
      <c r="KX173" s="205"/>
      <c r="KY173" s="205"/>
      <c r="KZ173" s="205"/>
      <c r="LA173" s="204"/>
      <c r="LB173" s="208">
        <f t="shared" si="453"/>
        <v>0</v>
      </c>
      <c r="LC173" s="202"/>
      <c r="LD173" s="244"/>
      <c r="LE173" s="245"/>
      <c r="LF173" s="208">
        <f t="shared" si="454"/>
        <v>0</v>
      </c>
      <c r="LG173" s="208">
        <f t="shared" si="455"/>
        <v>0</v>
      </c>
    </row>
    <row r="174" spans="2:322" s="91" customFormat="1">
      <c r="B174" s="167" t="s">
        <v>393</v>
      </c>
      <c r="C174" s="167"/>
      <c r="D174" s="202">
        <f t="shared" si="457"/>
        <v>0</v>
      </c>
      <c r="E174" s="167"/>
      <c r="F174" s="177"/>
      <c r="G174" s="177"/>
      <c r="H174" s="177"/>
      <c r="I174" s="178"/>
      <c r="J174" s="202">
        <f t="shared" si="458"/>
        <v>0</v>
      </c>
      <c r="K174" s="167"/>
      <c r="L174" s="177"/>
      <c r="M174" s="177"/>
      <c r="N174" s="178"/>
      <c r="O174" s="202">
        <f t="shared" si="462"/>
        <v>0</v>
      </c>
      <c r="P174" s="167"/>
      <c r="Q174" s="177"/>
      <c r="R174" s="177"/>
      <c r="S174" s="177"/>
      <c r="T174" s="178"/>
      <c r="U174" s="202">
        <f t="shared" si="459"/>
        <v>0</v>
      </c>
      <c r="V174" s="167"/>
      <c r="W174" s="177"/>
      <c r="X174" s="177"/>
      <c r="Y174" s="177"/>
      <c r="Z174" s="177"/>
      <c r="AA174" s="208">
        <f t="shared" si="460"/>
        <v>0</v>
      </c>
      <c r="AB174" s="208">
        <f t="shared" si="461"/>
        <v>0</v>
      </c>
      <c r="AC174" s="203"/>
      <c r="AD174" s="205"/>
      <c r="AE174" s="205"/>
      <c r="AF174" s="205"/>
      <c r="AG174" s="204"/>
      <c r="AH174" s="208">
        <f t="shared" si="399"/>
        <v>0</v>
      </c>
      <c r="AI174" s="203"/>
      <c r="AJ174" s="205"/>
      <c r="AK174" s="205"/>
      <c r="AL174" s="205"/>
      <c r="AM174" s="204"/>
      <c r="AN174" s="208">
        <f t="shared" si="400"/>
        <v>0</v>
      </c>
      <c r="AO174" s="203"/>
      <c r="AP174" s="205"/>
      <c r="AQ174" s="205"/>
      <c r="AR174" s="205"/>
      <c r="AS174" s="204"/>
      <c r="AT174" s="208">
        <f t="shared" si="401"/>
        <v>0</v>
      </c>
      <c r="AU174" s="203"/>
      <c r="AV174" s="205"/>
      <c r="AW174" s="205"/>
      <c r="AX174" s="205"/>
      <c r="AY174" s="204"/>
      <c r="AZ174" s="208">
        <f t="shared" si="402"/>
        <v>0</v>
      </c>
      <c r="BA174" s="208">
        <f t="shared" si="435"/>
        <v>0</v>
      </c>
      <c r="BB174" s="203"/>
      <c r="BC174" s="205"/>
      <c r="BD174" s="205"/>
      <c r="BE174" s="205"/>
      <c r="BF174" s="204"/>
      <c r="BG174" s="208">
        <f t="shared" si="403"/>
        <v>0</v>
      </c>
      <c r="BH174" s="203"/>
      <c r="BI174" s="205"/>
      <c r="BJ174" s="205"/>
      <c r="BK174" s="205"/>
      <c r="BL174" s="204"/>
      <c r="BM174" s="208">
        <f t="shared" si="404"/>
        <v>0</v>
      </c>
      <c r="BN174" s="203"/>
      <c r="BO174" s="205"/>
      <c r="BP174" s="205"/>
      <c r="BQ174" s="204"/>
      <c r="BR174" s="208">
        <f t="shared" si="405"/>
        <v>0</v>
      </c>
      <c r="BS174" s="203"/>
      <c r="BT174" s="205"/>
      <c r="BU174" s="205"/>
      <c r="BV174" s="205"/>
      <c r="BW174" s="204"/>
      <c r="BX174" s="208">
        <f t="shared" si="390"/>
        <v>0</v>
      </c>
      <c r="BY174" s="203"/>
      <c r="BZ174" s="205"/>
      <c r="CA174" s="208">
        <f t="shared" si="406"/>
        <v>0</v>
      </c>
      <c r="CB174" s="208">
        <f t="shared" si="407"/>
        <v>0</v>
      </c>
      <c r="CC174" s="203"/>
      <c r="CD174" s="205">
        <v>265.065</v>
      </c>
      <c r="CE174" s="205"/>
      <c r="CF174" s="208">
        <f t="shared" si="408"/>
        <v>265.065</v>
      </c>
      <c r="CG174" s="203"/>
      <c r="CH174" s="205"/>
      <c r="CI174" s="205"/>
      <c r="CJ174" s="204"/>
      <c r="CK174" s="208">
        <f t="shared" si="391"/>
        <v>0</v>
      </c>
      <c r="CL174" s="203"/>
      <c r="CM174" s="205"/>
      <c r="CN174" s="205"/>
      <c r="CO174" s="205"/>
      <c r="CP174" s="204"/>
      <c r="CQ174" s="208">
        <f t="shared" si="409"/>
        <v>0</v>
      </c>
      <c r="CR174" s="203"/>
      <c r="CS174" s="205"/>
      <c r="CT174" s="205"/>
      <c r="CU174" s="205"/>
      <c r="CV174" s="204"/>
      <c r="CW174" s="208">
        <f t="shared" si="392"/>
        <v>0</v>
      </c>
      <c r="CX174" s="203"/>
      <c r="CY174" s="205"/>
      <c r="CZ174" s="205"/>
      <c r="DA174" s="204"/>
      <c r="DB174" s="208">
        <f t="shared" si="410"/>
        <v>0</v>
      </c>
      <c r="DC174" s="208">
        <f t="shared" si="411"/>
        <v>265.065</v>
      </c>
      <c r="DD174" s="203"/>
      <c r="DE174" s="205"/>
      <c r="DF174" s="205"/>
      <c r="DG174" s="205"/>
      <c r="DH174" s="205"/>
      <c r="DI174" s="208">
        <f t="shared" si="412"/>
        <v>0</v>
      </c>
      <c r="DJ174" s="203"/>
      <c r="DK174" s="205"/>
      <c r="DL174" s="205"/>
      <c r="DM174" s="205"/>
      <c r="DN174" s="204"/>
      <c r="DO174" s="208">
        <f t="shared" si="413"/>
        <v>0</v>
      </c>
      <c r="DP174" s="203"/>
      <c r="DQ174" s="205"/>
      <c r="DR174" s="205"/>
      <c r="DS174" s="205"/>
      <c r="DT174" s="204"/>
      <c r="DU174" s="245">
        <f t="shared" si="414"/>
        <v>0</v>
      </c>
      <c r="DV174" s="203"/>
      <c r="DW174" s="205"/>
      <c r="DX174" s="205"/>
      <c r="DY174" s="205"/>
      <c r="DZ174" s="204"/>
      <c r="EA174" s="208">
        <f t="shared" si="415"/>
        <v>0</v>
      </c>
      <c r="EB174" s="208">
        <f t="shared" si="416"/>
        <v>0</v>
      </c>
      <c r="EC174" s="203"/>
      <c r="ED174" s="205"/>
      <c r="EE174" s="205"/>
      <c r="EF174" s="205"/>
      <c r="EG174" s="204"/>
      <c r="EH174" s="208">
        <f t="shared" si="417"/>
        <v>0</v>
      </c>
      <c r="EI174" s="203"/>
      <c r="EJ174" s="205"/>
      <c r="EK174" s="205"/>
      <c r="EL174" s="205"/>
      <c r="EM174" s="204"/>
      <c r="EN174" s="208">
        <f t="shared" si="418"/>
        <v>0</v>
      </c>
      <c r="EO174" s="203"/>
      <c r="EP174" s="205"/>
      <c r="EQ174" s="205"/>
      <c r="ER174" s="205"/>
      <c r="ES174" s="204"/>
      <c r="ET174" s="308">
        <f t="shared" si="419"/>
        <v>0</v>
      </c>
      <c r="EU174" s="203"/>
      <c r="EV174" s="205"/>
      <c r="EW174" s="205"/>
      <c r="EX174" s="205"/>
      <c r="EY174" s="205"/>
      <c r="EZ174" s="205"/>
      <c r="FA174" s="204"/>
      <c r="FB174" s="208">
        <f t="shared" si="420"/>
        <v>0</v>
      </c>
      <c r="FC174" s="208">
        <f t="shared" si="421"/>
        <v>0</v>
      </c>
      <c r="FD174" s="203"/>
      <c r="FE174" s="205"/>
      <c r="FF174" s="204"/>
      <c r="FG174" s="208">
        <f t="shared" si="422"/>
        <v>0</v>
      </c>
      <c r="FH174" s="203"/>
      <c r="FI174" s="205"/>
      <c r="FJ174" s="205"/>
      <c r="FK174" s="205"/>
      <c r="FL174" s="204"/>
      <c r="FM174" s="208">
        <f t="shared" si="423"/>
        <v>0</v>
      </c>
      <c r="FN174" s="203"/>
      <c r="FO174" s="205"/>
      <c r="FP174" s="205"/>
      <c r="FQ174" s="205"/>
      <c r="FR174" s="208">
        <f t="shared" si="393"/>
        <v>0</v>
      </c>
      <c r="FS174" s="203"/>
      <c r="FT174" s="205"/>
      <c r="FU174" s="205"/>
      <c r="FV174" s="205"/>
      <c r="FW174" s="204"/>
      <c r="FX174" s="208">
        <f t="shared" si="424"/>
        <v>0</v>
      </c>
      <c r="FY174" s="203"/>
      <c r="FZ174" s="205"/>
      <c r="GA174" s="205"/>
      <c r="GB174" s="205"/>
      <c r="GC174" s="204"/>
      <c r="GD174" s="208">
        <f t="shared" si="425"/>
        <v>0</v>
      </c>
      <c r="GE174" s="208">
        <f t="shared" si="394"/>
        <v>0</v>
      </c>
      <c r="GF174" s="203"/>
      <c r="GG174" s="205"/>
      <c r="GH174" s="205"/>
      <c r="GI174" s="205"/>
      <c r="GJ174" s="205"/>
      <c r="GK174" s="208">
        <f t="shared" si="426"/>
        <v>0</v>
      </c>
      <c r="GL174" s="203"/>
      <c r="GM174" s="205"/>
      <c r="GN174" s="205"/>
      <c r="GO174" s="204"/>
      <c r="GP174" s="208">
        <f t="shared" si="427"/>
        <v>0</v>
      </c>
      <c r="GQ174" s="203"/>
      <c r="GR174" s="205"/>
      <c r="GS174" s="205"/>
      <c r="GT174" s="205"/>
      <c r="GU174" s="204"/>
      <c r="GV174" s="208">
        <f t="shared" si="428"/>
        <v>0</v>
      </c>
      <c r="GW174" s="203"/>
      <c r="GX174" s="205"/>
      <c r="GY174" s="205"/>
      <c r="GZ174" s="205"/>
      <c r="HA174" s="205"/>
      <c r="HB174" s="204"/>
      <c r="HC174" s="208">
        <f t="shared" si="429"/>
        <v>0</v>
      </c>
      <c r="HD174" s="208">
        <f t="shared" si="430"/>
        <v>0</v>
      </c>
      <c r="HE174" s="203"/>
      <c r="HF174" s="205"/>
      <c r="HG174" s="205"/>
      <c r="HH174" s="205"/>
      <c r="HI174" s="208">
        <f t="shared" si="436"/>
        <v>0</v>
      </c>
      <c r="HJ174" s="203"/>
      <c r="HK174" s="205"/>
      <c r="HL174" s="205"/>
      <c r="HM174" s="205"/>
      <c r="HN174" s="204"/>
      <c r="HO174" s="245">
        <f t="shared" si="437"/>
        <v>0</v>
      </c>
      <c r="HP174" s="203"/>
      <c r="HQ174" s="205"/>
      <c r="HR174" s="205"/>
      <c r="HS174" s="205"/>
      <c r="HT174" s="204"/>
      <c r="HU174" s="208">
        <f t="shared" si="438"/>
        <v>0</v>
      </c>
      <c r="HV174" s="203"/>
      <c r="HW174" s="205"/>
      <c r="HX174" s="205"/>
      <c r="HY174" s="208">
        <f t="shared" si="395"/>
        <v>0</v>
      </c>
      <c r="HZ174" s="203"/>
      <c r="IA174" s="205"/>
      <c r="IB174" s="204"/>
      <c r="IC174" s="208">
        <f t="shared" si="439"/>
        <v>0</v>
      </c>
      <c r="ID174" s="208">
        <f t="shared" si="396"/>
        <v>0</v>
      </c>
      <c r="IE174" s="203"/>
      <c r="IF174" s="204"/>
      <c r="IG174" s="208">
        <f t="shared" si="440"/>
        <v>0</v>
      </c>
      <c r="IH174" s="203"/>
      <c r="II174" s="205"/>
      <c r="IJ174" s="205"/>
      <c r="IK174" s="205"/>
      <c r="IL174" s="204"/>
      <c r="IM174" s="208">
        <f t="shared" si="441"/>
        <v>0</v>
      </c>
      <c r="IN174" s="203"/>
      <c r="IO174" s="205"/>
      <c r="IP174" s="204"/>
      <c r="IQ174" s="208">
        <f t="shared" si="442"/>
        <v>0</v>
      </c>
      <c r="IR174" s="203"/>
      <c r="IS174" s="205"/>
      <c r="IT174" s="205"/>
      <c r="IU174" s="205"/>
      <c r="IV174" s="204"/>
      <c r="IW174" s="208">
        <f t="shared" si="443"/>
        <v>0</v>
      </c>
      <c r="IX174" s="203"/>
      <c r="IY174" s="205"/>
      <c r="IZ174" s="205"/>
      <c r="JA174" s="205"/>
      <c r="JB174" s="204"/>
      <c r="JC174" s="208">
        <f t="shared" si="444"/>
        <v>0</v>
      </c>
      <c r="JD174" s="208">
        <f t="shared" si="431"/>
        <v>0</v>
      </c>
      <c r="JE174" s="203"/>
      <c r="JF174" s="205"/>
      <c r="JG174" s="205"/>
      <c r="JH174" s="205"/>
      <c r="JI174" s="204"/>
      <c r="JJ174" s="208">
        <f t="shared" si="445"/>
        <v>0</v>
      </c>
      <c r="JK174" s="203"/>
      <c r="JL174" s="205"/>
      <c r="JM174" s="205"/>
      <c r="JN174" s="205"/>
      <c r="JO174" s="204"/>
      <c r="JP174" s="208">
        <f t="shared" si="446"/>
        <v>0</v>
      </c>
      <c r="JQ174" s="203"/>
      <c r="JR174" s="205"/>
      <c r="JS174" s="205"/>
      <c r="JT174" s="205"/>
      <c r="JU174" s="204"/>
      <c r="JV174" s="208">
        <f t="shared" si="447"/>
        <v>0</v>
      </c>
      <c r="JW174" s="203"/>
      <c r="JX174" s="205"/>
      <c r="JY174" s="205"/>
      <c r="JZ174" s="205"/>
      <c r="KA174" s="205"/>
      <c r="KB174" s="204"/>
      <c r="KC174" s="208">
        <f t="shared" si="448"/>
        <v>0</v>
      </c>
      <c r="KD174" s="208">
        <f t="shared" si="449"/>
        <v>0</v>
      </c>
      <c r="KE174" s="203"/>
      <c r="KF174" s="205"/>
      <c r="KG174" s="205"/>
      <c r="KH174" s="205"/>
      <c r="KI174" s="204"/>
      <c r="KJ174" s="208">
        <f t="shared" si="450"/>
        <v>0</v>
      </c>
      <c r="KK174" s="203"/>
      <c r="KL174" s="205"/>
      <c r="KM174" s="205"/>
      <c r="KN174" s="205"/>
      <c r="KO174" s="204"/>
      <c r="KP174" s="208">
        <f t="shared" si="451"/>
        <v>0</v>
      </c>
      <c r="KQ174" s="203"/>
      <c r="KR174" s="205"/>
      <c r="KS174" s="205"/>
      <c r="KT174" s="205"/>
      <c r="KU174" s="204"/>
      <c r="KV174" s="208">
        <f t="shared" si="452"/>
        <v>0</v>
      </c>
      <c r="KW174" s="203"/>
      <c r="KX174" s="205"/>
      <c r="KY174" s="205"/>
      <c r="KZ174" s="205"/>
      <c r="LA174" s="204"/>
      <c r="LB174" s="208">
        <f t="shared" si="453"/>
        <v>0</v>
      </c>
      <c r="LC174" s="202"/>
      <c r="LD174" s="244"/>
      <c r="LE174" s="245"/>
      <c r="LF174" s="208">
        <f t="shared" si="454"/>
        <v>0</v>
      </c>
      <c r="LG174" s="208">
        <f t="shared" si="455"/>
        <v>0</v>
      </c>
    </row>
    <row r="175" spans="2:322" s="91" customFormat="1">
      <c r="B175" s="167" t="s">
        <v>394</v>
      </c>
      <c r="C175" s="167">
        <v>10</v>
      </c>
      <c r="D175" s="202">
        <f t="shared" si="457"/>
        <v>10</v>
      </c>
      <c r="E175" s="167"/>
      <c r="F175" s="177"/>
      <c r="G175" s="177"/>
      <c r="H175" s="177"/>
      <c r="I175" s="178"/>
      <c r="J175" s="202">
        <f t="shared" ref="J175:J182" si="463">SUM(E175:I175)</f>
        <v>0</v>
      </c>
      <c r="K175" s="167"/>
      <c r="L175" s="177"/>
      <c r="M175" s="177"/>
      <c r="N175" s="178"/>
      <c r="O175" s="202">
        <f t="shared" si="462"/>
        <v>0</v>
      </c>
      <c r="P175" s="167"/>
      <c r="Q175" s="177"/>
      <c r="R175" s="177"/>
      <c r="S175" s="177"/>
      <c r="T175" s="178"/>
      <c r="U175" s="202">
        <f t="shared" si="459"/>
        <v>0</v>
      </c>
      <c r="V175" s="167"/>
      <c r="W175" s="177"/>
      <c r="X175" s="177"/>
      <c r="Y175" s="177"/>
      <c r="Z175" s="177"/>
      <c r="AA175" s="208">
        <f t="shared" si="460"/>
        <v>0</v>
      </c>
      <c r="AB175" s="208">
        <f t="shared" si="461"/>
        <v>10</v>
      </c>
      <c r="AC175" s="203"/>
      <c r="AD175" s="205"/>
      <c r="AE175" s="205"/>
      <c r="AF175" s="205"/>
      <c r="AG175" s="204"/>
      <c r="AH175" s="208">
        <f t="shared" si="399"/>
        <v>0</v>
      </c>
      <c r="AI175" s="203"/>
      <c r="AJ175" s="205"/>
      <c r="AK175" s="205"/>
      <c r="AL175" s="205"/>
      <c r="AM175" s="204"/>
      <c r="AN175" s="208">
        <f t="shared" si="400"/>
        <v>0</v>
      </c>
      <c r="AO175" s="203"/>
      <c r="AP175" s="205"/>
      <c r="AQ175" s="205"/>
      <c r="AR175" s="205"/>
      <c r="AS175" s="204"/>
      <c r="AT175" s="208">
        <f t="shared" si="401"/>
        <v>0</v>
      </c>
      <c r="AU175" s="203"/>
      <c r="AV175" s="205"/>
      <c r="AW175" s="205"/>
      <c r="AX175" s="205"/>
      <c r="AY175" s="204"/>
      <c r="AZ175" s="208">
        <f t="shared" si="402"/>
        <v>0</v>
      </c>
      <c r="BA175" s="208">
        <f t="shared" si="435"/>
        <v>0</v>
      </c>
      <c r="BB175" s="203"/>
      <c r="BC175" s="205"/>
      <c r="BD175" s="205"/>
      <c r="BE175" s="205"/>
      <c r="BF175" s="204"/>
      <c r="BG175" s="208">
        <f t="shared" si="403"/>
        <v>0</v>
      </c>
      <c r="BH175" s="203"/>
      <c r="BI175" s="205"/>
      <c r="BJ175" s="205"/>
      <c r="BK175" s="205"/>
      <c r="BL175" s="204"/>
      <c r="BM175" s="208">
        <f t="shared" si="404"/>
        <v>0</v>
      </c>
      <c r="BN175" s="203"/>
      <c r="BO175" s="205"/>
      <c r="BP175" s="205"/>
      <c r="BQ175" s="204"/>
      <c r="BR175" s="208">
        <f t="shared" si="405"/>
        <v>0</v>
      </c>
      <c r="BS175" s="203"/>
      <c r="BT175" s="205"/>
      <c r="BU175" s="205"/>
      <c r="BV175" s="205"/>
      <c r="BW175" s="204"/>
      <c r="BX175" s="208">
        <f t="shared" si="390"/>
        <v>0</v>
      </c>
      <c r="BY175" s="203"/>
      <c r="BZ175" s="205"/>
      <c r="CA175" s="208">
        <f t="shared" si="406"/>
        <v>0</v>
      </c>
      <c r="CB175" s="208">
        <f t="shared" si="407"/>
        <v>0</v>
      </c>
      <c r="CC175" s="203"/>
      <c r="CD175" s="205"/>
      <c r="CE175" s="205"/>
      <c r="CF175" s="208">
        <f t="shared" si="408"/>
        <v>0</v>
      </c>
      <c r="CG175" s="203"/>
      <c r="CH175" s="205"/>
      <c r="CI175" s="205"/>
      <c r="CJ175" s="204"/>
      <c r="CK175" s="208">
        <f t="shared" si="391"/>
        <v>0</v>
      </c>
      <c r="CL175" s="203"/>
      <c r="CM175" s="205"/>
      <c r="CN175" s="205"/>
      <c r="CO175" s="205"/>
      <c r="CP175" s="204"/>
      <c r="CQ175" s="208">
        <f t="shared" si="409"/>
        <v>0</v>
      </c>
      <c r="CR175" s="203"/>
      <c r="CS175" s="205"/>
      <c r="CT175" s="205"/>
      <c r="CU175" s="205"/>
      <c r="CV175" s="204"/>
      <c r="CW175" s="208">
        <f t="shared" si="392"/>
        <v>0</v>
      </c>
      <c r="CX175" s="203"/>
      <c r="CY175" s="205"/>
      <c r="CZ175" s="205"/>
      <c r="DA175" s="204"/>
      <c r="DB175" s="208">
        <f t="shared" si="410"/>
        <v>0</v>
      </c>
      <c r="DC175" s="208">
        <f t="shared" si="411"/>
        <v>0</v>
      </c>
      <c r="DD175" s="203"/>
      <c r="DE175" s="205"/>
      <c r="DF175" s="205"/>
      <c r="DG175" s="205"/>
      <c r="DH175" s="205"/>
      <c r="DI175" s="208">
        <f t="shared" si="412"/>
        <v>0</v>
      </c>
      <c r="DJ175" s="203"/>
      <c r="DK175" s="205"/>
      <c r="DL175" s="205"/>
      <c r="DM175" s="205"/>
      <c r="DN175" s="204"/>
      <c r="DO175" s="208">
        <f t="shared" si="413"/>
        <v>0</v>
      </c>
      <c r="DP175" s="203"/>
      <c r="DQ175" s="205"/>
      <c r="DR175" s="205"/>
      <c r="DS175" s="205"/>
      <c r="DT175" s="204"/>
      <c r="DU175" s="245">
        <f t="shared" si="414"/>
        <v>0</v>
      </c>
      <c r="DV175" s="203"/>
      <c r="DW175" s="205"/>
      <c r="DX175" s="205"/>
      <c r="DY175" s="205"/>
      <c r="DZ175" s="204"/>
      <c r="EA175" s="208">
        <f t="shared" si="415"/>
        <v>0</v>
      </c>
      <c r="EB175" s="208">
        <f t="shared" si="416"/>
        <v>0</v>
      </c>
      <c r="EC175" s="203"/>
      <c r="ED175" s="205"/>
      <c r="EE175" s="205"/>
      <c r="EF175" s="205"/>
      <c r="EG175" s="204"/>
      <c r="EH175" s="208">
        <f t="shared" si="417"/>
        <v>0</v>
      </c>
      <c r="EI175" s="203"/>
      <c r="EJ175" s="205"/>
      <c r="EK175" s="205"/>
      <c r="EL175" s="205"/>
      <c r="EM175" s="204"/>
      <c r="EN175" s="208">
        <f t="shared" si="418"/>
        <v>0</v>
      </c>
      <c r="EO175" s="203"/>
      <c r="EP175" s="205"/>
      <c r="EQ175" s="205"/>
      <c r="ER175" s="205"/>
      <c r="ES175" s="204"/>
      <c r="ET175" s="308">
        <f t="shared" si="419"/>
        <v>0</v>
      </c>
      <c r="EU175" s="203"/>
      <c r="EV175" s="205"/>
      <c r="EW175" s="205"/>
      <c r="EX175" s="205"/>
      <c r="EY175" s="205"/>
      <c r="EZ175" s="205"/>
      <c r="FA175" s="204"/>
      <c r="FB175" s="208">
        <f t="shared" si="420"/>
        <v>0</v>
      </c>
      <c r="FC175" s="208">
        <f t="shared" si="421"/>
        <v>0</v>
      </c>
      <c r="FD175" s="203"/>
      <c r="FE175" s="205"/>
      <c r="FF175" s="204"/>
      <c r="FG175" s="208">
        <f t="shared" si="422"/>
        <v>0</v>
      </c>
      <c r="FH175" s="203"/>
      <c r="FI175" s="205"/>
      <c r="FJ175" s="205"/>
      <c r="FK175" s="205"/>
      <c r="FL175" s="204"/>
      <c r="FM175" s="208">
        <f t="shared" si="423"/>
        <v>0</v>
      </c>
      <c r="FN175" s="203"/>
      <c r="FO175" s="205"/>
      <c r="FP175" s="205"/>
      <c r="FQ175" s="205"/>
      <c r="FR175" s="208">
        <f t="shared" si="393"/>
        <v>0</v>
      </c>
      <c r="FS175" s="203"/>
      <c r="FT175" s="205"/>
      <c r="FU175" s="205"/>
      <c r="FV175" s="205"/>
      <c r="FW175" s="204"/>
      <c r="FX175" s="208">
        <f t="shared" si="424"/>
        <v>0</v>
      </c>
      <c r="FY175" s="203"/>
      <c r="FZ175" s="205"/>
      <c r="GA175" s="205"/>
      <c r="GB175" s="205"/>
      <c r="GC175" s="204"/>
      <c r="GD175" s="208">
        <f t="shared" si="425"/>
        <v>0</v>
      </c>
      <c r="GE175" s="208">
        <f t="shared" si="394"/>
        <v>0</v>
      </c>
      <c r="GF175" s="203"/>
      <c r="GG175" s="205"/>
      <c r="GH175" s="205"/>
      <c r="GI175" s="205"/>
      <c r="GJ175" s="205"/>
      <c r="GK175" s="208">
        <f t="shared" si="426"/>
        <v>0</v>
      </c>
      <c r="GL175" s="203"/>
      <c r="GM175" s="205"/>
      <c r="GN175" s="205"/>
      <c r="GO175" s="204"/>
      <c r="GP175" s="208">
        <f t="shared" si="427"/>
        <v>0</v>
      </c>
      <c r="GQ175" s="203"/>
      <c r="GR175" s="205"/>
      <c r="GS175" s="205"/>
      <c r="GT175" s="205"/>
      <c r="GU175" s="204"/>
      <c r="GV175" s="208">
        <f t="shared" si="428"/>
        <v>0</v>
      </c>
      <c r="GW175" s="203"/>
      <c r="GX175" s="205"/>
      <c r="GY175" s="205"/>
      <c r="GZ175" s="205"/>
      <c r="HA175" s="205"/>
      <c r="HB175" s="204"/>
      <c r="HC175" s="208">
        <f t="shared" si="429"/>
        <v>0</v>
      </c>
      <c r="HD175" s="208">
        <f t="shared" si="430"/>
        <v>0</v>
      </c>
      <c r="HE175" s="203"/>
      <c r="HF175" s="205"/>
      <c r="HG175" s="205"/>
      <c r="HH175" s="205"/>
      <c r="HI175" s="208">
        <f t="shared" si="436"/>
        <v>0</v>
      </c>
      <c r="HJ175" s="203"/>
      <c r="HK175" s="205"/>
      <c r="HL175" s="205"/>
      <c r="HM175" s="205"/>
      <c r="HN175" s="204"/>
      <c r="HO175" s="245">
        <f t="shared" si="437"/>
        <v>0</v>
      </c>
      <c r="HP175" s="203"/>
      <c r="HQ175" s="205"/>
      <c r="HR175" s="205"/>
      <c r="HS175" s="205"/>
      <c r="HT175" s="204"/>
      <c r="HU175" s="208">
        <f t="shared" si="438"/>
        <v>0</v>
      </c>
      <c r="HV175" s="203"/>
      <c r="HW175" s="205"/>
      <c r="HX175" s="205"/>
      <c r="HY175" s="208">
        <f t="shared" si="395"/>
        <v>0</v>
      </c>
      <c r="HZ175" s="203"/>
      <c r="IA175" s="205"/>
      <c r="IB175" s="204"/>
      <c r="IC175" s="208">
        <f t="shared" si="439"/>
        <v>0</v>
      </c>
      <c r="ID175" s="208">
        <f t="shared" si="396"/>
        <v>0</v>
      </c>
      <c r="IE175" s="203"/>
      <c r="IF175" s="204"/>
      <c r="IG175" s="208">
        <f t="shared" si="440"/>
        <v>0</v>
      </c>
      <c r="IH175" s="203"/>
      <c r="II175" s="205"/>
      <c r="IJ175" s="205"/>
      <c r="IK175" s="205"/>
      <c r="IL175" s="204"/>
      <c r="IM175" s="208">
        <f t="shared" si="441"/>
        <v>0</v>
      </c>
      <c r="IN175" s="203"/>
      <c r="IO175" s="205"/>
      <c r="IP175" s="204"/>
      <c r="IQ175" s="208">
        <f t="shared" si="442"/>
        <v>0</v>
      </c>
      <c r="IR175" s="203"/>
      <c r="IS175" s="205"/>
      <c r="IT175" s="205"/>
      <c r="IU175" s="205"/>
      <c r="IV175" s="204"/>
      <c r="IW175" s="208">
        <f t="shared" si="443"/>
        <v>0</v>
      </c>
      <c r="IX175" s="203"/>
      <c r="IY175" s="205"/>
      <c r="IZ175" s="205"/>
      <c r="JA175" s="205"/>
      <c r="JB175" s="204"/>
      <c r="JC175" s="208">
        <f t="shared" si="444"/>
        <v>0</v>
      </c>
      <c r="JD175" s="208">
        <f t="shared" si="431"/>
        <v>0</v>
      </c>
      <c r="JE175" s="203"/>
      <c r="JF175" s="205"/>
      <c r="JG175" s="205"/>
      <c r="JH175" s="205"/>
      <c r="JI175" s="204"/>
      <c r="JJ175" s="208">
        <f t="shared" si="445"/>
        <v>0</v>
      </c>
      <c r="JK175" s="203"/>
      <c r="JL175" s="205"/>
      <c r="JM175" s="205"/>
      <c r="JN175" s="205"/>
      <c r="JO175" s="204"/>
      <c r="JP175" s="208">
        <f t="shared" si="446"/>
        <v>0</v>
      </c>
      <c r="JQ175" s="203"/>
      <c r="JR175" s="205"/>
      <c r="JS175" s="205"/>
      <c r="JT175" s="205"/>
      <c r="JU175" s="204"/>
      <c r="JV175" s="208">
        <f t="shared" si="447"/>
        <v>0</v>
      </c>
      <c r="JW175" s="203"/>
      <c r="JX175" s="205"/>
      <c r="JY175" s="205"/>
      <c r="JZ175" s="205"/>
      <c r="KA175" s="205"/>
      <c r="KB175" s="204"/>
      <c r="KC175" s="208">
        <f t="shared" si="448"/>
        <v>0</v>
      </c>
      <c r="KD175" s="208">
        <f t="shared" si="449"/>
        <v>0</v>
      </c>
      <c r="KE175" s="203"/>
      <c r="KF175" s="205"/>
      <c r="KG175" s="205"/>
      <c r="KH175" s="205"/>
      <c r="KI175" s="204"/>
      <c r="KJ175" s="208">
        <f t="shared" si="450"/>
        <v>0</v>
      </c>
      <c r="KK175" s="203"/>
      <c r="KL175" s="205"/>
      <c r="KM175" s="205"/>
      <c r="KN175" s="205"/>
      <c r="KO175" s="204"/>
      <c r="KP175" s="208">
        <f t="shared" si="451"/>
        <v>0</v>
      </c>
      <c r="KQ175" s="203"/>
      <c r="KR175" s="205"/>
      <c r="KS175" s="205"/>
      <c r="KT175" s="205"/>
      <c r="KU175" s="204"/>
      <c r="KV175" s="208">
        <f t="shared" si="452"/>
        <v>0</v>
      </c>
      <c r="KW175" s="203"/>
      <c r="KX175" s="205"/>
      <c r="KY175" s="205"/>
      <c r="KZ175" s="205"/>
      <c r="LA175" s="204"/>
      <c r="LB175" s="208">
        <f t="shared" si="453"/>
        <v>0</v>
      </c>
      <c r="LC175" s="202"/>
      <c r="LD175" s="244"/>
      <c r="LE175" s="245"/>
      <c r="LF175" s="208">
        <f t="shared" si="454"/>
        <v>0</v>
      </c>
      <c r="LG175" s="208">
        <f t="shared" si="455"/>
        <v>0</v>
      </c>
    </row>
    <row r="176" spans="2:322" s="91" customFormat="1">
      <c r="B176" s="167" t="s">
        <v>395</v>
      </c>
      <c r="C176" s="167">
        <v>2.36</v>
      </c>
      <c r="D176" s="202">
        <f t="shared" si="457"/>
        <v>2.36</v>
      </c>
      <c r="E176" s="167"/>
      <c r="F176" s="177">
        <v>1.18</v>
      </c>
      <c r="G176" s="177"/>
      <c r="H176" s="177"/>
      <c r="I176" s="178"/>
      <c r="J176" s="202">
        <f t="shared" si="463"/>
        <v>1.18</v>
      </c>
      <c r="K176" s="167"/>
      <c r="L176" s="177"/>
      <c r="M176" s="177"/>
      <c r="N176" s="178"/>
      <c r="O176" s="202">
        <f t="shared" si="462"/>
        <v>0</v>
      </c>
      <c r="P176" s="167"/>
      <c r="Q176" s="177"/>
      <c r="R176" s="177"/>
      <c r="S176" s="177"/>
      <c r="T176" s="178"/>
      <c r="U176" s="202">
        <f t="shared" si="459"/>
        <v>0</v>
      </c>
      <c r="V176" s="167"/>
      <c r="W176" s="177"/>
      <c r="X176" s="177"/>
      <c r="Y176" s="177"/>
      <c r="Z176" s="177"/>
      <c r="AA176" s="208">
        <f t="shared" si="460"/>
        <v>0</v>
      </c>
      <c r="AB176" s="208">
        <f t="shared" si="461"/>
        <v>3.54</v>
      </c>
      <c r="AC176" s="203"/>
      <c r="AD176" s="205"/>
      <c r="AE176" s="205"/>
      <c r="AF176" s="205"/>
      <c r="AG176" s="204"/>
      <c r="AH176" s="208">
        <f t="shared" si="399"/>
        <v>0</v>
      </c>
      <c r="AI176" s="203"/>
      <c r="AJ176" s="205"/>
      <c r="AK176" s="205"/>
      <c r="AL176" s="205"/>
      <c r="AM176" s="204"/>
      <c r="AN176" s="208">
        <f t="shared" si="400"/>
        <v>0</v>
      </c>
      <c r="AO176" s="203"/>
      <c r="AP176" s="205"/>
      <c r="AQ176" s="205"/>
      <c r="AR176" s="205"/>
      <c r="AS176" s="204"/>
      <c r="AT176" s="208">
        <f t="shared" si="401"/>
        <v>0</v>
      </c>
      <c r="AU176" s="203"/>
      <c r="AV176" s="205"/>
      <c r="AW176" s="205"/>
      <c r="AX176" s="205"/>
      <c r="AY176" s="204"/>
      <c r="AZ176" s="208">
        <f t="shared" si="402"/>
        <v>0</v>
      </c>
      <c r="BA176" s="208">
        <f t="shared" si="435"/>
        <v>0</v>
      </c>
      <c r="BB176" s="203"/>
      <c r="BC176" s="205"/>
      <c r="BD176" s="205"/>
      <c r="BE176" s="205"/>
      <c r="BF176" s="204"/>
      <c r="BG176" s="208">
        <f t="shared" si="403"/>
        <v>0</v>
      </c>
      <c r="BH176" s="203"/>
      <c r="BI176" s="205"/>
      <c r="BJ176" s="205"/>
      <c r="BK176" s="205"/>
      <c r="BL176" s="204"/>
      <c r="BM176" s="208">
        <f t="shared" si="404"/>
        <v>0</v>
      </c>
      <c r="BN176" s="203"/>
      <c r="BO176" s="205"/>
      <c r="BP176" s="205"/>
      <c r="BQ176" s="204"/>
      <c r="BR176" s="208">
        <f t="shared" si="405"/>
        <v>0</v>
      </c>
      <c r="BS176" s="203"/>
      <c r="BT176" s="205"/>
      <c r="BU176" s="205"/>
      <c r="BV176" s="205"/>
      <c r="BW176" s="204"/>
      <c r="BX176" s="208">
        <f t="shared" si="390"/>
        <v>0</v>
      </c>
      <c r="BY176" s="203"/>
      <c r="BZ176" s="205"/>
      <c r="CA176" s="208">
        <f t="shared" si="406"/>
        <v>0</v>
      </c>
      <c r="CB176" s="208">
        <f t="shared" si="407"/>
        <v>0</v>
      </c>
      <c r="CC176" s="203">
        <v>2.36</v>
      </c>
      <c r="CD176" s="205"/>
      <c r="CE176" s="205"/>
      <c r="CF176" s="208">
        <f t="shared" si="408"/>
        <v>2.36</v>
      </c>
      <c r="CG176" s="203"/>
      <c r="CH176" s="205"/>
      <c r="CI176" s="205"/>
      <c r="CJ176" s="204"/>
      <c r="CK176" s="208">
        <f t="shared" si="391"/>
        <v>0</v>
      </c>
      <c r="CL176" s="203"/>
      <c r="CM176" s="205"/>
      <c r="CN176" s="205"/>
      <c r="CO176" s="205"/>
      <c r="CP176" s="204"/>
      <c r="CQ176" s="208">
        <f t="shared" si="409"/>
        <v>0</v>
      </c>
      <c r="CR176" s="203"/>
      <c r="CS176" s="205"/>
      <c r="CT176" s="205"/>
      <c r="CU176" s="205"/>
      <c r="CV176" s="204"/>
      <c r="CW176" s="208">
        <f t="shared" si="392"/>
        <v>0</v>
      </c>
      <c r="CX176" s="203">
        <v>1.18</v>
      </c>
      <c r="CY176" s="205"/>
      <c r="CZ176" s="205"/>
      <c r="DA176" s="204"/>
      <c r="DB176" s="208">
        <f t="shared" si="410"/>
        <v>1.18</v>
      </c>
      <c r="DC176" s="208">
        <f t="shared" si="411"/>
        <v>3.54</v>
      </c>
      <c r="DD176" s="203">
        <v>1.18</v>
      </c>
      <c r="DE176" s="205"/>
      <c r="DF176" s="205"/>
      <c r="DG176" s="205"/>
      <c r="DH176" s="205">
        <v>2.36</v>
      </c>
      <c r="DI176" s="208">
        <f t="shared" si="412"/>
        <v>3.54</v>
      </c>
      <c r="DJ176" s="203"/>
      <c r="DK176" s="205"/>
      <c r="DL176" s="205"/>
      <c r="DM176" s="205"/>
      <c r="DN176" s="204"/>
      <c r="DO176" s="208">
        <f t="shared" si="413"/>
        <v>0</v>
      </c>
      <c r="DP176" s="203"/>
      <c r="DQ176" s="205"/>
      <c r="DR176" s="205"/>
      <c r="DS176" s="205"/>
      <c r="DT176" s="204"/>
      <c r="DU176" s="245">
        <f t="shared" si="414"/>
        <v>0</v>
      </c>
      <c r="DV176" s="203"/>
      <c r="DW176" s="205"/>
      <c r="DX176" s="205"/>
      <c r="DY176" s="205"/>
      <c r="DZ176" s="204"/>
      <c r="EA176" s="208">
        <f t="shared" si="415"/>
        <v>0</v>
      </c>
      <c r="EB176" s="208">
        <f t="shared" si="416"/>
        <v>3.54</v>
      </c>
      <c r="EC176" s="203"/>
      <c r="ED176" s="205"/>
      <c r="EE176" s="205"/>
      <c r="EF176" s="205"/>
      <c r="EG176" s="204"/>
      <c r="EH176" s="208">
        <f t="shared" si="417"/>
        <v>0</v>
      </c>
      <c r="EI176" s="203"/>
      <c r="EJ176" s="205"/>
      <c r="EK176" s="205"/>
      <c r="EL176" s="205"/>
      <c r="EM176" s="204"/>
      <c r="EN176" s="208">
        <f t="shared" si="418"/>
        <v>0</v>
      </c>
      <c r="EO176" s="203"/>
      <c r="EP176" s="205"/>
      <c r="EQ176" s="205"/>
      <c r="ER176" s="205"/>
      <c r="ES176" s="204"/>
      <c r="ET176" s="308">
        <f t="shared" si="419"/>
        <v>0</v>
      </c>
      <c r="EU176" s="203"/>
      <c r="EV176" s="205"/>
      <c r="EW176" s="205"/>
      <c r="EX176" s="205"/>
      <c r="EY176" s="205"/>
      <c r="EZ176" s="205"/>
      <c r="FA176" s="204"/>
      <c r="FB176" s="208">
        <f t="shared" si="420"/>
        <v>0</v>
      </c>
      <c r="FC176" s="208">
        <f t="shared" si="421"/>
        <v>0</v>
      </c>
      <c r="FD176" s="203">
        <v>4.72</v>
      </c>
      <c r="FE176" s="205">
        <v>2.36</v>
      </c>
      <c r="FF176" s="204"/>
      <c r="FG176" s="208">
        <f t="shared" si="422"/>
        <v>7.08</v>
      </c>
      <c r="FH176" s="203"/>
      <c r="FI176" s="205"/>
      <c r="FJ176" s="205"/>
      <c r="FK176" s="205"/>
      <c r="FL176" s="204"/>
      <c r="FM176" s="208">
        <f t="shared" si="423"/>
        <v>0</v>
      </c>
      <c r="FN176" s="203"/>
      <c r="FO176" s="205"/>
      <c r="FP176" s="205"/>
      <c r="FQ176" s="205"/>
      <c r="FR176" s="208">
        <f t="shared" si="393"/>
        <v>0</v>
      </c>
      <c r="FS176" s="203"/>
      <c r="FT176" s="205">
        <v>1.18</v>
      </c>
      <c r="FU176" s="205"/>
      <c r="FV176" s="205"/>
      <c r="FW176" s="204"/>
      <c r="FX176" s="208">
        <f t="shared" si="424"/>
        <v>1.18</v>
      </c>
      <c r="FY176" s="203"/>
      <c r="FZ176" s="205"/>
      <c r="GA176" s="205"/>
      <c r="GB176" s="205"/>
      <c r="GC176" s="204"/>
      <c r="GD176" s="208">
        <f t="shared" si="425"/>
        <v>0</v>
      </c>
      <c r="GE176" s="208">
        <f t="shared" si="394"/>
        <v>8.26</v>
      </c>
      <c r="GF176" s="203"/>
      <c r="GG176" s="205"/>
      <c r="GH176" s="205"/>
      <c r="GI176" s="205"/>
      <c r="GJ176" s="205"/>
      <c r="GK176" s="208">
        <f t="shared" si="426"/>
        <v>0</v>
      </c>
      <c r="GL176" s="203"/>
      <c r="GM176" s="205"/>
      <c r="GN176" s="205"/>
      <c r="GO176" s="204"/>
      <c r="GP176" s="208">
        <f t="shared" si="427"/>
        <v>0</v>
      </c>
      <c r="GQ176" s="203"/>
      <c r="GR176" s="205"/>
      <c r="GS176" s="205"/>
      <c r="GT176" s="205"/>
      <c r="GU176" s="204"/>
      <c r="GV176" s="208">
        <f t="shared" si="428"/>
        <v>0</v>
      </c>
      <c r="GW176" s="203"/>
      <c r="GX176" s="205"/>
      <c r="GY176" s="205"/>
      <c r="GZ176" s="205"/>
      <c r="HA176" s="205"/>
      <c r="HB176" s="204"/>
      <c r="HC176" s="208">
        <f t="shared" si="429"/>
        <v>0</v>
      </c>
      <c r="HD176" s="208">
        <f t="shared" si="430"/>
        <v>0</v>
      </c>
      <c r="HE176" s="203"/>
      <c r="HF176" s="205"/>
      <c r="HG176" s="205"/>
      <c r="HH176" s="205"/>
      <c r="HI176" s="208">
        <f t="shared" si="436"/>
        <v>0</v>
      </c>
      <c r="HJ176" s="203"/>
      <c r="HK176" s="205"/>
      <c r="HL176" s="205"/>
      <c r="HM176" s="205"/>
      <c r="HN176" s="204"/>
      <c r="HO176" s="245">
        <f t="shared" si="437"/>
        <v>0</v>
      </c>
      <c r="HP176" s="203"/>
      <c r="HQ176" s="205"/>
      <c r="HR176" s="205"/>
      <c r="HS176" s="205"/>
      <c r="HT176" s="204"/>
      <c r="HU176" s="208">
        <f t="shared" si="438"/>
        <v>0</v>
      </c>
      <c r="HV176" s="203"/>
      <c r="HW176" s="205"/>
      <c r="HX176" s="205"/>
      <c r="HY176" s="208">
        <f t="shared" si="395"/>
        <v>0</v>
      </c>
      <c r="HZ176" s="203"/>
      <c r="IA176" s="205"/>
      <c r="IB176" s="204"/>
      <c r="IC176" s="208">
        <f t="shared" si="439"/>
        <v>0</v>
      </c>
      <c r="ID176" s="208">
        <f t="shared" si="396"/>
        <v>0</v>
      </c>
      <c r="IE176" s="203">
        <v>2.36</v>
      </c>
      <c r="IF176" s="204"/>
      <c r="IG176" s="208">
        <f t="shared" si="440"/>
        <v>2.36</v>
      </c>
      <c r="IH176" s="203"/>
      <c r="II176" s="205"/>
      <c r="IJ176" s="205"/>
      <c r="IK176" s="205"/>
      <c r="IL176" s="204"/>
      <c r="IM176" s="208">
        <f t="shared" si="441"/>
        <v>0</v>
      </c>
      <c r="IN176" s="203"/>
      <c r="IO176" s="205"/>
      <c r="IP176" s="204"/>
      <c r="IQ176" s="208">
        <f t="shared" si="442"/>
        <v>0</v>
      </c>
      <c r="IR176" s="203">
        <v>1.18</v>
      </c>
      <c r="IS176" s="205"/>
      <c r="IT176" s="205"/>
      <c r="IU176" s="205"/>
      <c r="IV176" s="204"/>
      <c r="IW176" s="208">
        <f t="shared" si="443"/>
        <v>1.18</v>
      </c>
      <c r="IX176" s="203">
        <v>1.18</v>
      </c>
      <c r="IY176" s="205"/>
      <c r="IZ176" s="205"/>
      <c r="JA176" s="205"/>
      <c r="JB176" s="204"/>
      <c r="JC176" s="208">
        <f t="shared" si="444"/>
        <v>1.18</v>
      </c>
      <c r="JD176" s="208">
        <f t="shared" si="431"/>
        <v>4.72</v>
      </c>
      <c r="JE176" s="203"/>
      <c r="JF176" s="205"/>
      <c r="JG176" s="205"/>
      <c r="JH176" s="205"/>
      <c r="JI176" s="204"/>
      <c r="JJ176" s="208">
        <f t="shared" si="445"/>
        <v>0</v>
      </c>
      <c r="JK176" s="203"/>
      <c r="JL176" s="205"/>
      <c r="JM176" s="205"/>
      <c r="JN176" s="205"/>
      <c r="JO176" s="204"/>
      <c r="JP176" s="208">
        <f t="shared" si="446"/>
        <v>0</v>
      </c>
      <c r="JQ176" s="203"/>
      <c r="JR176" s="205"/>
      <c r="JS176" s="205"/>
      <c r="JT176" s="205"/>
      <c r="JU176" s="204"/>
      <c r="JV176" s="208">
        <f t="shared" si="447"/>
        <v>0</v>
      </c>
      <c r="JW176" s="203"/>
      <c r="JX176" s="205"/>
      <c r="JY176" s="205"/>
      <c r="JZ176" s="205"/>
      <c r="KA176" s="205"/>
      <c r="KB176" s="204"/>
      <c r="KC176" s="208">
        <f t="shared" si="448"/>
        <v>0</v>
      </c>
      <c r="KD176" s="208">
        <f t="shared" si="449"/>
        <v>0</v>
      </c>
      <c r="KE176" s="203"/>
      <c r="KF176" s="205"/>
      <c r="KG176" s="205"/>
      <c r="KH176" s="205"/>
      <c r="KI176" s="204"/>
      <c r="KJ176" s="208">
        <f t="shared" si="450"/>
        <v>0</v>
      </c>
      <c r="KK176" s="203"/>
      <c r="KL176" s="205"/>
      <c r="KM176" s="205"/>
      <c r="KN176" s="205"/>
      <c r="KO176" s="204"/>
      <c r="KP176" s="208">
        <f t="shared" si="451"/>
        <v>0</v>
      </c>
      <c r="KQ176" s="203"/>
      <c r="KR176" s="205"/>
      <c r="KS176" s="205"/>
      <c r="KT176" s="205"/>
      <c r="KU176" s="204"/>
      <c r="KV176" s="208">
        <f t="shared" si="452"/>
        <v>0</v>
      </c>
      <c r="KW176" s="203"/>
      <c r="KX176" s="205"/>
      <c r="KY176" s="205"/>
      <c r="KZ176" s="205"/>
      <c r="LA176" s="204"/>
      <c r="LB176" s="208">
        <f t="shared" si="453"/>
        <v>0</v>
      </c>
      <c r="LC176" s="202"/>
      <c r="LD176" s="244"/>
      <c r="LE176" s="245"/>
      <c r="LF176" s="208">
        <f t="shared" si="454"/>
        <v>0</v>
      </c>
      <c r="LG176" s="208">
        <f t="shared" si="455"/>
        <v>0</v>
      </c>
    </row>
    <row r="177" spans="2:319" s="91" customFormat="1">
      <c r="B177" s="167" t="s">
        <v>396</v>
      </c>
      <c r="C177" s="167"/>
      <c r="D177" s="202">
        <f t="shared" si="457"/>
        <v>0</v>
      </c>
      <c r="E177" s="167"/>
      <c r="F177" s="177"/>
      <c r="G177" s="177"/>
      <c r="H177" s="177"/>
      <c r="I177" s="178"/>
      <c r="J177" s="202">
        <f t="shared" si="463"/>
        <v>0</v>
      </c>
      <c r="K177" s="167"/>
      <c r="L177" s="177">
        <v>3.54</v>
      </c>
      <c r="M177" s="177"/>
      <c r="N177" s="178">
        <v>3.54</v>
      </c>
      <c r="O177" s="202">
        <f t="shared" si="462"/>
        <v>7.08</v>
      </c>
      <c r="P177" s="167">
        <v>3.54</v>
      </c>
      <c r="Q177" s="177"/>
      <c r="R177" s="177"/>
      <c r="S177" s="177"/>
      <c r="T177" s="178"/>
      <c r="U177" s="202">
        <f t="shared" si="459"/>
        <v>3.54</v>
      </c>
      <c r="V177" s="167">
        <v>3.54</v>
      </c>
      <c r="W177" s="177"/>
      <c r="X177" s="177"/>
      <c r="Y177" s="177">
        <v>7.08</v>
      </c>
      <c r="Z177" s="177"/>
      <c r="AA177" s="208">
        <f t="shared" si="460"/>
        <v>10.620000000000001</v>
      </c>
      <c r="AB177" s="208">
        <f t="shared" si="461"/>
        <v>21.240000000000002</v>
      </c>
      <c r="AC177" s="203"/>
      <c r="AD177" s="205">
        <v>7.08</v>
      </c>
      <c r="AE177" s="205"/>
      <c r="AF177" s="205"/>
      <c r="AG177" s="204">
        <v>3.54</v>
      </c>
      <c r="AH177" s="208">
        <f t="shared" si="399"/>
        <v>10.620000000000001</v>
      </c>
      <c r="AI177" s="203"/>
      <c r="AJ177" s="205"/>
      <c r="AK177" s="205"/>
      <c r="AL177" s="205">
        <v>7.08</v>
      </c>
      <c r="AM177" s="204"/>
      <c r="AN177" s="208">
        <f t="shared" si="400"/>
        <v>7.08</v>
      </c>
      <c r="AO177" s="203"/>
      <c r="AP177" s="205"/>
      <c r="AQ177" s="205"/>
      <c r="AR177" s="205"/>
      <c r="AS177" s="204"/>
      <c r="AT177" s="208">
        <f t="shared" si="401"/>
        <v>0</v>
      </c>
      <c r="AU177" s="203"/>
      <c r="AV177" s="205"/>
      <c r="AW177" s="205">
        <v>3.54</v>
      </c>
      <c r="AX177" s="205"/>
      <c r="AY177" s="204"/>
      <c r="AZ177" s="208">
        <f t="shared" si="402"/>
        <v>3.54</v>
      </c>
      <c r="BA177" s="208">
        <f t="shared" si="435"/>
        <v>21.240000000000002</v>
      </c>
      <c r="BB177" s="203"/>
      <c r="BC177" s="205">
        <v>3.54</v>
      </c>
      <c r="BD177" s="205"/>
      <c r="BE177" s="205">
        <v>3.54</v>
      </c>
      <c r="BF177" s="204"/>
      <c r="BG177" s="208">
        <f t="shared" si="403"/>
        <v>7.08</v>
      </c>
      <c r="BH177" s="203"/>
      <c r="BI177" s="205"/>
      <c r="BJ177" s="205"/>
      <c r="BK177" s="205"/>
      <c r="BL177" s="204"/>
      <c r="BM177" s="208">
        <f t="shared" si="404"/>
        <v>0</v>
      </c>
      <c r="BN177" s="203"/>
      <c r="BO177" s="205"/>
      <c r="BP177" s="205"/>
      <c r="BQ177" s="204">
        <v>7.08</v>
      </c>
      <c r="BR177" s="208">
        <f t="shared" si="405"/>
        <v>7.08</v>
      </c>
      <c r="BS177" s="203"/>
      <c r="BT177" s="205"/>
      <c r="BU177" s="205"/>
      <c r="BV177" s="205">
        <v>3.54</v>
      </c>
      <c r="BW177" s="204"/>
      <c r="BX177" s="208">
        <f t="shared" si="390"/>
        <v>3.54</v>
      </c>
      <c r="BY177" s="203"/>
      <c r="BZ177" s="205"/>
      <c r="CA177" s="208">
        <f t="shared" si="406"/>
        <v>0</v>
      </c>
      <c r="CB177" s="208">
        <f t="shared" si="407"/>
        <v>17.700000000000003</v>
      </c>
      <c r="CC177" s="203"/>
      <c r="CD177" s="205"/>
      <c r="CE177" s="205"/>
      <c r="CF177" s="208">
        <f t="shared" si="408"/>
        <v>0</v>
      </c>
      <c r="CG177" s="203"/>
      <c r="CH177" s="205"/>
      <c r="CI177" s="205"/>
      <c r="CJ177" s="204"/>
      <c r="CK177" s="208">
        <f t="shared" si="391"/>
        <v>0</v>
      </c>
      <c r="CL177" s="203"/>
      <c r="CM177" s="205"/>
      <c r="CN177" s="205"/>
      <c r="CO177" s="205">
        <v>3.54</v>
      </c>
      <c r="CP177" s="204"/>
      <c r="CQ177" s="208">
        <f t="shared" si="409"/>
        <v>3.54</v>
      </c>
      <c r="CR177" s="203"/>
      <c r="CS177" s="205">
        <v>3</v>
      </c>
      <c r="CT177" s="205"/>
      <c r="CU177" s="205"/>
      <c r="CV177" s="204"/>
      <c r="CW177" s="208">
        <f t="shared" si="392"/>
        <v>3</v>
      </c>
      <c r="CX177" s="203"/>
      <c r="CY177" s="205"/>
      <c r="CZ177" s="205"/>
      <c r="DA177" s="204"/>
      <c r="DB177" s="208">
        <f t="shared" si="410"/>
        <v>0</v>
      </c>
      <c r="DC177" s="208">
        <f t="shared" si="411"/>
        <v>6.54</v>
      </c>
      <c r="DD177" s="203"/>
      <c r="DE177" s="205"/>
      <c r="DF177" s="205">
        <v>7.08</v>
      </c>
      <c r="DG177" s="205"/>
      <c r="DH177" s="205"/>
      <c r="DI177" s="208">
        <f t="shared" si="412"/>
        <v>7.08</v>
      </c>
      <c r="DJ177" s="203"/>
      <c r="DK177" s="205"/>
      <c r="DL177" s="205"/>
      <c r="DM177" s="205"/>
      <c r="DN177" s="204"/>
      <c r="DO177" s="208">
        <f t="shared" si="413"/>
        <v>0</v>
      </c>
      <c r="DP177" s="203"/>
      <c r="DQ177" s="205"/>
      <c r="DR177" s="205"/>
      <c r="DS177" s="205">
        <v>3.54</v>
      </c>
      <c r="DT177" s="204"/>
      <c r="DU177" s="245">
        <f t="shared" si="414"/>
        <v>3.54</v>
      </c>
      <c r="DV177" s="203"/>
      <c r="DW177" s="205"/>
      <c r="DX177" s="205"/>
      <c r="DY177" s="205"/>
      <c r="DZ177" s="204"/>
      <c r="EA177" s="208">
        <f t="shared" si="415"/>
        <v>0</v>
      </c>
      <c r="EB177" s="208">
        <f t="shared" si="416"/>
        <v>10.620000000000001</v>
      </c>
      <c r="EC177" s="203"/>
      <c r="ED177" s="205"/>
      <c r="EE177" s="205"/>
      <c r="EF177" s="205"/>
      <c r="EG177" s="204"/>
      <c r="EH177" s="208">
        <f t="shared" si="417"/>
        <v>0</v>
      </c>
      <c r="EI177" s="203"/>
      <c r="EJ177" s="205">
        <f>3.54+3.54</f>
        <v>7.08</v>
      </c>
      <c r="EK177" s="205"/>
      <c r="EL177" s="205"/>
      <c r="EM177" s="204"/>
      <c r="EN177" s="208">
        <f t="shared" si="418"/>
        <v>7.08</v>
      </c>
      <c r="EO177" s="203"/>
      <c r="EP177" s="205"/>
      <c r="EQ177" s="205"/>
      <c r="ER177" s="205"/>
      <c r="ES177" s="204"/>
      <c r="ET177" s="308">
        <f t="shared" si="419"/>
        <v>0</v>
      </c>
      <c r="EU177" s="203"/>
      <c r="EV177" s="205"/>
      <c r="EW177" s="205"/>
      <c r="EX177" s="205"/>
      <c r="EY177" s="205"/>
      <c r="EZ177" s="205"/>
      <c r="FA177" s="204"/>
      <c r="FB177" s="208">
        <f t="shared" si="420"/>
        <v>0</v>
      </c>
      <c r="FC177" s="208">
        <f t="shared" si="421"/>
        <v>7.08</v>
      </c>
      <c r="FD177" s="203"/>
      <c r="FE177" s="205"/>
      <c r="FF177" s="204">
        <v>3.54</v>
      </c>
      <c r="FG177" s="208">
        <f t="shared" si="422"/>
        <v>3.54</v>
      </c>
      <c r="FH177" s="203"/>
      <c r="FI177" s="205">
        <v>3.54</v>
      </c>
      <c r="FJ177" s="205"/>
      <c r="FK177" s="205">
        <v>7.08</v>
      </c>
      <c r="FL177" s="204">
        <v>10.62</v>
      </c>
      <c r="FM177" s="208">
        <f t="shared" si="423"/>
        <v>21.240000000000002</v>
      </c>
      <c r="FN177" s="203"/>
      <c r="FO177" s="205"/>
      <c r="FP177" s="205"/>
      <c r="FQ177" s="205">
        <v>3.54</v>
      </c>
      <c r="FR177" s="208">
        <f t="shared" si="393"/>
        <v>3.54</v>
      </c>
      <c r="FS177" s="203"/>
      <c r="FT177" s="205"/>
      <c r="FU177" s="205"/>
      <c r="FV177" s="205"/>
      <c r="FW177" s="204"/>
      <c r="FX177" s="208">
        <f t="shared" si="424"/>
        <v>0</v>
      </c>
      <c r="FY177" s="203"/>
      <c r="FZ177" s="205"/>
      <c r="GA177" s="205"/>
      <c r="GB177" s="205"/>
      <c r="GC177" s="204"/>
      <c r="GD177" s="208">
        <f t="shared" si="425"/>
        <v>0</v>
      </c>
      <c r="GE177" s="208">
        <f t="shared" si="394"/>
        <v>28.32</v>
      </c>
      <c r="GF177" s="203"/>
      <c r="GG177" s="205"/>
      <c r="GH177" s="205"/>
      <c r="GI177" s="205"/>
      <c r="GJ177" s="205"/>
      <c r="GK177" s="208">
        <f t="shared" si="426"/>
        <v>0</v>
      </c>
      <c r="GL177" s="203"/>
      <c r="GM177" s="205"/>
      <c r="GN177" s="205"/>
      <c r="GO177" s="204"/>
      <c r="GP177" s="208">
        <f t="shared" si="427"/>
        <v>0</v>
      </c>
      <c r="GQ177" s="203"/>
      <c r="GR177" s="205"/>
      <c r="GS177" s="205"/>
      <c r="GT177" s="205"/>
      <c r="GU177" s="204"/>
      <c r="GV177" s="208">
        <f t="shared" si="428"/>
        <v>0</v>
      </c>
      <c r="GW177" s="203"/>
      <c r="GX177" s="205"/>
      <c r="GY177" s="205"/>
      <c r="GZ177" s="205">
        <v>3.54</v>
      </c>
      <c r="HA177" s="205"/>
      <c r="HB177" s="204"/>
      <c r="HC177" s="208">
        <f t="shared" si="429"/>
        <v>3.54</v>
      </c>
      <c r="HD177" s="208">
        <f t="shared" si="430"/>
        <v>3.54</v>
      </c>
      <c r="HE177" s="203"/>
      <c r="HF177" s="205"/>
      <c r="HG177" s="205">
        <v>10.62</v>
      </c>
      <c r="HH177" s="205"/>
      <c r="HI177" s="208">
        <f t="shared" si="436"/>
        <v>10.62</v>
      </c>
      <c r="HJ177" s="203"/>
      <c r="HK177" s="205"/>
      <c r="HL177" s="205"/>
      <c r="HM177" s="205"/>
      <c r="HN177" s="204"/>
      <c r="HO177" s="245">
        <f t="shared" si="437"/>
        <v>0</v>
      </c>
      <c r="HP177" s="203"/>
      <c r="HQ177" s="205"/>
      <c r="HR177" s="205"/>
      <c r="HS177" s="205"/>
      <c r="HT177" s="204">
        <v>3.54</v>
      </c>
      <c r="HU177" s="208">
        <f t="shared" si="438"/>
        <v>3.54</v>
      </c>
      <c r="HV177" s="203"/>
      <c r="HW177" s="205"/>
      <c r="HX177" s="205"/>
      <c r="HY177" s="208">
        <f t="shared" si="395"/>
        <v>0</v>
      </c>
      <c r="HZ177" s="203"/>
      <c r="IA177" s="205"/>
      <c r="IB177" s="204"/>
      <c r="IC177" s="208">
        <f t="shared" si="439"/>
        <v>0</v>
      </c>
      <c r="ID177" s="208">
        <f t="shared" si="396"/>
        <v>14.16</v>
      </c>
      <c r="IE177" s="203">
        <v>3.54</v>
      </c>
      <c r="IF177" s="204"/>
      <c r="IG177" s="208">
        <f t="shared" si="440"/>
        <v>3.54</v>
      </c>
      <c r="IH177" s="203"/>
      <c r="II177" s="205"/>
      <c r="IJ177" s="205"/>
      <c r="IK177" s="205"/>
      <c r="IL177" s="204"/>
      <c r="IM177" s="208">
        <f t="shared" si="441"/>
        <v>0</v>
      </c>
      <c r="IN177" s="203"/>
      <c r="IO177" s="205"/>
      <c r="IP177" s="204"/>
      <c r="IQ177" s="208">
        <f t="shared" si="442"/>
        <v>0</v>
      </c>
      <c r="IR177" s="203"/>
      <c r="IS177" s="205"/>
      <c r="IT177" s="205"/>
      <c r="IU177" s="205"/>
      <c r="IV177" s="204"/>
      <c r="IW177" s="208">
        <f t="shared" si="443"/>
        <v>0</v>
      </c>
      <c r="IX177" s="203"/>
      <c r="IY177" s="205"/>
      <c r="IZ177" s="205"/>
      <c r="JA177" s="205"/>
      <c r="JB177" s="204"/>
      <c r="JC177" s="208">
        <f t="shared" si="444"/>
        <v>0</v>
      </c>
      <c r="JD177" s="208">
        <f t="shared" si="431"/>
        <v>3.54</v>
      </c>
      <c r="JE177" s="203"/>
      <c r="JF177" s="205"/>
      <c r="JG177" s="205">
        <f>3.54+3.54+3.54</f>
        <v>10.620000000000001</v>
      </c>
      <c r="JH177" s="205">
        <v>4</v>
      </c>
      <c r="JI177" s="204"/>
      <c r="JJ177" s="208">
        <f t="shared" si="445"/>
        <v>14.620000000000001</v>
      </c>
      <c r="JK177" s="203"/>
      <c r="JL177" s="205"/>
      <c r="JM177" s="205"/>
      <c r="JN177" s="205"/>
      <c r="JO177" s="204"/>
      <c r="JP177" s="208">
        <f t="shared" si="446"/>
        <v>0</v>
      </c>
      <c r="JQ177" s="203"/>
      <c r="JR177" s="205"/>
      <c r="JS177" s="205"/>
      <c r="JT177" s="205"/>
      <c r="JU177" s="204"/>
      <c r="JV177" s="208">
        <f t="shared" si="447"/>
        <v>0</v>
      </c>
      <c r="JW177" s="203"/>
      <c r="JX177" s="205"/>
      <c r="JY177" s="205"/>
      <c r="JZ177" s="205"/>
      <c r="KA177" s="205"/>
      <c r="KB177" s="204"/>
      <c r="KC177" s="208">
        <f t="shared" si="448"/>
        <v>0</v>
      </c>
      <c r="KD177" s="208">
        <f t="shared" si="449"/>
        <v>14.620000000000001</v>
      </c>
      <c r="KE177" s="203"/>
      <c r="KF177" s="205"/>
      <c r="KG177" s="205"/>
      <c r="KH177" s="205"/>
      <c r="KI177" s="204"/>
      <c r="KJ177" s="208">
        <f t="shared" si="450"/>
        <v>0</v>
      </c>
      <c r="KK177" s="203"/>
      <c r="KL177" s="205"/>
      <c r="KM177" s="205"/>
      <c r="KN177" s="205"/>
      <c r="KO177" s="204"/>
      <c r="KP177" s="208">
        <f t="shared" si="451"/>
        <v>0</v>
      </c>
      <c r="KQ177" s="203"/>
      <c r="KR177" s="205"/>
      <c r="KS177" s="205"/>
      <c r="KT177" s="205"/>
      <c r="KU177" s="204"/>
      <c r="KV177" s="208">
        <f t="shared" si="452"/>
        <v>0</v>
      </c>
      <c r="KW177" s="203"/>
      <c r="KX177" s="205"/>
      <c r="KY177" s="205"/>
      <c r="KZ177" s="205"/>
      <c r="LA177" s="204"/>
      <c r="LB177" s="208">
        <f t="shared" si="453"/>
        <v>0</v>
      </c>
      <c r="LC177" s="202"/>
      <c r="LD177" s="244"/>
      <c r="LE177" s="245"/>
      <c r="LF177" s="208">
        <f t="shared" si="454"/>
        <v>0</v>
      </c>
      <c r="LG177" s="208">
        <f t="shared" si="455"/>
        <v>0</v>
      </c>
    </row>
    <row r="178" spans="2:319" s="91" customFormat="1">
      <c r="B178" s="167" t="s">
        <v>397</v>
      </c>
      <c r="C178" s="167"/>
      <c r="D178" s="202">
        <f t="shared" si="457"/>
        <v>0</v>
      </c>
      <c r="E178" s="167"/>
      <c r="F178" s="177"/>
      <c r="G178" s="177"/>
      <c r="H178" s="177">
        <v>12</v>
      </c>
      <c r="I178" s="178"/>
      <c r="J178" s="202">
        <f t="shared" si="463"/>
        <v>12</v>
      </c>
      <c r="K178" s="167"/>
      <c r="L178" s="177"/>
      <c r="M178" s="177"/>
      <c r="N178" s="178"/>
      <c r="O178" s="202">
        <f t="shared" si="462"/>
        <v>0</v>
      </c>
      <c r="P178" s="167"/>
      <c r="Q178" s="177"/>
      <c r="R178" s="177"/>
      <c r="S178" s="177">
        <v>4</v>
      </c>
      <c r="T178" s="178"/>
      <c r="U178" s="202">
        <f t="shared" si="459"/>
        <v>4</v>
      </c>
      <c r="V178" s="167">
        <v>4</v>
      </c>
      <c r="W178" s="177">
        <v>12.5</v>
      </c>
      <c r="X178" s="177"/>
      <c r="Y178" s="177"/>
      <c r="Z178" s="177"/>
      <c r="AA178" s="208">
        <f t="shared" si="460"/>
        <v>16.5</v>
      </c>
      <c r="AB178" s="208">
        <f t="shared" si="461"/>
        <v>32.5</v>
      </c>
      <c r="AC178" s="203"/>
      <c r="AD178" s="205">
        <v>4</v>
      </c>
      <c r="AE178" s="205"/>
      <c r="AF178" s="205"/>
      <c r="AG178" s="204"/>
      <c r="AH178" s="208">
        <f t="shared" si="399"/>
        <v>4</v>
      </c>
      <c r="AI178" s="203"/>
      <c r="AJ178" s="205">
        <v>4</v>
      </c>
      <c r="AK178" s="205"/>
      <c r="AL178" s="205">
        <v>4</v>
      </c>
      <c r="AM178" s="204"/>
      <c r="AN178" s="208">
        <f t="shared" si="400"/>
        <v>8</v>
      </c>
      <c r="AO178" s="203"/>
      <c r="AP178" s="205"/>
      <c r="AQ178" s="205"/>
      <c r="AR178" s="205"/>
      <c r="AS178" s="204"/>
      <c r="AT178" s="208">
        <f t="shared" si="401"/>
        <v>0</v>
      </c>
      <c r="AU178" s="203"/>
      <c r="AV178" s="205">
        <v>4</v>
      </c>
      <c r="AW178" s="205"/>
      <c r="AX178" s="205">
        <f>4.5+4+4+4.5+4+4.5+4+4.5</f>
        <v>34</v>
      </c>
      <c r="AY178" s="204"/>
      <c r="AZ178" s="208">
        <f t="shared" si="402"/>
        <v>38</v>
      </c>
      <c r="BA178" s="208">
        <f t="shared" si="435"/>
        <v>50</v>
      </c>
      <c r="BB178" s="203">
        <v>8</v>
      </c>
      <c r="BC178" s="205"/>
      <c r="BD178" s="205"/>
      <c r="BE178" s="205">
        <v>4</v>
      </c>
      <c r="BF178" s="204"/>
      <c r="BG178" s="208">
        <f t="shared" si="403"/>
        <v>12</v>
      </c>
      <c r="BH178" s="203"/>
      <c r="BI178" s="205"/>
      <c r="BJ178" s="205"/>
      <c r="BK178" s="205"/>
      <c r="BL178" s="204"/>
      <c r="BM178" s="208">
        <f t="shared" si="404"/>
        <v>0</v>
      </c>
      <c r="BN178" s="203"/>
      <c r="BO178" s="205">
        <v>4</v>
      </c>
      <c r="BP178" s="205"/>
      <c r="BQ178" s="204"/>
      <c r="BR178" s="208">
        <f t="shared" si="405"/>
        <v>4</v>
      </c>
      <c r="BS178" s="203"/>
      <c r="BT178" s="205">
        <f>4+4.5</f>
        <v>8.5</v>
      </c>
      <c r="BU178" s="205"/>
      <c r="BV178" s="205"/>
      <c r="BW178" s="204"/>
      <c r="BX178" s="208">
        <f t="shared" si="390"/>
        <v>8.5</v>
      </c>
      <c r="BY178" s="203"/>
      <c r="BZ178" s="205"/>
      <c r="CA178" s="208">
        <f t="shared" si="406"/>
        <v>0</v>
      </c>
      <c r="CB178" s="208">
        <f t="shared" si="407"/>
        <v>24.5</v>
      </c>
      <c r="CC178" s="203"/>
      <c r="CD178" s="205"/>
      <c r="CE178" s="205"/>
      <c r="CF178" s="208">
        <f t="shared" si="408"/>
        <v>0</v>
      </c>
      <c r="CG178" s="203">
        <v>4</v>
      </c>
      <c r="CH178" s="205"/>
      <c r="CI178" s="205"/>
      <c r="CJ178" s="204"/>
      <c r="CK178" s="208">
        <f t="shared" si="391"/>
        <v>4</v>
      </c>
      <c r="CL178" s="203">
        <v>8</v>
      </c>
      <c r="CM178" s="205"/>
      <c r="CN178" s="205"/>
      <c r="CO178" s="205"/>
      <c r="CP178" s="204">
        <v>4</v>
      </c>
      <c r="CQ178" s="208">
        <f t="shared" si="409"/>
        <v>12</v>
      </c>
      <c r="CR178" s="203"/>
      <c r="CS178" s="205"/>
      <c r="CT178" s="205"/>
      <c r="CU178" s="205"/>
      <c r="CV178" s="204"/>
      <c r="CW178" s="208">
        <f t="shared" si="392"/>
        <v>0</v>
      </c>
      <c r="CX178" s="203"/>
      <c r="CY178" s="205"/>
      <c r="CZ178" s="205"/>
      <c r="DA178" s="204"/>
      <c r="DB178" s="208">
        <f t="shared" si="410"/>
        <v>0</v>
      </c>
      <c r="DC178" s="208">
        <f t="shared" si="411"/>
        <v>16</v>
      </c>
      <c r="DD178" s="203"/>
      <c r="DE178" s="205"/>
      <c r="DF178" s="205"/>
      <c r="DG178" s="205"/>
      <c r="DH178" s="205"/>
      <c r="DI178" s="208">
        <f t="shared" si="412"/>
        <v>0</v>
      </c>
      <c r="DJ178" s="203"/>
      <c r="DK178" s="205"/>
      <c r="DL178" s="205"/>
      <c r="DM178" s="205"/>
      <c r="DN178" s="204"/>
      <c r="DO178" s="208">
        <f t="shared" si="413"/>
        <v>0</v>
      </c>
      <c r="DP178" s="203"/>
      <c r="DQ178" s="205"/>
      <c r="DR178" s="205"/>
      <c r="DS178" s="205"/>
      <c r="DT178" s="204"/>
      <c r="DU178" s="245">
        <f t="shared" si="414"/>
        <v>0</v>
      </c>
      <c r="DV178" s="203"/>
      <c r="DW178" s="205"/>
      <c r="DX178" s="205">
        <v>25.5</v>
      </c>
      <c r="DY178" s="205">
        <v>8</v>
      </c>
      <c r="DZ178" s="204"/>
      <c r="EA178" s="208">
        <f t="shared" si="415"/>
        <v>33.5</v>
      </c>
      <c r="EB178" s="208">
        <f t="shared" si="416"/>
        <v>33.5</v>
      </c>
      <c r="EC178" s="203"/>
      <c r="ED178" s="205"/>
      <c r="EE178" s="205"/>
      <c r="EF178" s="205"/>
      <c r="EG178" s="204"/>
      <c r="EH178" s="208">
        <f t="shared" si="417"/>
        <v>0</v>
      </c>
      <c r="EI178" s="203">
        <f>4.5+4+4+4.5</f>
        <v>17</v>
      </c>
      <c r="EJ178" s="205"/>
      <c r="EK178" s="205"/>
      <c r="EL178" s="205"/>
      <c r="EM178" s="204"/>
      <c r="EN178" s="208">
        <f t="shared" si="418"/>
        <v>17</v>
      </c>
      <c r="EO178" s="203"/>
      <c r="EP178" s="205"/>
      <c r="EQ178" s="205"/>
      <c r="ER178" s="205"/>
      <c r="ES178" s="204"/>
      <c r="ET178" s="308">
        <f t="shared" si="419"/>
        <v>0</v>
      </c>
      <c r="EU178" s="203"/>
      <c r="EV178" s="205"/>
      <c r="EW178" s="205"/>
      <c r="EX178" s="205">
        <v>4</v>
      </c>
      <c r="EY178" s="205">
        <f>4+4</f>
        <v>8</v>
      </c>
      <c r="EZ178" s="205">
        <f>4+4</f>
        <v>8</v>
      </c>
      <c r="FA178" s="204">
        <v>0.3</v>
      </c>
      <c r="FB178" s="208">
        <f t="shared" si="420"/>
        <v>20.3</v>
      </c>
      <c r="FC178" s="208">
        <f t="shared" si="421"/>
        <v>37.299999999999997</v>
      </c>
      <c r="FD178" s="203"/>
      <c r="FE178" s="205"/>
      <c r="FF178" s="204"/>
      <c r="FG178" s="208">
        <f t="shared" si="422"/>
        <v>0</v>
      </c>
      <c r="FH178" s="203"/>
      <c r="FI178" s="205"/>
      <c r="FJ178" s="205"/>
      <c r="FK178" s="205"/>
      <c r="FL178" s="204"/>
      <c r="FM178" s="208">
        <f t="shared" si="423"/>
        <v>0</v>
      </c>
      <c r="FN178" s="203"/>
      <c r="FO178" s="205"/>
      <c r="FP178" s="205"/>
      <c r="FQ178" s="205"/>
      <c r="FR178" s="208">
        <f t="shared" si="393"/>
        <v>0</v>
      </c>
      <c r="FS178" s="203"/>
      <c r="FT178" s="205"/>
      <c r="FU178" s="205"/>
      <c r="FV178" s="205"/>
      <c r="FW178" s="204"/>
      <c r="FX178" s="208">
        <f t="shared" si="424"/>
        <v>0</v>
      </c>
      <c r="FY178" s="203"/>
      <c r="FZ178" s="205">
        <v>8.5</v>
      </c>
      <c r="GA178" s="205"/>
      <c r="GB178" s="205">
        <v>8</v>
      </c>
      <c r="GC178" s="204">
        <v>8.5</v>
      </c>
      <c r="GD178" s="208">
        <f t="shared" si="425"/>
        <v>25</v>
      </c>
      <c r="GE178" s="208">
        <f t="shared" si="394"/>
        <v>25</v>
      </c>
      <c r="GF178" s="203"/>
      <c r="GG178" s="205"/>
      <c r="GH178" s="205"/>
      <c r="GI178" s="205"/>
      <c r="GJ178" s="205"/>
      <c r="GK178" s="208">
        <f t="shared" si="426"/>
        <v>0</v>
      </c>
      <c r="GL178" s="203"/>
      <c r="GM178" s="205"/>
      <c r="GN178" s="205"/>
      <c r="GO178" s="204"/>
      <c r="GP178" s="208">
        <f t="shared" si="427"/>
        <v>0</v>
      </c>
      <c r="GQ178" s="203"/>
      <c r="GR178" s="205"/>
      <c r="GS178" s="205"/>
      <c r="GT178" s="205">
        <v>8.5</v>
      </c>
      <c r="GU178" s="204"/>
      <c r="GV178" s="208">
        <f t="shared" si="428"/>
        <v>8.5</v>
      </c>
      <c r="GW178" s="203">
        <v>4</v>
      </c>
      <c r="GX178" s="205"/>
      <c r="GY178" s="205"/>
      <c r="GZ178" s="205"/>
      <c r="HA178" s="205"/>
      <c r="HB178" s="204"/>
      <c r="HC178" s="208">
        <f t="shared" si="429"/>
        <v>4</v>
      </c>
      <c r="HD178" s="208">
        <f t="shared" si="430"/>
        <v>12.5</v>
      </c>
      <c r="HE178" s="203"/>
      <c r="HF178" s="205">
        <v>17</v>
      </c>
      <c r="HG178" s="205"/>
      <c r="HH178" s="205"/>
      <c r="HI178" s="208">
        <f t="shared" si="436"/>
        <v>17</v>
      </c>
      <c r="HJ178" s="203">
        <v>4</v>
      </c>
      <c r="HK178" s="205"/>
      <c r="HL178" s="205"/>
      <c r="HM178" s="205"/>
      <c r="HN178" s="204">
        <f>4+4.5+4.5+4</f>
        <v>17</v>
      </c>
      <c r="HO178" s="245">
        <f t="shared" si="437"/>
        <v>21</v>
      </c>
      <c r="HP178" s="203"/>
      <c r="HQ178" s="205"/>
      <c r="HR178" s="205"/>
      <c r="HS178" s="205"/>
      <c r="HT178" s="204"/>
      <c r="HU178" s="208">
        <f t="shared" si="438"/>
        <v>0</v>
      </c>
      <c r="HV178" s="203"/>
      <c r="HW178" s="205"/>
      <c r="HX178" s="205">
        <f>4.5+4</f>
        <v>8.5</v>
      </c>
      <c r="HY178" s="208">
        <f t="shared" si="395"/>
        <v>8.5</v>
      </c>
      <c r="HZ178" s="203">
        <f>4+4+4.5</f>
        <v>12.5</v>
      </c>
      <c r="IA178" s="205">
        <f>4+4.5</f>
        <v>8.5</v>
      </c>
      <c r="IB178" s="204"/>
      <c r="IC178" s="208">
        <f t="shared" si="439"/>
        <v>21</v>
      </c>
      <c r="ID178" s="208">
        <f t="shared" si="396"/>
        <v>67.5</v>
      </c>
      <c r="IE178" s="203"/>
      <c r="IF178" s="204"/>
      <c r="IG178" s="208">
        <f t="shared" si="440"/>
        <v>0</v>
      </c>
      <c r="IH178" s="203"/>
      <c r="II178" s="205"/>
      <c r="IJ178" s="205"/>
      <c r="IK178" s="205"/>
      <c r="IL178" s="204"/>
      <c r="IM178" s="208">
        <f t="shared" si="441"/>
        <v>0</v>
      </c>
      <c r="IN178" s="203"/>
      <c r="IO178" s="205"/>
      <c r="IP178" s="204"/>
      <c r="IQ178" s="208">
        <f t="shared" si="442"/>
        <v>0</v>
      </c>
      <c r="IR178" s="203">
        <f>4+4+4</f>
        <v>12</v>
      </c>
      <c r="IS178" s="205"/>
      <c r="IT178" s="205"/>
      <c r="IU178" s="205"/>
      <c r="IV178" s="204"/>
      <c r="IW178" s="208">
        <f t="shared" si="443"/>
        <v>12</v>
      </c>
      <c r="IX178" s="203"/>
      <c r="IY178" s="205"/>
      <c r="IZ178" s="205">
        <f>4+4.5</f>
        <v>8.5</v>
      </c>
      <c r="JA178" s="205"/>
      <c r="JB178" s="204">
        <v>4</v>
      </c>
      <c r="JC178" s="208">
        <f t="shared" si="444"/>
        <v>12.5</v>
      </c>
      <c r="JD178" s="208">
        <f t="shared" si="431"/>
        <v>24.5</v>
      </c>
      <c r="JE178" s="203">
        <v>4</v>
      </c>
      <c r="JF178" s="205"/>
      <c r="JG178" s="205"/>
      <c r="JH178" s="205"/>
      <c r="JI178" s="204"/>
      <c r="JJ178" s="208">
        <f t="shared" si="445"/>
        <v>4</v>
      </c>
      <c r="JK178" s="203"/>
      <c r="JL178" s="205"/>
      <c r="JM178" s="205"/>
      <c r="JN178" s="205"/>
      <c r="JO178" s="204"/>
      <c r="JP178" s="208">
        <f t="shared" si="446"/>
        <v>0</v>
      </c>
      <c r="JQ178" s="203"/>
      <c r="JR178" s="205"/>
      <c r="JS178" s="205"/>
      <c r="JT178" s="205"/>
      <c r="JU178" s="204"/>
      <c r="JV178" s="208">
        <f t="shared" si="447"/>
        <v>0</v>
      </c>
      <c r="JW178" s="203"/>
      <c r="JX178" s="205"/>
      <c r="JY178" s="205"/>
      <c r="JZ178" s="205"/>
      <c r="KA178" s="205"/>
      <c r="KB178" s="204"/>
      <c r="KC178" s="208">
        <f t="shared" si="448"/>
        <v>0</v>
      </c>
      <c r="KD178" s="208">
        <f t="shared" si="449"/>
        <v>4</v>
      </c>
      <c r="KE178" s="203"/>
      <c r="KF178" s="205"/>
      <c r="KG178" s="205"/>
      <c r="KH178" s="205"/>
      <c r="KI178" s="204"/>
      <c r="KJ178" s="208">
        <f t="shared" si="450"/>
        <v>0</v>
      </c>
      <c r="KK178" s="203"/>
      <c r="KL178" s="205"/>
      <c r="KM178" s="205"/>
      <c r="KN178" s="205"/>
      <c r="KO178" s="204"/>
      <c r="KP178" s="208">
        <f t="shared" si="451"/>
        <v>0</v>
      </c>
      <c r="KQ178" s="203"/>
      <c r="KR178" s="205"/>
      <c r="KS178" s="205"/>
      <c r="KT178" s="205"/>
      <c r="KU178" s="204"/>
      <c r="KV178" s="208">
        <f t="shared" si="452"/>
        <v>0</v>
      </c>
      <c r="KW178" s="203"/>
      <c r="KX178" s="205"/>
      <c r="KY178" s="205"/>
      <c r="KZ178" s="205"/>
      <c r="LA178" s="204"/>
      <c r="LB178" s="208">
        <f t="shared" si="453"/>
        <v>0</v>
      </c>
      <c r="LC178" s="202"/>
      <c r="LD178" s="244"/>
      <c r="LE178" s="245"/>
      <c r="LF178" s="208">
        <f t="shared" si="454"/>
        <v>0</v>
      </c>
      <c r="LG178" s="208">
        <f t="shared" si="455"/>
        <v>0</v>
      </c>
    </row>
    <row r="179" spans="2:319" s="91" customFormat="1">
      <c r="B179" s="93" t="s">
        <v>398</v>
      </c>
      <c r="C179" s="167"/>
      <c r="D179" s="202">
        <f t="shared" si="457"/>
        <v>0</v>
      </c>
      <c r="E179" s="167"/>
      <c r="F179" s="177"/>
      <c r="G179" s="177"/>
      <c r="H179" s="177"/>
      <c r="I179" s="178"/>
      <c r="J179" s="202">
        <f t="shared" si="463"/>
        <v>0</v>
      </c>
      <c r="K179" s="167"/>
      <c r="L179" s="177"/>
      <c r="M179" s="177"/>
      <c r="N179" s="178"/>
      <c r="O179" s="202">
        <f t="shared" si="462"/>
        <v>0</v>
      </c>
      <c r="P179" s="167"/>
      <c r="Q179" s="177"/>
      <c r="R179" s="177"/>
      <c r="S179" s="177"/>
      <c r="T179" s="178"/>
      <c r="U179" s="202">
        <f t="shared" si="459"/>
        <v>0</v>
      </c>
      <c r="V179" s="167"/>
      <c r="W179" s="177"/>
      <c r="X179" s="177"/>
      <c r="Y179" s="177"/>
      <c r="Z179" s="177">
        <v>0.94399999999999995</v>
      </c>
      <c r="AA179" s="208">
        <f t="shared" si="460"/>
        <v>0.94399999999999995</v>
      </c>
      <c r="AB179" s="208">
        <f t="shared" si="461"/>
        <v>0.94399999999999995</v>
      </c>
      <c r="AC179" s="203"/>
      <c r="AD179" s="205"/>
      <c r="AE179" s="205">
        <f>10+11</f>
        <v>21</v>
      </c>
      <c r="AF179" s="205"/>
      <c r="AG179" s="204"/>
      <c r="AH179" s="208">
        <f t="shared" si="399"/>
        <v>21</v>
      </c>
      <c r="AI179" s="203"/>
      <c r="AJ179" s="205"/>
      <c r="AK179" s="205"/>
      <c r="AL179" s="205"/>
      <c r="AM179" s="204"/>
      <c r="AN179" s="208">
        <f t="shared" si="400"/>
        <v>0</v>
      </c>
      <c r="AO179" s="203"/>
      <c r="AP179" s="205"/>
      <c r="AQ179" s="205"/>
      <c r="AR179" s="205"/>
      <c r="AS179" s="204"/>
      <c r="AT179" s="208">
        <f t="shared" si="401"/>
        <v>0</v>
      </c>
      <c r="AU179" s="203"/>
      <c r="AV179" s="205"/>
      <c r="AW179" s="205"/>
      <c r="AX179" s="205"/>
      <c r="AY179" s="204"/>
      <c r="AZ179" s="208">
        <f t="shared" si="402"/>
        <v>0</v>
      </c>
      <c r="BA179" s="208">
        <f t="shared" si="435"/>
        <v>21</v>
      </c>
      <c r="BB179" s="203">
        <v>0.94399999999999995</v>
      </c>
      <c r="BC179" s="205"/>
      <c r="BD179" s="205"/>
      <c r="BE179" s="205"/>
      <c r="BF179" s="204"/>
      <c r="BG179" s="208">
        <f t="shared" si="403"/>
        <v>0.94399999999999995</v>
      </c>
      <c r="BH179" s="203"/>
      <c r="BI179" s="205"/>
      <c r="BJ179" s="205"/>
      <c r="BK179" s="205"/>
      <c r="BL179" s="204"/>
      <c r="BM179" s="208">
        <f t="shared" si="404"/>
        <v>0</v>
      </c>
      <c r="BN179" s="203"/>
      <c r="BO179" s="205"/>
      <c r="BP179" s="205"/>
      <c r="BQ179" s="204"/>
      <c r="BR179" s="208">
        <f t="shared" si="405"/>
        <v>0</v>
      </c>
      <c r="BS179" s="203"/>
      <c r="BT179" s="205"/>
      <c r="BU179" s="205"/>
      <c r="BV179" s="205"/>
      <c r="BW179" s="204">
        <v>20</v>
      </c>
      <c r="BX179" s="208">
        <f t="shared" si="390"/>
        <v>20</v>
      </c>
      <c r="BY179" s="203"/>
      <c r="BZ179" s="205">
        <f>0.39+10.48+20+8+0.944</f>
        <v>39.814000000000007</v>
      </c>
      <c r="CA179" s="208">
        <f t="shared" si="406"/>
        <v>39.814000000000007</v>
      </c>
      <c r="CB179" s="208">
        <f t="shared" si="407"/>
        <v>60.75800000000001</v>
      </c>
      <c r="CC179" s="203"/>
      <c r="CD179" s="205"/>
      <c r="CE179" s="205"/>
      <c r="CF179" s="208">
        <f t="shared" si="408"/>
        <v>0</v>
      </c>
      <c r="CG179" s="203"/>
      <c r="CH179" s="205"/>
      <c r="CI179" s="205"/>
      <c r="CJ179" s="204"/>
      <c r="CK179" s="208">
        <f t="shared" si="391"/>
        <v>0</v>
      </c>
      <c r="CL179" s="203"/>
      <c r="CM179" s="205"/>
      <c r="CN179" s="205"/>
      <c r="CO179" s="205"/>
      <c r="CP179" s="204"/>
      <c r="CQ179" s="208">
        <f t="shared" si="409"/>
        <v>0</v>
      </c>
      <c r="CR179" s="203"/>
      <c r="CS179" s="205"/>
      <c r="CT179" s="205">
        <v>0.94399999999999995</v>
      </c>
      <c r="CU179" s="205"/>
      <c r="CV179" s="204"/>
      <c r="CW179" s="208">
        <f t="shared" si="392"/>
        <v>0.94399999999999995</v>
      </c>
      <c r="CX179" s="203"/>
      <c r="CY179" s="205"/>
      <c r="CZ179" s="205"/>
      <c r="DA179" s="204">
        <v>0.94399999999999995</v>
      </c>
      <c r="DB179" s="208">
        <f t="shared" si="410"/>
        <v>0.94399999999999995</v>
      </c>
      <c r="DC179" s="208">
        <f t="shared" si="411"/>
        <v>1.8879999999999999</v>
      </c>
      <c r="DD179" s="203">
        <v>0.94399999999999995</v>
      </c>
      <c r="DE179" s="205"/>
      <c r="DF179" s="205"/>
      <c r="DG179" s="205">
        <v>0.94399999999999995</v>
      </c>
      <c r="DH179" s="205"/>
      <c r="DI179" s="208">
        <f t="shared" si="412"/>
        <v>1.8879999999999999</v>
      </c>
      <c r="DJ179" s="203"/>
      <c r="DK179" s="205"/>
      <c r="DL179" s="205"/>
      <c r="DM179" s="205"/>
      <c r="DN179" s="204"/>
      <c r="DO179" s="208">
        <f t="shared" si="413"/>
        <v>0</v>
      </c>
      <c r="DP179" s="203"/>
      <c r="DQ179" s="205"/>
      <c r="DR179" s="205"/>
      <c r="DS179" s="205">
        <v>0.94399999999999995</v>
      </c>
      <c r="DT179" s="204"/>
      <c r="DU179" s="245">
        <f t="shared" si="414"/>
        <v>0.94399999999999995</v>
      </c>
      <c r="DV179" s="203"/>
      <c r="DW179" s="205"/>
      <c r="DX179" s="205"/>
      <c r="DY179" s="205"/>
      <c r="DZ179" s="204"/>
      <c r="EA179" s="208">
        <f t="shared" si="415"/>
        <v>0</v>
      </c>
      <c r="EB179" s="208">
        <f t="shared" si="416"/>
        <v>2.8319999999999999</v>
      </c>
      <c r="EC179" s="203">
        <v>0.94399999999999995</v>
      </c>
      <c r="ED179" s="205"/>
      <c r="EE179" s="205"/>
      <c r="EF179" s="205"/>
      <c r="EG179" s="204"/>
      <c r="EH179" s="208">
        <f t="shared" si="417"/>
        <v>0.94399999999999995</v>
      </c>
      <c r="EI179" s="203"/>
      <c r="EJ179" s="205"/>
      <c r="EK179" s="205"/>
      <c r="EL179" s="205"/>
      <c r="EM179" s="204"/>
      <c r="EN179" s="208">
        <f t="shared" si="418"/>
        <v>0</v>
      </c>
      <c r="EO179" s="203"/>
      <c r="EP179" s="205"/>
      <c r="EQ179" s="205"/>
      <c r="ER179" s="205"/>
      <c r="ES179" s="204"/>
      <c r="ET179" s="308">
        <f t="shared" si="419"/>
        <v>0</v>
      </c>
      <c r="EU179" s="203">
        <v>0.94399999999999995</v>
      </c>
      <c r="EV179" s="205"/>
      <c r="EW179" s="205"/>
      <c r="EX179" s="205"/>
      <c r="EY179" s="205"/>
      <c r="EZ179" s="205"/>
      <c r="FA179" s="204"/>
      <c r="FB179" s="208">
        <f t="shared" si="420"/>
        <v>0.94399999999999995</v>
      </c>
      <c r="FC179" s="208">
        <f t="shared" si="421"/>
        <v>1.8879999999999999</v>
      </c>
      <c r="FD179" s="203">
        <v>0.94399999999999995</v>
      </c>
      <c r="FE179" s="205"/>
      <c r="FF179" s="204"/>
      <c r="FG179" s="208">
        <f t="shared" si="422"/>
        <v>0.94399999999999995</v>
      </c>
      <c r="FH179" s="203">
        <v>0.94399999999999995</v>
      </c>
      <c r="FI179" s="205"/>
      <c r="FJ179" s="205"/>
      <c r="FK179" s="205">
        <v>0.94399999999999995</v>
      </c>
      <c r="FL179" s="204"/>
      <c r="FM179" s="208">
        <f t="shared" si="423"/>
        <v>1.8879999999999999</v>
      </c>
      <c r="FN179" s="203"/>
      <c r="FO179" s="205"/>
      <c r="FP179" s="205"/>
      <c r="FQ179" s="205"/>
      <c r="FR179" s="208">
        <f t="shared" si="393"/>
        <v>0</v>
      </c>
      <c r="FS179" s="203"/>
      <c r="FT179" s="205"/>
      <c r="FU179" s="205"/>
      <c r="FV179" s="205"/>
      <c r="FW179" s="204"/>
      <c r="FX179" s="208">
        <f t="shared" si="424"/>
        <v>0</v>
      </c>
      <c r="FY179" s="203"/>
      <c r="FZ179" s="205"/>
      <c r="GA179" s="205"/>
      <c r="GB179" s="205"/>
      <c r="GC179" s="204">
        <v>0.94399999999999995</v>
      </c>
      <c r="GD179" s="208">
        <f t="shared" si="425"/>
        <v>0.94399999999999995</v>
      </c>
      <c r="GE179" s="208">
        <f t="shared" si="394"/>
        <v>3.7759999999999998</v>
      </c>
      <c r="GF179" s="203"/>
      <c r="GG179" s="205"/>
      <c r="GH179" s="205"/>
      <c r="GI179" s="205"/>
      <c r="GJ179" s="205"/>
      <c r="GK179" s="208">
        <f t="shared" si="426"/>
        <v>0</v>
      </c>
      <c r="GL179" s="203"/>
      <c r="GM179" s="205"/>
      <c r="GN179" s="205"/>
      <c r="GO179" s="204"/>
      <c r="GP179" s="208">
        <f t="shared" si="427"/>
        <v>0</v>
      </c>
      <c r="GQ179" s="203"/>
      <c r="GR179" s="205"/>
      <c r="GS179" s="205"/>
      <c r="GT179" s="205"/>
      <c r="GU179" s="204"/>
      <c r="GV179" s="208">
        <f t="shared" si="428"/>
        <v>0</v>
      </c>
      <c r="GW179" s="203"/>
      <c r="GX179" s="205"/>
      <c r="GY179" s="205"/>
      <c r="GZ179" s="205"/>
      <c r="HA179" s="205"/>
      <c r="HB179" s="204"/>
      <c r="HC179" s="208">
        <f t="shared" si="429"/>
        <v>0</v>
      </c>
      <c r="HD179" s="208">
        <f t="shared" si="430"/>
        <v>0</v>
      </c>
      <c r="HE179" s="203">
        <v>0.94399999999999995</v>
      </c>
      <c r="HF179" s="205"/>
      <c r="HG179" s="205"/>
      <c r="HH179" s="205"/>
      <c r="HI179" s="208">
        <f t="shared" si="436"/>
        <v>0.94399999999999995</v>
      </c>
      <c r="HJ179" s="203"/>
      <c r="HK179" s="205"/>
      <c r="HL179" s="205"/>
      <c r="HM179" s="205"/>
      <c r="HN179" s="204"/>
      <c r="HO179" s="245">
        <f t="shared" si="437"/>
        <v>0</v>
      </c>
      <c r="HP179" s="203">
        <f>0.39+25.526+20+8</f>
        <v>53.915999999999997</v>
      </c>
      <c r="HQ179" s="205"/>
      <c r="HR179" s="205"/>
      <c r="HS179" s="205"/>
      <c r="HT179" s="204"/>
      <c r="HU179" s="208">
        <f t="shared" si="438"/>
        <v>53.915999999999997</v>
      </c>
      <c r="HV179" s="203"/>
      <c r="HW179" s="205"/>
      <c r="HX179" s="205"/>
      <c r="HY179" s="208">
        <f t="shared" si="395"/>
        <v>0</v>
      </c>
      <c r="HZ179" s="203"/>
      <c r="IA179" s="205"/>
      <c r="IB179" s="204">
        <v>0.94399999999999995</v>
      </c>
      <c r="IC179" s="208">
        <f t="shared" si="439"/>
        <v>0.94399999999999995</v>
      </c>
      <c r="ID179" s="208">
        <f t="shared" si="396"/>
        <v>55.804000000000002</v>
      </c>
      <c r="IE179" s="203"/>
      <c r="IF179" s="204"/>
      <c r="IG179" s="208">
        <f t="shared" si="440"/>
        <v>0</v>
      </c>
      <c r="IH179" s="203"/>
      <c r="II179" s="205"/>
      <c r="IJ179" s="205"/>
      <c r="IK179" s="205"/>
      <c r="IL179" s="204"/>
      <c r="IM179" s="208">
        <f t="shared" si="441"/>
        <v>0</v>
      </c>
      <c r="IN179" s="203"/>
      <c r="IO179" s="205"/>
      <c r="IP179" s="204"/>
      <c r="IQ179" s="208">
        <f t="shared" si="442"/>
        <v>0</v>
      </c>
      <c r="IR179" s="203"/>
      <c r="IS179" s="205"/>
      <c r="IT179" s="205"/>
      <c r="IU179" s="205"/>
      <c r="IV179" s="204"/>
      <c r="IW179" s="208">
        <f t="shared" si="443"/>
        <v>0</v>
      </c>
      <c r="IX179" s="203"/>
      <c r="IY179" s="205"/>
      <c r="IZ179" s="205"/>
      <c r="JA179" s="205"/>
      <c r="JB179" s="204">
        <v>0.94399999999999995</v>
      </c>
      <c r="JC179" s="208">
        <f t="shared" si="444"/>
        <v>0.94399999999999995</v>
      </c>
      <c r="JD179" s="208">
        <f t="shared" si="431"/>
        <v>0.94399999999999995</v>
      </c>
      <c r="JE179" s="203"/>
      <c r="JF179" s="205"/>
      <c r="JG179" s="205"/>
      <c r="JH179" s="205"/>
      <c r="JI179" s="204"/>
      <c r="JJ179" s="208">
        <f t="shared" si="445"/>
        <v>0</v>
      </c>
      <c r="JK179" s="203"/>
      <c r="JL179" s="205"/>
      <c r="JM179" s="205"/>
      <c r="JN179" s="205"/>
      <c r="JO179" s="204"/>
      <c r="JP179" s="208">
        <f t="shared" si="446"/>
        <v>0</v>
      </c>
      <c r="JQ179" s="203"/>
      <c r="JR179" s="205"/>
      <c r="JS179" s="205"/>
      <c r="JT179" s="205"/>
      <c r="JU179" s="204"/>
      <c r="JV179" s="208">
        <f t="shared" si="447"/>
        <v>0</v>
      </c>
      <c r="JW179" s="203"/>
      <c r="JX179" s="205"/>
      <c r="JY179" s="205"/>
      <c r="JZ179" s="205"/>
      <c r="KA179" s="205"/>
      <c r="KB179" s="204"/>
      <c r="KC179" s="208">
        <f t="shared" si="448"/>
        <v>0</v>
      </c>
      <c r="KD179" s="208">
        <f t="shared" si="449"/>
        <v>0</v>
      </c>
      <c r="KE179" s="203"/>
      <c r="KF179" s="205"/>
      <c r="KG179" s="205"/>
      <c r="KH179" s="205"/>
      <c r="KI179" s="204"/>
      <c r="KJ179" s="208">
        <f t="shared" si="450"/>
        <v>0</v>
      </c>
      <c r="KK179" s="203"/>
      <c r="KL179" s="205"/>
      <c r="KM179" s="205"/>
      <c r="KN179" s="205"/>
      <c r="KO179" s="204"/>
      <c r="KP179" s="208">
        <f t="shared" si="451"/>
        <v>0</v>
      </c>
      <c r="KQ179" s="203"/>
      <c r="KR179" s="205"/>
      <c r="KS179" s="205"/>
      <c r="KT179" s="205"/>
      <c r="KU179" s="204"/>
      <c r="KV179" s="208">
        <f t="shared" si="452"/>
        <v>0</v>
      </c>
      <c r="KW179" s="203"/>
      <c r="KX179" s="205"/>
      <c r="KY179" s="205"/>
      <c r="KZ179" s="205"/>
      <c r="LA179" s="204"/>
      <c r="LB179" s="208">
        <f t="shared" si="453"/>
        <v>0</v>
      </c>
      <c r="LC179" s="202"/>
      <c r="LD179" s="244"/>
      <c r="LE179" s="245"/>
      <c r="LF179" s="208">
        <f t="shared" si="454"/>
        <v>0</v>
      </c>
      <c r="LG179" s="208">
        <f t="shared" si="455"/>
        <v>0</v>
      </c>
    </row>
    <row r="180" spans="2:319" s="91" customFormat="1">
      <c r="B180" s="93" t="s">
        <v>430</v>
      </c>
      <c r="C180" s="167"/>
      <c r="D180" s="202">
        <f t="shared" si="457"/>
        <v>0</v>
      </c>
      <c r="E180" s="167"/>
      <c r="F180" s="177"/>
      <c r="G180" s="177"/>
      <c r="H180" s="177"/>
      <c r="I180" s="178"/>
      <c r="J180" s="202">
        <f t="shared" si="463"/>
        <v>0</v>
      </c>
      <c r="K180" s="167"/>
      <c r="L180" s="177"/>
      <c r="M180" s="177"/>
      <c r="N180" s="178"/>
      <c r="O180" s="202">
        <f t="shared" si="462"/>
        <v>0</v>
      </c>
      <c r="P180" s="167"/>
      <c r="Q180" s="177">
        <v>172.989</v>
      </c>
      <c r="R180" s="177"/>
      <c r="S180" s="177"/>
      <c r="T180" s="178"/>
      <c r="U180" s="202">
        <f t="shared" si="459"/>
        <v>172.989</v>
      </c>
      <c r="V180" s="167"/>
      <c r="W180" s="177"/>
      <c r="X180" s="177"/>
      <c r="Y180" s="177"/>
      <c r="Z180" s="177"/>
      <c r="AA180" s="208">
        <f t="shared" si="460"/>
        <v>0</v>
      </c>
      <c r="AB180" s="208">
        <f t="shared" si="461"/>
        <v>172.989</v>
      </c>
      <c r="AC180" s="203"/>
      <c r="AD180" s="205"/>
      <c r="AE180" s="205">
        <v>250</v>
      </c>
      <c r="AF180" s="205"/>
      <c r="AG180" s="204"/>
      <c r="AH180" s="208">
        <f t="shared" si="399"/>
        <v>250</v>
      </c>
      <c r="AI180" s="203"/>
      <c r="AJ180" s="205"/>
      <c r="AK180" s="205">
        <v>636.37800000000004</v>
      </c>
      <c r="AL180" s="205"/>
      <c r="AM180" s="204"/>
      <c r="AN180" s="208">
        <f t="shared" si="400"/>
        <v>636.37800000000004</v>
      </c>
      <c r="AO180" s="203"/>
      <c r="AP180" s="205"/>
      <c r="AQ180" s="205">
        <v>123.508</v>
      </c>
      <c r="AR180" s="205"/>
      <c r="AS180" s="204"/>
      <c r="AT180" s="208">
        <f t="shared" si="401"/>
        <v>123.508</v>
      </c>
      <c r="AU180" s="203"/>
      <c r="AV180" s="205"/>
      <c r="AW180" s="205"/>
      <c r="AX180" s="205"/>
      <c r="AY180" s="204"/>
      <c r="AZ180" s="208">
        <f t="shared" si="402"/>
        <v>0</v>
      </c>
      <c r="BA180" s="208">
        <f t="shared" si="435"/>
        <v>1009.8860000000001</v>
      </c>
      <c r="BB180" s="203"/>
      <c r="BC180" s="205"/>
      <c r="BD180" s="205"/>
      <c r="BE180" s="205"/>
      <c r="BF180" s="204"/>
      <c r="BG180" s="208">
        <f t="shared" si="403"/>
        <v>0</v>
      </c>
      <c r="BH180" s="203"/>
      <c r="BI180" s="205"/>
      <c r="BJ180" s="205"/>
      <c r="BK180" s="205"/>
      <c r="BL180" s="204"/>
      <c r="BM180" s="208">
        <f t="shared" si="404"/>
        <v>0</v>
      </c>
      <c r="BN180" s="203">
        <v>73.123999999999995</v>
      </c>
      <c r="BO180" s="205"/>
      <c r="BP180" s="205"/>
      <c r="BQ180" s="204"/>
      <c r="BR180" s="208">
        <f t="shared" si="405"/>
        <v>73.123999999999995</v>
      </c>
      <c r="BS180" s="203"/>
      <c r="BT180" s="205"/>
      <c r="BU180" s="205"/>
      <c r="BV180" s="205"/>
      <c r="BW180" s="204">
        <f>0.39+26.798+8</f>
        <v>35.188000000000002</v>
      </c>
      <c r="BX180" s="208">
        <f t="shared" si="390"/>
        <v>35.188000000000002</v>
      </c>
      <c r="BY180" s="203"/>
      <c r="BZ180" s="205"/>
      <c r="CA180" s="208">
        <f t="shared" si="406"/>
        <v>0</v>
      </c>
      <c r="CB180" s="208">
        <f t="shared" si="407"/>
        <v>108.312</v>
      </c>
      <c r="CC180" s="203"/>
      <c r="CD180" s="205"/>
      <c r="CE180" s="205"/>
      <c r="CF180" s="208">
        <f t="shared" si="408"/>
        <v>0</v>
      </c>
      <c r="CG180" s="203"/>
      <c r="CH180" s="205"/>
      <c r="CI180" s="205"/>
      <c r="CJ180" s="204"/>
      <c r="CK180" s="208">
        <f t="shared" si="391"/>
        <v>0</v>
      </c>
      <c r="CL180" s="203"/>
      <c r="CM180" s="205"/>
      <c r="CN180" s="205"/>
      <c r="CO180" s="205"/>
      <c r="CP180" s="204">
        <v>2610.62</v>
      </c>
      <c r="CQ180" s="208">
        <f t="shared" si="409"/>
        <v>2610.62</v>
      </c>
      <c r="CR180" s="203"/>
      <c r="CS180" s="205"/>
      <c r="CT180" s="205"/>
      <c r="CU180" s="205"/>
      <c r="CV180" s="204"/>
      <c r="CW180" s="208">
        <f t="shared" si="392"/>
        <v>0</v>
      </c>
      <c r="CX180" s="203"/>
      <c r="CY180" s="205"/>
      <c r="CZ180" s="205"/>
      <c r="DA180" s="204"/>
      <c r="DB180" s="208">
        <f t="shared" si="410"/>
        <v>0</v>
      </c>
      <c r="DC180" s="208">
        <f t="shared" si="411"/>
        <v>2610.62</v>
      </c>
      <c r="DD180" s="203"/>
      <c r="DE180" s="205"/>
      <c r="DF180" s="205">
        <v>39.39</v>
      </c>
      <c r="DG180" s="205"/>
      <c r="DH180" s="205"/>
      <c r="DI180" s="208">
        <f t="shared" si="412"/>
        <v>39.39</v>
      </c>
      <c r="DJ180" s="203"/>
      <c r="DK180" s="205"/>
      <c r="DL180" s="205"/>
      <c r="DM180" s="205"/>
      <c r="DN180" s="204"/>
      <c r="DO180" s="208">
        <f t="shared" si="413"/>
        <v>0</v>
      </c>
      <c r="DP180" s="203"/>
      <c r="DQ180" s="205"/>
      <c r="DR180" s="205"/>
      <c r="DS180" s="205"/>
      <c r="DT180" s="204"/>
      <c r="DU180" s="245">
        <f t="shared" si="414"/>
        <v>0</v>
      </c>
      <c r="DV180" s="203"/>
      <c r="DW180" s="205"/>
      <c r="DX180" s="205"/>
      <c r="DY180" s="205"/>
      <c r="DZ180" s="204"/>
      <c r="EA180" s="208">
        <f t="shared" si="415"/>
        <v>0</v>
      </c>
      <c r="EB180" s="208">
        <f t="shared" si="416"/>
        <v>39.39</v>
      </c>
      <c r="EC180" s="203"/>
      <c r="ED180" s="205"/>
      <c r="EE180" s="205"/>
      <c r="EF180" s="205"/>
      <c r="EG180" s="204">
        <v>219.16</v>
      </c>
      <c r="EH180" s="208">
        <f t="shared" si="417"/>
        <v>219.16</v>
      </c>
      <c r="EI180" s="203"/>
      <c r="EJ180" s="205"/>
      <c r="EK180" s="205"/>
      <c r="EL180" s="205"/>
      <c r="EM180" s="204"/>
      <c r="EN180" s="208">
        <f t="shared" si="418"/>
        <v>0</v>
      </c>
      <c r="EO180" s="203"/>
      <c r="EP180" s="205"/>
      <c r="EQ180" s="205"/>
      <c r="ER180" s="205"/>
      <c r="ES180" s="204"/>
      <c r="ET180" s="308">
        <f t="shared" si="419"/>
        <v>0</v>
      </c>
      <c r="EU180" s="203"/>
      <c r="EV180" s="205"/>
      <c r="EW180" s="205"/>
      <c r="EX180" s="205"/>
      <c r="EY180" s="205"/>
      <c r="EZ180" s="205"/>
      <c r="FA180" s="204"/>
      <c r="FB180" s="208">
        <f t="shared" si="420"/>
        <v>0</v>
      </c>
      <c r="FC180" s="208">
        <f t="shared" si="421"/>
        <v>219.16</v>
      </c>
      <c r="FD180" s="203"/>
      <c r="FE180" s="205"/>
      <c r="FF180" s="204"/>
      <c r="FG180" s="208">
        <f t="shared" si="422"/>
        <v>0</v>
      </c>
      <c r="FH180" s="203"/>
      <c r="FI180" s="205"/>
      <c r="FJ180" s="205"/>
      <c r="FK180" s="205"/>
      <c r="FL180" s="204"/>
      <c r="FM180" s="208">
        <f t="shared" si="423"/>
        <v>0</v>
      </c>
      <c r="FN180" s="203"/>
      <c r="FO180" s="205"/>
      <c r="FP180" s="205"/>
      <c r="FQ180" s="205">
        <v>1253.2840000000001</v>
      </c>
      <c r="FR180" s="208">
        <f t="shared" si="393"/>
        <v>1253.2840000000001</v>
      </c>
      <c r="FS180" s="203"/>
      <c r="FT180" s="205"/>
      <c r="FU180" s="205"/>
      <c r="FV180" s="205"/>
      <c r="FW180" s="204"/>
      <c r="FX180" s="208">
        <f t="shared" si="424"/>
        <v>0</v>
      </c>
      <c r="FY180" s="203"/>
      <c r="FZ180" s="205"/>
      <c r="GA180" s="205"/>
      <c r="GB180" s="205"/>
      <c r="GC180" s="204"/>
      <c r="GD180" s="208">
        <f t="shared" si="425"/>
        <v>0</v>
      </c>
      <c r="GE180" s="208">
        <f t="shared" si="394"/>
        <v>1253.2840000000001</v>
      </c>
      <c r="GF180" s="203"/>
      <c r="GG180" s="205"/>
      <c r="GH180" s="205"/>
      <c r="GI180" s="205"/>
      <c r="GJ180" s="205"/>
      <c r="GK180" s="208">
        <f t="shared" si="426"/>
        <v>0</v>
      </c>
      <c r="GL180" s="203"/>
      <c r="GM180" s="205"/>
      <c r="GN180" s="205"/>
      <c r="GO180" s="204"/>
      <c r="GP180" s="208">
        <f t="shared" si="427"/>
        <v>0</v>
      </c>
      <c r="GQ180" s="203"/>
      <c r="GR180" s="205"/>
      <c r="GS180" s="205"/>
      <c r="GT180" s="205"/>
      <c r="GU180" s="204"/>
      <c r="GV180" s="208">
        <f t="shared" si="428"/>
        <v>0</v>
      </c>
      <c r="GW180" s="203"/>
      <c r="GX180" s="205"/>
      <c r="GY180" s="205"/>
      <c r="GZ180" s="205"/>
      <c r="HA180" s="205"/>
      <c r="HB180" s="204"/>
      <c r="HC180" s="208">
        <f t="shared" si="429"/>
        <v>0</v>
      </c>
      <c r="HD180" s="208">
        <f t="shared" si="430"/>
        <v>0</v>
      </c>
      <c r="HE180" s="203"/>
      <c r="HF180" s="205"/>
      <c r="HG180" s="205"/>
      <c r="HH180" s="205"/>
      <c r="HI180" s="208">
        <f t="shared" si="436"/>
        <v>0</v>
      </c>
      <c r="HJ180" s="203"/>
      <c r="HK180" s="205"/>
      <c r="HL180" s="205"/>
      <c r="HM180" s="205"/>
      <c r="HN180" s="204"/>
      <c r="HO180" s="245">
        <f t="shared" si="437"/>
        <v>0</v>
      </c>
      <c r="HP180" s="203"/>
      <c r="HQ180" s="205"/>
      <c r="HR180" s="205"/>
      <c r="HS180" s="205"/>
      <c r="HT180" s="204"/>
      <c r="HU180" s="208">
        <f t="shared" si="438"/>
        <v>0</v>
      </c>
      <c r="HV180" s="203"/>
      <c r="HW180" s="205"/>
      <c r="HX180" s="205"/>
      <c r="HY180" s="208">
        <f t="shared" si="395"/>
        <v>0</v>
      </c>
      <c r="HZ180" s="203"/>
      <c r="IA180" s="205"/>
      <c r="IB180" s="204"/>
      <c r="IC180" s="208">
        <f t="shared" si="439"/>
        <v>0</v>
      </c>
      <c r="ID180" s="208">
        <f t="shared" si="396"/>
        <v>0</v>
      </c>
      <c r="IE180" s="203"/>
      <c r="IF180" s="204"/>
      <c r="IG180" s="208">
        <f t="shared" si="440"/>
        <v>0</v>
      </c>
      <c r="IH180" s="203"/>
      <c r="II180" s="205">
        <v>67.569999999999993</v>
      </c>
      <c r="IJ180" s="205"/>
      <c r="IK180" s="205">
        <v>2339.8670000000002</v>
      </c>
      <c r="IL180" s="204"/>
      <c r="IM180" s="208">
        <f t="shared" si="441"/>
        <v>2407.4370000000004</v>
      </c>
      <c r="IN180" s="203"/>
      <c r="IO180" s="205"/>
      <c r="IP180" s="204"/>
      <c r="IQ180" s="208">
        <f t="shared" si="442"/>
        <v>0</v>
      </c>
      <c r="IR180" s="203"/>
      <c r="IS180" s="205">
        <v>3060.66</v>
      </c>
      <c r="IT180" s="205"/>
      <c r="IU180" s="205"/>
      <c r="IV180" s="204"/>
      <c r="IW180" s="208">
        <f t="shared" si="443"/>
        <v>3060.66</v>
      </c>
      <c r="IX180" s="203"/>
      <c r="IY180" s="205">
        <v>640.24300000000005</v>
      </c>
      <c r="IZ180" s="205"/>
      <c r="JA180" s="205"/>
      <c r="JB180" s="204"/>
      <c r="JC180" s="208">
        <f t="shared" si="444"/>
        <v>640.24300000000005</v>
      </c>
      <c r="JD180" s="208">
        <f t="shared" si="431"/>
        <v>6108.34</v>
      </c>
      <c r="JE180" s="203"/>
      <c r="JF180" s="205"/>
      <c r="JG180" s="205"/>
      <c r="JH180" s="205"/>
      <c r="JI180" s="204"/>
      <c r="JJ180" s="208">
        <f t="shared" si="445"/>
        <v>0</v>
      </c>
      <c r="JK180" s="203"/>
      <c r="JL180" s="205"/>
      <c r="JM180" s="205"/>
      <c r="JN180" s="205"/>
      <c r="JO180" s="204"/>
      <c r="JP180" s="208">
        <f t="shared" si="446"/>
        <v>0</v>
      </c>
      <c r="JQ180" s="203"/>
      <c r="JR180" s="205"/>
      <c r="JS180" s="205"/>
      <c r="JT180" s="205"/>
      <c r="JU180" s="204"/>
      <c r="JV180" s="208">
        <f t="shared" si="447"/>
        <v>0</v>
      </c>
      <c r="JW180" s="203"/>
      <c r="JX180" s="205"/>
      <c r="JY180" s="205"/>
      <c r="JZ180" s="205"/>
      <c r="KA180" s="205"/>
      <c r="KB180" s="204"/>
      <c r="KC180" s="208">
        <f t="shared" si="448"/>
        <v>0</v>
      </c>
      <c r="KD180" s="208">
        <f t="shared" si="449"/>
        <v>0</v>
      </c>
      <c r="KE180" s="203"/>
      <c r="KF180" s="205"/>
      <c r="KG180" s="205"/>
      <c r="KH180" s="205"/>
      <c r="KI180" s="204"/>
      <c r="KJ180" s="208">
        <f t="shared" si="450"/>
        <v>0</v>
      </c>
      <c r="KK180" s="203"/>
      <c r="KL180" s="205"/>
      <c r="KM180" s="205"/>
      <c r="KN180" s="205"/>
      <c r="KO180" s="204"/>
      <c r="KP180" s="208">
        <f t="shared" si="451"/>
        <v>0</v>
      </c>
      <c r="KQ180" s="203"/>
      <c r="KR180" s="205"/>
      <c r="KS180" s="205"/>
      <c r="KT180" s="205"/>
      <c r="KU180" s="204"/>
      <c r="KV180" s="208">
        <f t="shared" si="452"/>
        <v>0</v>
      </c>
      <c r="KW180" s="203"/>
      <c r="KX180" s="205"/>
      <c r="KY180" s="205"/>
      <c r="KZ180" s="205"/>
      <c r="LA180" s="204"/>
      <c r="LB180" s="208">
        <f t="shared" si="453"/>
        <v>0</v>
      </c>
      <c r="LC180" s="202"/>
      <c r="LD180" s="244"/>
      <c r="LE180" s="245"/>
      <c r="LF180" s="208">
        <f t="shared" si="454"/>
        <v>0</v>
      </c>
      <c r="LG180" s="208">
        <f t="shared" si="455"/>
        <v>0</v>
      </c>
    </row>
    <row r="181" spans="2:319" s="91" customFormat="1">
      <c r="B181" s="93" t="s">
        <v>380</v>
      </c>
      <c r="C181" s="167"/>
      <c r="D181" s="202">
        <f t="shared" si="457"/>
        <v>0</v>
      </c>
      <c r="E181" s="167"/>
      <c r="F181" s="177"/>
      <c r="G181" s="177"/>
      <c r="H181" s="177"/>
      <c r="I181" s="178"/>
      <c r="J181" s="202">
        <f t="shared" si="463"/>
        <v>0</v>
      </c>
      <c r="K181" s="167"/>
      <c r="L181" s="177"/>
      <c r="M181" s="177"/>
      <c r="N181" s="178"/>
      <c r="O181" s="202">
        <f t="shared" si="462"/>
        <v>0</v>
      </c>
      <c r="P181" s="167"/>
      <c r="Q181" s="177"/>
      <c r="R181" s="177"/>
      <c r="S181" s="177"/>
      <c r="T181" s="178"/>
      <c r="U181" s="202">
        <f t="shared" si="459"/>
        <v>0</v>
      </c>
      <c r="V181" s="167"/>
      <c r="W181" s="177"/>
      <c r="X181" s="177"/>
      <c r="Y181" s="177"/>
      <c r="Z181" s="177"/>
      <c r="AA181" s="208">
        <f t="shared" si="460"/>
        <v>0</v>
      </c>
      <c r="AB181" s="208">
        <f t="shared" si="461"/>
        <v>0</v>
      </c>
      <c r="AC181" s="203"/>
      <c r="AD181" s="205"/>
      <c r="AE181" s="205"/>
      <c r="AF181" s="205"/>
      <c r="AG181" s="204"/>
      <c r="AH181" s="208">
        <f t="shared" si="399"/>
        <v>0</v>
      </c>
      <c r="AI181" s="203"/>
      <c r="AJ181" s="205"/>
      <c r="AK181" s="205"/>
      <c r="AL181" s="205"/>
      <c r="AM181" s="204"/>
      <c r="AN181" s="208">
        <f t="shared" si="400"/>
        <v>0</v>
      </c>
      <c r="AO181" s="203"/>
      <c r="AP181" s="205"/>
      <c r="AQ181" s="205"/>
      <c r="AR181" s="205"/>
      <c r="AS181" s="204"/>
      <c r="AT181" s="208">
        <f t="shared" si="401"/>
        <v>0</v>
      </c>
      <c r="AU181" s="203"/>
      <c r="AV181" s="205"/>
      <c r="AW181" s="205"/>
      <c r="AX181" s="205"/>
      <c r="AY181" s="204"/>
      <c r="AZ181" s="208">
        <f t="shared" si="402"/>
        <v>0</v>
      </c>
      <c r="BA181" s="208">
        <f t="shared" si="435"/>
        <v>0</v>
      </c>
      <c r="BB181" s="203"/>
      <c r="BC181" s="205"/>
      <c r="BD181" s="205"/>
      <c r="BE181" s="205"/>
      <c r="BF181" s="204"/>
      <c r="BG181" s="208">
        <f t="shared" si="403"/>
        <v>0</v>
      </c>
      <c r="BH181" s="203"/>
      <c r="BI181" s="205"/>
      <c r="BJ181" s="205"/>
      <c r="BK181" s="205"/>
      <c r="BL181" s="204"/>
      <c r="BM181" s="208">
        <f t="shared" si="404"/>
        <v>0</v>
      </c>
      <c r="BN181" s="203"/>
      <c r="BO181" s="205"/>
      <c r="BP181" s="205"/>
      <c r="BQ181" s="204"/>
      <c r="BR181" s="208">
        <f t="shared" si="405"/>
        <v>0</v>
      </c>
      <c r="BS181" s="203"/>
      <c r="BT181" s="205"/>
      <c r="BU181" s="205"/>
      <c r="BV181" s="205"/>
      <c r="BW181" s="204"/>
      <c r="BX181" s="208">
        <f t="shared" si="390"/>
        <v>0</v>
      </c>
      <c r="BY181" s="203"/>
      <c r="BZ181" s="205"/>
      <c r="CA181" s="208">
        <f t="shared" si="406"/>
        <v>0</v>
      </c>
      <c r="CB181" s="208">
        <f t="shared" si="407"/>
        <v>0</v>
      </c>
      <c r="CC181" s="203"/>
      <c r="CD181" s="205"/>
      <c r="CE181" s="205"/>
      <c r="CF181" s="208">
        <f t="shared" si="408"/>
        <v>0</v>
      </c>
      <c r="CG181" s="203"/>
      <c r="CH181" s="205"/>
      <c r="CI181" s="205"/>
      <c r="CJ181" s="204"/>
      <c r="CK181" s="208">
        <f t="shared" si="391"/>
        <v>0</v>
      </c>
      <c r="CL181" s="203"/>
      <c r="CM181" s="205"/>
      <c r="CN181" s="205"/>
      <c r="CO181" s="205"/>
      <c r="CP181" s="204"/>
      <c r="CQ181" s="208">
        <f t="shared" si="409"/>
        <v>0</v>
      </c>
      <c r="CR181" s="203"/>
      <c r="CS181" s="205"/>
      <c r="CT181" s="205"/>
      <c r="CU181" s="205"/>
      <c r="CV181" s="204">
        <v>10</v>
      </c>
      <c r="CW181" s="208">
        <f t="shared" si="392"/>
        <v>10</v>
      </c>
      <c r="CX181" s="203"/>
      <c r="CY181" s="205"/>
      <c r="CZ181" s="205"/>
      <c r="DA181" s="204"/>
      <c r="DB181" s="208">
        <f t="shared" si="410"/>
        <v>0</v>
      </c>
      <c r="DC181" s="208">
        <f t="shared" si="411"/>
        <v>10</v>
      </c>
      <c r="DD181" s="203"/>
      <c r="DE181" s="205"/>
      <c r="DF181" s="205"/>
      <c r="DG181" s="205"/>
      <c r="DH181" s="205"/>
      <c r="DI181" s="208">
        <f t="shared" si="412"/>
        <v>0</v>
      </c>
      <c r="DJ181" s="203"/>
      <c r="DK181" s="205"/>
      <c r="DL181" s="205"/>
      <c r="DM181" s="205"/>
      <c r="DN181" s="204"/>
      <c r="DO181" s="208">
        <f t="shared" si="413"/>
        <v>0</v>
      </c>
      <c r="DP181" s="203"/>
      <c r="DQ181" s="205"/>
      <c r="DR181" s="205"/>
      <c r="DS181" s="205"/>
      <c r="DT181" s="204"/>
      <c r="DU181" s="245">
        <f t="shared" si="414"/>
        <v>0</v>
      </c>
      <c r="DV181" s="203"/>
      <c r="DW181" s="205"/>
      <c r="DX181" s="205"/>
      <c r="DY181" s="205"/>
      <c r="DZ181" s="204"/>
      <c r="EA181" s="208">
        <f t="shared" si="415"/>
        <v>0</v>
      </c>
      <c r="EB181" s="208">
        <f t="shared" si="416"/>
        <v>0</v>
      </c>
      <c r="EC181" s="203"/>
      <c r="ED181" s="205"/>
      <c r="EE181" s="205"/>
      <c r="EF181" s="205"/>
      <c r="EG181" s="204"/>
      <c r="EH181" s="208">
        <f t="shared" si="417"/>
        <v>0</v>
      </c>
      <c r="EI181" s="203"/>
      <c r="EJ181" s="205"/>
      <c r="EK181" s="205"/>
      <c r="EL181" s="205"/>
      <c r="EM181" s="204"/>
      <c r="EN181" s="208">
        <f t="shared" si="418"/>
        <v>0</v>
      </c>
      <c r="EO181" s="203"/>
      <c r="EP181" s="205"/>
      <c r="EQ181" s="205"/>
      <c r="ER181" s="205"/>
      <c r="ES181" s="204"/>
      <c r="ET181" s="308">
        <f t="shared" si="419"/>
        <v>0</v>
      </c>
      <c r="EU181" s="203"/>
      <c r="EV181" s="205"/>
      <c r="EW181" s="205"/>
      <c r="EX181" s="205"/>
      <c r="EY181" s="205"/>
      <c r="EZ181" s="205"/>
      <c r="FA181" s="204"/>
      <c r="FB181" s="208">
        <f t="shared" si="420"/>
        <v>0</v>
      </c>
      <c r="FC181" s="208">
        <f t="shared" si="421"/>
        <v>0</v>
      </c>
      <c r="FD181" s="203"/>
      <c r="FE181" s="205"/>
      <c r="FF181" s="204"/>
      <c r="FG181" s="208">
        <f t="shared" si="422"/>
        <v>0</v>
      </c>
      <c r="FH181" s="203"/>
      <c r="FI181" s="205"/>
      <c r="FJ181" s="205"/>
      <c r="FK181" s="205"/>
      <c r="FL181" s="204"/>
      <c r="FM181" s="208">
        <f t="shared" si="423"/>
        <v>0</v>
      </c>
      <c r="FN181" s="203"/>
      <c r="FO181" s="205"/>
      <c r="FP181" s="205"/>
      <c r="FQ181" s="205"/>
      <c r="FR181" s="208">
        <f t="shared" si="393"/>
        <v>0</v>
      </c>
      <c r="FS181" s="203"/>
      <c r="FT181" s="205"/>
      <c r="FU181" s="205"/>
      <c r="FV181" s="205"/>
      <c r="FW181" s="204"/>
      <c r="FX181" s="208">
        <f t="shared" si="424"/>
        <v>0</v>
      </c>
      <c r="FY181" s="203"/>
      <c r="FZ181" s="205"/>
      <c r="GA181" s="205"/>
      <c r="GB181" s="205"/>
      <c r="GC181" s="204"/>
      <c r="GD181" s="208">
        <f t="shared" si="425"/>
        <v>0</v>
      </c>
      <c r="GE181" s="208">
        <f t="shared" si="394"/>
        <v>0</v>
      </c>
      <c r="GF181" s="203"/>
      <c r="GG181" s="205"/>
      <c r="GH181" s="205"/>
      <c r="GI181" s="205"/>
      <c r="GJ181" s="205"/>
      <c r="GK181" s="208">
        <f t="shared" si="426"/>
        <v>0</v>
      </c>
      <c r="GL181" s="203"/>
      <c r="GM181" s="205"/>
      <c r="GN181" s="205"/>
      <c r="GO181" s="204"/>
      <c r="GP181" s="208">
        <f t="shared" si="427"/>
        <v>0</v>
      </c>
      <c r="GQ181" s="203"/>
      <c r="GR181" s="205"/>
      <c r="GS181" s="205"/>
      <c r="GT181" s="205"/>
      <c r="GU181" s="204"/>
      <c r="GV181" s="208">
        <f t="shared" si="428"/>
        <v>0</v>
      </c>
      <c r="GW181" s="203"/>
      <c r="GX181" s="205">
        <v>10</v>
      </c>
      <c r="GY181" s="205"/>
      <c r="GZ181" s="205"/>
      <c r="HA181" s="205"/>
      <c r="HB181" s="204"/>
      <c r="HC181" s="208">
        <f t="shared" si="429"/>
        <v>10</v>
      </c>
      <c r="HD181" s="208">
        <f t="shared" si="430"/>
        <v>10</v>
      </c>
      <c r="HE181" s="203"/>
      <c r="HF181" s="205"/>
      <c r="HG181" s="205"/>
      <c r="HH181" s="205"/>
      <c r="HI181" s="208">
        <f t="shared" si="436"/>
        <v>0</v>
      </c>
      <c r="HJ181" s="203"/>
      <c r="HK181" s="205"/>
      <c r="HL181" s="205"/>
      <c r="HM181" s="205"/>
      <c r="HN181" s="204"/>
      <c r="HO181" s="245">
        <f t="shared" si="437"/>
        <v>0</v>
      </c>
      <c r="HP181" s="203"/>
      <c r="HQ181" s="205"/>
      <c r="HR181" s="205"/>
      <c r="HS181" s="205"/>
      <c r="HT181" s="204"/>
      <c r="HU181" s="208">
        <f t="shared" si="438"/>
        <v>0</v>
      </c>
      <c r="HV181" s="203"/>
      <c r="HW181" s="205"/>
      <c r="HX181" s="205"/>
      <c r="HY181" s="208">
        <f t="shared" si="395"/>
        <v>0</v>
      </c>
      <c r="HZ181" s="203"/>
      <c r="IA181" s="205"/>
      <c r="IB181" s="204"/>
      <c r="IC181" s="208">
        <f t="shared" si="439"/>
        <v>0</v>
      </c>
      <c r="ID181" s="208">
        <f t="shared" si="396"/>
        <v>0</v>
      </c>
      <c r="IE181" s="203"/>
      <c r="IF181" s="204"/>
      <c r="IG181" s="208">
        <f t="shared" si="440"/>
        <v>0</v>
      </c>
      <c r="IH181" s="203"/>
      <c r="II181" s="205"/>
      <c r="IJ181" s="205"/>
      <c r="IK181" s="205"/>
      <c r="IL181" s="204"/>
      <c r="IM181" s="208">
        <f t="shared" si="441"/>
        <v>0</v>
      </c>
      <c r="IN181" s="203"/>
      <c r="IO181" s="205"/>
      <c r="IP181" s="204"/>
      <c r="IQ181" s="208">
        <f t="shared" si="442"/>
        <v>0</v>
      </c>
      <c r="IR181" s="203"/>
      <c r="IS181" s="205"/>
      <c r="IT181" s="205"/>
      <c r="IU181" s="205"/>
      <c r="IV181" s="204"/>
      <c r="IW181" s="208">
        <f t="shared" si="443"/>
        <v>0</v>
      </c>
      <c r="IX181" s="203"/>
      <c r="IY181" s="205"/>
      <c r="IZ181" s="205"/>
      <c r="JA181" s="205"/>
      <c r="JB181" s="204"/>
      <c r="JC181" s="208">
        <f t="shared" si="444"/>
        <v>0</v>
      </c>
      <c r="JD181" s="208">
        <f t="shared" si="431"/>
        <v>0</v>
      </c>
      <c r="JE181" s="203"/>
      <c r="JF181" s="205"/>
      <c r="JG181" s="205"/>
      <c r="JH181" s="205"/>
      <c r="JI181" s="204"/>
      <c r="JJ181" s="208">
        <f t="shared" si="445"/>
        <v>0</v>
      </c>
      <c r="JK181" s="203"/>
      <c r="JL181" s="205"/>
      <c r="JM181" s="205"/>
      <c r="JN181" s="205"/>
      <c r="JO181" s="204"/>
      <c r="JP181" s="208">
        <f t="shared" si="446"/>
        <v>0</v>
      </c>
      <c r="JQ181" s="203"/>
      <c r="JR181" s="205"/>
      <c r="JS181" s="205"/>
      <c r="JT181" s="205"/>
      <c r="JU181" s="204"/>
      <c r="JV181" s="208">
        <f t="shared" si="447"/>
        <v>0</v>
      </c>
      <c r="JW181" s="203"/>
      <c r="JX181" s="205"/>
      <c r="JY181" s="205"/>
      <c r="JZ181" s="205"/>
      <c r="KA181" s="205"/>
      <c r="KB181" s="204"/>
      <c r="KC181" s="208">
        <f t="shared" si="448"/>
        <v>0</v>
      </c>
      <c r="KD181" s="208">
        <f t="shared" si="449"/>
        <v>0</v>
      </c>
      <c r="KE181" s="203"/>
      <c r="KF181" s="205"/>
      <c r="KG181" s="205"/>
      <c r="KH181" s="205"/>
      <c r="KI181" s="204"/>
      <c r="KJ181" s="208">
        <f t="shared" si="450"/>
        <v>0</v>
      </c>
      <c r="KK181" s="203"/>
      <c r="KL181" s="205"/>
      <c r="KM181" s="205"/>
      <c r="KN181" s="205"/>
      <c r="KO181" s="204"/>
      <c r="KP181" s="208">
        <f t="shared" si="451"/>
        <v>0</v>
      </c>
      <c r="KQ181" s="203"/>
      <c r="KR181" s="205"/>
      <c r="KS181" s="205"/>
      <c r="KT181" s="205"/>
      <c r="KU181" s="204"/>
      <c r="KV181" s="208">
        <f t="shared" si="452"/>
        <v>0</v>
      </c>
      <c r="KW181" s="203"/>
      <c r="KX181" s="205"/>
      <c r="KY181" s="205"/>
      <c r="KZ181" s="205"/>
      <c r="LA181" s="204"/>
      <c r="LB181" s="208">
        <f t="shared" si="453"/>
        <v>0</v>
      </c>
      <c r="LC181" s="202"/>
      <c r="LD181" s="244"/>
      <c r="LE181" s="245"/>
      <c r="LF181" s="208">
        <f t="shared" si="454"/>
        <v>0</v>
      </c>
      <c r="LG181" s="208">
        <f t="shared" si="455"/>
        <v>0</v>
      </c>
    </row>
    <row r="182" spans="2:319" s="91" customFormat="1">
      <c r="B182" s="93" t="s">
        <v>381</v>
      </c>
      <c r="C182" s="167">
        <v>263.52199999999999</v>
      </c>
      <c r="D182" s="202">
        <f t="shared" si="457"/>
        <v>263.52199999999999</v>
      </c>
      <c r="E182" s="167">
        <v>0.09</v>
      </c>
      <c r="F182" s="177"/>
      <c r="G182" s="177"/>
      <c r="H182" s="177">
        <v>2.16</v>
      </c>
      <c r="I182" s="178"/>
      <c r="J182" s="202">
        <f t="shared" si="463"/>
        <v>2.25</v>
      </c>
      <c r="K182" s="167"/>
      <c r="L182" s="177">
        <v>0.09</v>
      </c>
      <c r="M182" s="177"/>
      <c r="N182" s="178">
        <v>0.27</v>
      </c>
      <c r="O182" s="202">
        <f t="shared" si="462"/>
        <v>0.36</v>
      </c>
      <c r="P182" s="167"/>
      <c r="Q182" s="177">
        <v>5.3999999999999999E-2</v>
      </c>
      <c r="R182" s="177"/>
      <c r="S182" s="177">
        <v>0.81</v>
      </c>
      <c r="T182" s="178"/>
      <c r="U182" s="202">
        <f t="shared" si="459"/>
        <v>0.8640000000000001</v>
      </c>
      <c r="V182" s="167">
        <v>0.72</v>
      </c>
      <c r="W182" s="177">
        <v>2.3039999999999998</v>
      </c>
      <c r="X182" s="177">
        <v>0.14399999999999999</v>
      </c>
      <c r="Y182" s="177"/>
      <c r="Z182" s="177">
        <v>0.09</v>
      </c>
      <c r="AA182" s="208">
        <f t="shared" si="460"/>
        <v>3.258</v>
      </c>
      <c r="AB182" s="208">
        <f t="shared" si="461"/>
        <v>270.25400000000002</v>
      </c>
      <c r="AC182" s="203">
        <v>261.63200000000001</v>
      </c>
      <c r="AD182" s="205">
        <v>0.95399999999999996</v>
      </c>
      <c r="AE182" s="205">
        <v>48.78</v>
      </c>
      <c r="AF182" s="205"/>
      <c r="AG182" s="204">
        <v>0.09</v>
      </c>
      <c r="AH182" s="208">
        <f t="shared" si="399"/>
        <v>311.45599999999996</v>
      </c>
      <c r="AI182" s="203"/>
      <c r="AJ182" s="205">
        <v>0.72</v>
      </c>
      <c r="AK182" s="205">
        <v>0.14399999999999999</v>
      </c>
      <c r="AL182" s="205">
        <v>0.72</v>
      </c>
      <c r="AM182" s="204"/>
      <c r="AN182" s="208">
        <f t="shared" si="400"/>
        <v>1.5840000000000001</v>
      </c>
      <c r="AO182" s="203">
        <v>0.27</v>
      </c>
      <c r="AP182" s="205">
        <v>4.59</v>
      </c>
      <c r="AQ182" s="205"/>
      <c r="AR182" s="205"/>
      <c r="AS182" s="204">
        <v>0.09</v>
      </c>
      <c r="AT182" s="208">
        <f t="shared" si="401"/>
        <v>4.9499999999999993</v>
      </c>
      <c r="AU182" s="203"/>
      <c r="AV182" s="205">
        <v>0.72</v>
      </c>
      <c r="AW182" s="205"/>
      <c r="AX182" s="205">
        <f>1.53+1.53+1.53+1.53</f>
        <v>6.12</v>
      </c>
      <c r="AY182" s="204"/>
      <c r="AZ182" s="208">
        <f t="shared" si="402"/>
        <v>6.84</v>
      </c>
      <c r="BA182" s="208">
        <f t="shared" si="435"/>
        <v>324.83</v>
      </c>
      <c r="BB182" s="203">
        <v>266.34800000000001</v>
      </c>
      <c r="BC182" s="205">
        <v>0.09</v>
      </c>
      <c r="BD182" s="205">
        <v>0.14399999999999999</v>
      </c>
      <c r="BE182" s="205">
        <v>0.81</v>
      </c>
      <c r="BF182" s="204"/>
      <c r="BG182" s="208">
        <f t="shared" si="403"/>
        <v>267.392</v>
      </c>
      <c r="BH182" s="203"/>
      <c r="BI182" s="205"/>
      <c r="BJ182" s="205">
        <v>5.3999999999999999E-2</v>
      </c>
      <c r="BK182" s="205"/>
      <c r="BL182" s="204">
        <v>0.18</v>
      </c>
      <c r="BM182" s="208">
        <f t="shared" si="404"/>
        <v>0.23399999999999999</v>
      </c>
      <c r="BN182" s="203"/>
      <c r="BO182" s="205">
        <v>0.81</v>
      </c>
      <c r="BP182" s="205"/>
      <c r="BQ182" s="204"/>
      <c r="BR182" s="208">
        <f t="shared" si="405"/>
        <v>0.81</v>
      </c>
      <c r="BS182" s="203"/>
      <c r="BT182" s="205">
        <v>1.53</v>
      </c>
      <c r="BU182" s="205"/>
      <c r="BV182" s="205">
        <v>0.09</v>
      </c>
      <c r="BW182" s="204">
        <v>9.8629999999999995</v>
      </c>
      <c r="BX182" s="208">
        <f t="shared" si="390"/>
        <v>11.483000000000001</v>
      </c>
      <c r="BY182" s="203">
        <v>0.09</v>
      </c>
      <c r="BZ182" s="205">
        <v>6.93</v>
      </c>
      <c r="CA182" s="208">
        <f t="shared" si="406"/>
        <v>7.02</v>
      </c>
      <c r="CB182" s="208">
        <f t="shared" si="407"/>
        <v>286.93899999999996</v>
      </c>
      <c r="CC182" s="203"/>
      <c r="CD182" s="205"/>
      <c r="CE182" s="205"/>
      <c r="CF182" s="208">
        <f t="shared" si="408"/>
        <v>0</v>
      </c>
      <c r="CG182" s="203">
        <v>0.72</v>
      </c>
      <c r="CH182" s="205"/>
      <c r="CI182" s="205">
        <v>0.18</v>
      </c>
      <c r="CJ182" s="204">
        <v>0.27</v>
      </c>
      <c r="CK182" s="208">
        <f t="shared" si="391"/>
        <v>1.17</v>
      </c>
      <c r="CL182" s="203">
        <f>0.72+0.72+0.09</f>
        <v>1.53</v>
      </c>
      <c r="CM182" s="205"/>
      <c r="CN182" s="205"/>
      <c r="CO182" s="205">
        <v>0.09</v>
      </c>
      <c r="CP182" s="204">
        <f>0.72+0.09</f>
        <v>0.80999999999999994</v>
      </c>
      <c r="CQ182" s="208">
        <f t="shared" si="409"/>
        <v>2.4300000000000002</v>
      </c>
      <c r="CR182" s="203">
        <v>0.09</v>
      </c>
      <c r="CS182" s="205">
        <v>0.54</v>
      </c>
      <c r="CT182" s="205"/>
      <c r="CU182" s="205">
        <v>0.27</v>
      </c>
      <c r="CV182" s="204">
        <v>1.8</v>
      </c>
      <c r="CW182" s="208">
        <f t="shared" si="392"/>
        <v>2.7</v>
      </c>
      <c r="CX182" s="203"/>
      <c r="CY182" s="205"/>
      <c r="CZ182" s="205"/>
      <c r="DA182" s="204"/>
      <c r="DB182" s="208">
        <f t="shared" si="410"/>
        <v>0</v>
      </c>
      <c r="DC182" s="208">
        <f t="shared" si="411"/>
        <v>6.3000000000000007</v>
      </c>
      <c r="DD182" s="203">
        <v>259.18299999999999</v>
      </c>
      <c r="DE182" s="205">
        <v>0.14399999999999999</v>
      </c>
      <c r="DF182" s="205">
        <v>7.02</v>
      </c>
      <c r="DG182" s="205"/>
      <c r="DH182" s="205">
        <v>5.3999999999999999E-2</v>
      </c>
      <c r="DI182" s="208">
        <f t="shared" si="412"/>
        <v>266.40099999999995</v>
      </c>
      <c r="DJ182" s="203">
        <v>0.27</v>
      </c>
      <c r="DK182" s="205"/>
      <c r="DL182" s="205"/>
      <c r="DM182" s="205"/>
      <c r="DN182" s="204"/>
      <c r="DO182" s="208">
        <f t="shared" si="413"/>
        <v>0.27</v>
      </c>
      <c r="DP182" s="203"/>
      <c r="DQ182" s="205">
        <v>5.3999999999999999E-2</v>
      </c>
      <c r="DR182" s="205"/>
      <c r="DS182" s="205">
        <v>5.3999999999999999E-2</v>
      </c>
      <c r="DT182" s="204">
        <v>0.18</v>
      </c>
      <c r="DU182" s="245">
        <f t="shared" si="414"/>
        <v>0.28799999999999998</v>
      </c>
      <c r="DV182" s="203"/>
      <c r="DW182" s="205">
        <v>5.3999999999999999E-2</v>
      </c>
      <c r="DX182" s="205">
        <v>4.59</v>
      </c>
      <c r="DY182" s="205">
        <v>1.44</v>
      </c>
      <c r="DZ182" s="204">
        <v>0.27</v>
      </c>
      <c r="EA182" s="208">
        <f t="shared" si="415"/>
        <v>6.3539999999999992</v>
      </c>
      <c r="EB182" s="208">
        <f t="shared" si="416"/>
        <v>273.31299999999993</v>
      </c>
      <c r="EC182" s="203">
        <v>255.94200000000001</v>
      </c>
      <c r="ED182" s="205"/>
      <c r="EE182" s="205">
        <v>5.3999999999999999E-2</v>
      </c>
      <c r="EF182" s="205"/>
      <c r="EG182" s="204">
        <v>39.503999999999998</v>
      </c>
      <c r="EH182" s="208">
        <f t="shared" si="417"/>
        <v>295.5</v>
      </c>
      <c r="EI182" s="203">
        <f>1.53+1.53</f>
        <v>3.06</v>
      </c>
      <c r="EJ182" s="205"/>
      <c r="EK182" s="205"/>
      <c r="EL182" s="205"/>
      <c r="EM182" s="204"/>
      <c r="EN182" s="208">
        <f t="shared" si="418"/>
        <v>3.06</v>
      </c>
      <c r="EO182" s="203"/>
      <c r="EP182" s="205"/>
      <c r="EQ182" s="205">
        <v>0.14399999999999999</v>
      </c>
      <c r="ER182" s="205"/>
      <c r="ES182" s="204"/>
      <c r="ET182" s="308">
        <f t="shared" si="419"/>
        <v>0.14399999999999999</v>
      </c>
      <c r="EU182" s="203"/>
      <c r="EV182" s="205"/>
      <c r="EW182" s="205"/>
      <c r="EX182" s="205">
        <v>0.72</v>
      </c>
      <c r="EY182" s="205">
        <f>0.72+0.72</f>
        <v>1.44</v>
      </c>
      <c r="EZ182" s="205">
        <f>0.72+0.72</f>
        <v>1.44</v>
      </c>
      <c r="FA182" s="204">
        <v>5.3999999999999999E-2</v>
      </c>
      <c r="FB182" s="208">
        <f>SUM(EU182:FA182)</f>
        <v>3.6539999999999999</v>
      </c>
      <c r="FC182" s="208">
        <f t="shared" si="421"/>
        <v>302.358</v>
      </c>
      <c r="FD182" s="203">
        <v>133.90199999999999</v>
      </c>
      <c r="FE182" s="205"/>
      <c r="FF182" s="204">
        <v>5.3999999999999999E-2</v>
      </c>
      <c r="FG182" s="208">
        <f t="shared" si="422"/>
        <v>133.95599999999999</v>
      </c>
      <c r="FH182" s="203"/>
      <c r="FI182" s="205"/>
      <c r="FJ182" s="205"/>
      <c r="FK182" s="205">
        <v>4.5</v>
      </c>
      <c r="FL182" s="204"/>
      <c r="FM182" s="208">
        <f t="shared" si="423"/>
        <v>4.5</v>
      </c>
      <c r="FN182" s="203">
        <v>0.18</v>
      </c>
      <c r="FO182" s="205">
        <v>0.09</v>
      </c>
      <c r="FP182" s="205"/>
      <c r="FQ182" s="205"/>
      <c r="FR182" s="208">
        <f t="shared" si="393"/>
        <v>0.27</v>
      </c>
      <c r="FS182" s="203">
        <v>0.108</v>
      </c>
      <c r="FT182" s="205"/>
      <c r="FU182" s="205"/>
      <c r="FV182" s="205"/>
      <c r="FW182" s="204"/>
      <c r="FX182" s="208">
        <f t="shared" si="424"/>
        <v>0.108</v>
      </c>
      <c r="FY182" s="203"/>
      <c r="FZ182" s="205">
        <v>1.53</v>
      </c>
      <c r="GA182" s="205"/>
      <c r="GB182" s="205">
        <v>1.53</v>
      </c>
      <c r="GC182" s="204">
        <v>1.53</v>
      </c>
      <c r="GD182" s="208">
        <f t="shared" si="425"/>
        <v>4.59</v>
      </c>
      <c r="GE182" s="208">
        <f t="shared" si="394"/>
        <v>143.42400000000001</v>
      </c>
      <c r="GF182" s="203">
        <v>0.27</v>
      </c>
      <c r="GG182" s="205">
        <v>137.578</v>
      </c>
      <c r="GH182" s="205"/>
      <c r="GI182" s="205"/>
      <c r="GJ182" s="205"/>
      <c r="GK182" s="208">
        <f t="shared" si="426"/>
        <v>137.84800000000001</v>
      </c>
      <c r="GL182" s="203"/>
      <c r="GM182" s="205"/>
      <c r="GN182" s="205"/>
      <c r="GO182" s="204">
        <v>0.09</v>
      </c>
      <c r="GP182" s="208">
        <f t="shared" si="427"/>
        <v>0.09</v>
      </c>
      <c r="GQ182" s="203"/>
      <c r="GR182" s="205"/>
      <c r="GS182" s="205">
        <v>0.18</v>
      </c>
      <c r="GT182" s="205">
        <v>1.53</v>
      </c>
      <c r="GU182" s="204"/>
      <c r="GV182" s="208">
        <f t="shared" si="428"/>
        <v>1.71</v>
      </c>
      <c r="GW182" s="203">
        <v>0.72</v>
      </c>
      <c r="GX182" s="205">
        <v>1.8</v>
      </c>
      <c r="GY182" s="205"/>
      <c r="GZ182" s="205"/>
      <c r="HA182" s="205"/>
      <c r="HB182" s="204">
        <v>0.18</v>
      </c>
      <c r="HC182" s="208">
        <f t="shared" si="429"/>
        <v>2.7</v>
      </c>
      <c r="HD182" s="208">
        <f t="shared" si="430"/>
        <v>142.34800000000001</v>
      </c>
      <c r="HE182" s="203">
        <v>135.68799999999999</v>
      </c>
      <c r="HF182" s="205">
        <v>3.2040000000000002</v>
      </c>
      <c r="HG182" s="205"/>
      <c r="HH182" s="205"/>
      <c r="HI182" s="208">
        <f t="shared" si="436"/>
        <v>138.892</v>
      </c>
      <c r="HJ182" s="203">
        <v>0.72</v>
      </c>
      <c r="HK182" s="205"/>
      <c r="HL182" s="205"/>
      <c r="HM182" s="205"/>
      <c r="HN182" s="204">
        <f>1.53+1.53+0.054</f>
        <v>3.1139999999999999</v>
      </c>
      <c r="HO182" s="245">
        <f t="shared" si="437"/>
        <v>3.8339999999999996</v>
      </c>
      <c r="HP182" s="203">
        <f>9.634+4.5</f>
        <v>14.134</v>
      </c>
      <c r="HQ182" s="205"/>
      <c r="HR182" s="205"/>
      <c r="HS182" s="205">
        <v>0.27</v>
      </c>
      <c r="HT182" s="204"/>
      <c r="HU182" s="208">
        <f t="shared" si="438"/>
        <v>14.404</v>
      </c>
      <c r="HV182" s="203"/>
      <c r="HW182" s="205">
        <v>0.09</v>
      </c>
      <c r="HX182" s="205">
        <v>1.53</v>
      </c>
      <c r="HY182" s="208">
        <f t="shared" si="395"/>
        <v>1.62</v>
      </c>
      <c r="HZ182" s="203">
        <f>1.53+0.72</f>
        <v>2.25</v>
      </c>
      <c r="IA182" s="205">
        <v>1.53</v>
      </c>
      <c r="IB182" s="204"/>
      <c r="IC182" s="208">
        <f t="shared" si="439"/>
        <v>3.7800000000000002</v>
      </c>
      <c r="ID182" s="208">
        <f t="shared" si="396"/>
        <v>162.53</v>
      </c>
      <c r="IE182" s="203">
        <v>142.83799999999999</v>
      </c>
      <c r="IF182" s="204">
        <v>0.14399999999999999</v>
      </c>
      <c r="IG182" s="208">
        <f t="shared" si="440"/>
        <v>142.982</v>
      </c>
      <c r="IH182" s="203"/>
      <c r="II182" s="205"/>
      <c r="IJ182" s="205"/>
      <c r="IK182" s="205"/>
      <c r="IL182" s="204">
        <v>0.09</v>
      </c>
      <c r="IM182" s="208">
        <f t="shared" si="441"/>
        <v>0.09</v>
      </c>
      <c r="IN182" s="203"/>
      <c r="IO182" s="205"/>
      <c r="IP182" s="204">
        <v>0.09</v>
      </c>
      <c r="IQ182" s="208">
        <f t="shared" si="442"/>
        <v>0.09</v>
      </c>
      <c r="IR182" s="203">
        <v>2.25</v>
      </c>
      <c r="IS182" s="205">
        <v>0.18</v>
      </c>
      <c r="IT182" s="205"/>
      <c r="IU182" s="205"/>
      <c r="IV182" s="204"/>
      <c r="IW182" s="208">
        <f t="shared" si="443"/>
        <v>2.4300000000000002</v>
      </c>
      <c r="IX182" s="203"/>
      <c r="IY182" s="205"/>
      <c r="IZ182" s="205">
        <v>1.53</v>
      </c>
      <c r="JA182" s="205"/>
      <c r="JB182" s="204">
        <v>0.72</v>
      </c>
      <c r="JC182" s="208">
        <f t="shared" si="444"/>
        <v>2.25</v>
      </c>
      <c r="JD182" s="208">
        <f t="shared" si="431"/>
        <v>147.84199999999998</v>
      </c>
      <c r="JE182" s="203">
        <f>0.72+0.09</f>
        <v>0.80999999999999994</v>
      </c>
      <c r="JF182" s="205">
        <v>142.83799999999999</v>
      </c>
      <c r="JG182" s="205"/>
      <c r="JH182" s="205">
        <v>0.72</v>
      </c>
      <c r="JI182" s="204">
        <v>0.63</v>
      </c>
      <c r="JJ182" s="208">
        <f t="shared" si="445"/>
        <v>144.99799999999999</v>
      </c>
      <c r="JK182" s="203"/>
      <c r="JL182" s="205"/>
      <c r="JM182" s="205"/>
      <c r="JN182" s="205"/>
      <c r="JO182" s="204"/>
      <c r="JP182" s="208">
        <f t="shared" si="446"/>
        <v>0</v>
      </c>
      <c r="JQ182" s="203"/>
      <c r="JR182" s="205"/>
      <c r="JS182" s="205"/>
      <c r="JT182" s="205"/>
      <c r="JU182" s="204"/>
      <c r="JV182" s="208">
        <f t="shared" si="447"/>
        <v>0</v>
      </c>
      <c r="JW182" s="203"/>
      <c r="JX182" s="205"/>
      <c r="JY182" s="205"/>
      <c r="JZ182" s="205"/>
      <c r="KA182" s="205"/>
      <c r="KB182" s="204"/>
      <c r="KC182" s="208">
        <f t="shared" si="448"/>
        <v>0</v>
      </c>
      <c r="KD182" s="208">
        <f t="shared" si="449"/>
        <v>144.99799999999999</v>
      </c>
      <c r="KE182" s="203"/>
      <c r="KF182" s="205"/>
      <c r="KG182" s="205"/>
      <c r="KH182" s="205"/>
      <c r="KI182" s="204"/>
      <c r="KJ182" s="208">
        <f t="shared" si="450"/>
        <v>0</v>
      </c>
      <c r="KK182" s="203"/>
      <c r="KL182" s="205"/>
      <c r="KM182" s="205"/>
      <c r="KN182" s="205"/>
      <c r="KO182" s="204"/>
      <c r="KP182" s="208">
        <f t="shared" si="451"/>
        <v>0</v>
      </c>
      <c r="KQ182" s="203"/>
      <c r="KR182" s="205"/>
      <c r="KS182" s="205"/>
      <c r="KT182" s="205"/>
      <c r="KU182" s="204"/>
      <c r="KV182" s="208">
        <f t="shared" si="452"/>
        <v>0</v>
      </c>
      <c r="KW182" s="203"/>
      <c r="KX182" s="205"/>
      <c r="KY182" s="205"/>
      <c r="KZ182" s="205"/>
      <c r="LA182" s="204"/>
      <c r="LB182" s="208">
        <f t="shared" si="453"/>
        <v>0</v>
      </c>
      <c r="LC182" s="202"/>
      <c r="LD182" s="244"/>
      <c r="LE182" s="245"/>
      <c r="LF182" s="208">
        <f t="shared" si="454"/>
        <v>0</v>
      </c>
      <c r="LG182" s="208">
        <f t="shared" si="455"/>
        <v>0</v>
      </c>
    </row>
    <row r="183" spans="2:319">
      <c r="B183" s="93" t="s">
        <v>116</v>
      </c>
      <c r="C183" s="93"/>
      <c r="D183" s="202">
        <f>SUM(C183:C183)</f>
        <v>0</v>
      </c>
      <c r="E183" s="93"/>
      <c r="F183" s="200"/>
      <c r="G183" s="200"/>
      <c r="H183" s="200"/>
      <c r="I183" s="176"/>
      <c r="J183" s="202">
        <f t="shared" si="458"/>
        <v>0</v>
      </c>
      <c r="K183" s="167"/>
      <c r="L183" s="177"/>
      <c r="M183" s="177"/>
      <c r="N183" s="178"/>
      <c r="O183" s="202">
        <f>SUM(K183:N183)</f>
        <v>0</v>
      </c>
      <c r="P183" s="167"/>
      <c r="Q183" s="177"/>
      <c r="R183" s="177"/>
      <c r="S183" s="177"/>
      <c r="T183" s="178"/>
      <c r="U183" s="202">
        <f t="shared" si="459"/>
        <v>0</v>
      </c>
      <c r="V183" s="167"/>
      <c r="W183" s="177"/>
      <c r="X183" s="177"/>
      <c r="Y183" s="177"/>
      <c r="Z183" s="178"/>
      <c r="AA183" s="208">
        <f t="shared" si="460"/>
        <v>0</v>
      </c>
      <c r="AB183" s="208">
        <f>D183+J183+O183+U183+AA183</f>
        <v>0</v>
      </c>
      <c r="AC183" s="203"/>
      <c r="AD183" s="205"/>
      <c r="AE183" s="205"/>
      <c r="AF183" s="205"/>
      <c r="AG183" s="204"/>
      <c r="AH183" s="208">
        <f t="shared" si="399"/>
        <v>0</v>
      </c>
      <c r="AI183" s="203"/>
      <c r="AJ183" s="205"/>
      <c r="AK183" s="205"/>
      <c r="AL183" s="205"/>
      <c r="AM183" s="204"/>
      <c r="AN183" s="208">
        <f t="shared" si="400"/>
        <v>0</v>
      </c>
      <c r="AO183" s="203"/>
      <c r="AP183" s="205"/>
      <c r="AQ183" s="205"/>
      <c r="AR183" s="205"/>
      <c r="AS183" s="204"/>
      <c r="AT183" s="208">
        <f t="shared" si="401"/>
        <v>0</v>
      </c>
      <c r="AU183" s="203"/>
      <c r="AV183" s="205"/>
      <c r="AW183" s="205"/>
      <c r="AX183" s="205"/>
      <c r="AY183" s="204"/>
      <c r="AZ183" s="208">
        <f t="shared" si="402"/>
        <v>0</v>
      </c>
      <c r="BA183" s="208">
        <f t="shared" si="435"/>
        <v>0</v>
      </c>
      <c r="BB183" s="203"/>
      <c r="BC183" s="205"/>
      <c r="BD183" s="205"/>
      <c r="BE183" s="205"/>
      <c r="BF183" s="204"/>
      <c r="BG183" s="208">
        <f t="shared" si="403"/>
        <v>0</v>
      </c>
      <c r="BH183" s="203"/>
      <c r="BI183" s="205"/>
      <c r="BJ183" s="205"/>
      <c r="BK183" s="205"/>
      <c r="BL183" s="204"/>
      <c r="BM183" s="208">
        <f t="shared" si="404"/>
        <v>0</v>
      </c>
      <c r="BN183" s="203"/>
      <c r="BO183" s="205"/>
      <c r="BP183" s="205"/>
      <c r="BQ183" s="204"/>
      <c r="BR183" s="208">
        <f t="shared" si="405"/>
        <v>0</v>
      </c>
      <c r="BS183" s="203"/>
      <c r="BT183" s="205"/>
      <c r="BU183" s="205"/>
      <c r="BV183" s="205"/>
      <c r="BW183" s="204"/>
      <c r="BX183" s="208">
        <f t="shared" si="390"/>
        <v>0</v>
      </c>
      <c r="BY183" s="203"/>
      <c r="BZ183" s="205"/>
      <c r="CA183" s="208">
        <f t="shared" si="406"/>
        <v>0</v>
      </c>
      <c r="CB183" s="208">
        <f t="shared" si="407"/>
        <v>0</v>
      </c>
      <c r="CC183" s="203"/>
      <c r="CD183" s="205"/>
      <c r="CE183" s="205"/>
      <c r="CF183" s="208">
        <f t="shared" si="408"/>
        <v>0</v>
      </c>
      <c r="CG183" s="203"/>
      <c r="CH183" s="205"/>
      <c r="CI183" s="205"/>
      <c r="CJ183" s="204"/>
      <c r="CK183" s="208">
        <f>SUM(CG183:CJ183)</f>
        <v>0</v>
      </c>
      <c r="CL183" s="203"/>
      <c r="CM183" s="205"/>
      <c r="CN183" s="205"/>
      <c r="CO183" s="205"/>
      <c r="CP183" s="204"/>
      <c r="CQ183" s="208">
        <f t="shared" si="409"/>
        <v>0</v>
      </c>
      <c r="CR183" s="203"/>
      <c r="CS183" s="205"/>
      <c r="CT183" s="205"/>
      <c r="CU183" s="205"/>
      <c r="CV183" s="204"/>
      <c r="CW183" s="208">
        <f>SUM(CR183:CV183)</f>
        <v>0</v>
      </c>
      <c r="CX183" s="203"/>
      <c r="CY183" s="205"/>
      <c r="CZ183" s="205"/>
      <c r="DA183" s="204"/>
      <c r="DB183" s="208">
        <f t="shared" si="410"/>
        <v>0</v>
      </c>
      <c r="DC183" s="208">
        <f t="shared" si="411"/>
        <v>0</v>
      </c>
      <c r="DD183" s="203"/>
      <c r="DE183" s="205"/>
      <c r="DF183" s="205"/>
      <c r="DG183" s="205"/>
      <c r="DH183" s="205"/>
      <c r="DI183" s="208">
        <f t="shared" si="412"/>
        <v>0</v>
      </c>
      <c r="DJ183" s="203"/>
      <c r="DK183" s="205"/>
      <c r="DL183" s="205"/>
      <c r="DM183" s="205"/>
      <c r="DN183" s="204"/>
      <c r="DO183" s="208">
        <f t="shared" si="413"/>
        <v>0</v>
      </c>
      <c r="DP183" s="203"/>
      <c r="DQ183" s="205"/>
      <c r="DR183" s="205"/>
      <c r="DS183" s="205"/>
      <c r="DT183" s="204"/>
      <c r="DU183" s="245">
        <f t="shared" si="414"/>
        <v>0</v>
      </c>
      <c r="DV183" s="203"/>
      <c r="DW183" s="205"/>
      <c r="DX183" s="205"/>
      <c r="DY183" s="205"/>
      <c r="DZ183" s="204"/>
      <c r="EA183" s="208">
        <f t="shared" si="415"/>
        <v>0</v>
      </c>
      <c r="EB183" s="208">
        <f t="shared" si="416"/>
        <v>0</v>
      </c>
      <c r="EC183" s="203"/>
      <c r="ED183" s="205"/>
      <c r="EE183" s="205"/>
      <c r="EF183" s="205"/>
      <c r="EG183" s="204"/>
      <c r="EH183" s="208">
        <f t="shared" si="417"/>
        <v>0</v>
      </c>
      <c r="EI183" s="203"/>
      <c r="EJ183" s="205"/>
      <c r="EK183" s="205"/>
      <c r="EL183" s="205"/>
      <c r="EM183" s="204"/>
      <c r="EN183" s="208">
        <f t="shared" si="418"/>
        <v>0</v>
      </c>
      <c r="EO183" s="203"/>
      <c r="EP183" s="205"/>
      <c r="EQ183" s="205"/>
      <c r="ER183" s="205"/>
      <c r="ES183" s="204"/>
      <c r="ET183" s="308">
        <f t="shared" si="419"/>
        <v>0</v>
      </c>
      <c r="EU183" s="203"/>
      <c r="EV183" s="205"/>
      <c r="EW183" s="205"/>
      <c r="EX183" s="205"/>
      <c r="EY183" s="205"/>
      <c r="EZ183" s="205"/>
      <c r="FA183" s="204"/>
      <c r="FB183" s="208">
        <f>SUM(EU183:FA183)</f>
        <v>0</v>
      </c>
      <c r="FC183" s="208">
        <f t="shared" si="421"/>
        <v>0</v>
      </c>
      <c r="FD183" s="203"/>
      <c r="FE183" s="205"/>
      <c r="FF183" s="204"/>
      <c r="FG183" s="208">
        <f t="shared" si="422"/>
        <v>0</v>
      </c>
      <c r="FH183" s="203"/>
      <c r="FI183" s="205"/>
      <c r="FJ183" s="205"/>
      <c r="FK183" s="205"/>
      <c r="FL183" s="204"/>
      <c r="FM183" s="208">
        <f t="shared" si="423"/>
        <v>0</v>
      </c>
      <c r="FN183" s="203"/>
      <c r="FO183" s="205"/>
      <c r="FP183" s="205"/>
      <c r="FQ183" s="205"/>
      <c r="FR183" s="208">
        <f t="shared" si="393"/>
        <v>0</v>
      </c>
      <c r="FS183" s="203"/>
      <c r="FT183" s="205"/>
      <c r="FU183" s="205"/>
      <c r="FV183" s="205"/>
      <c r="FW183" s="204"/>
      <c r="FX183" s="208">
        <f t="shared" si="424"/>
        <v>0</v>
      </c>
      <c r="FY183" s="203"/>
      <c r="FZ183" s="205"/>
      <c r="GA183" s="205"/>
      <c r="GB183" s="205"/>
      <c r="GC183" s="204"/>
      <c r="GD183" s="208">
        <f t="shared" si="425"/>
        <v>0</v>
      </c>
      <c r="GE183" s="208">
        <f t="shared" si="394"/>
        <v>0</v>
      </c>
      <c r="GF183" s="203"/>
      <c r="GG183" s="205"/>
      <c r="GH183" s="205"/>
      <c r="GI183" s="205"/>
      <c r="GJ183" s="205"/>
      <c r="GK183" s="208">
        <f t="shared" si="426"/>
        <v>0</v>
      </c>
      <c r="GL183" s="203"/>
      <c r="GM183" s="205"/>
      <c r="GN183" s="205"/>
      <c r="GO183" s="204"/>
      <c r="GP183" s="208">
        <f t="shared" si="427"/>
        <v>0</v>
      </c>
      <c r="GQ183" s="203"/>
      <c r="GR183" s="205"/>
      <c r="GS183" s="205"/>
      <c r="GT183" s="205"/>
      <c r="GU183" s="204"/>
      <c r="GV183" s="208">
        <f t="shared" si="428"/>
        <v>0</v>
      </c>
      <c r="GW183" s="203"/>
      <c r="GX183" s="205"/>
      <c r="GY183" s="205"/>
      <c r="GZ183" s="205"/>
      <c r="HA183" s="205"/>
      <c r="HB183" s="204"/>
      <c r="HC183" s="208">
        <f t="shared" si="429"/>
        <v>0</v>
      </c>
      <c r="HD183" s="208">
        <f t="shared" si="430"/>
        <v>0</v>
      </c>
      <c r="HE183" s="203"/>
      <c r="HF183" s="205"/>
      <c r="HG183" s="205"/>
      <c r="HH183" s="205"/>
      <c r="HI183" s="208">
        <f t="shared" si="436"/>
        <v>0</v>
      </c>
      <c r="HJ183" s="203"/>
      <c r="HK183" s="205"/>
      <c r="HL183" s="205"/>
      <c r="HM183" s="205"/>
      <c r="HN183" s="204"/>
      <c r="HO183" s="245">
        <f t="shared" si="437"/>
        <v>0</v>
      </c>
      <c r="HP183" s="203"/>
      <c r="HQ183" s="205"/>
      <c r="HR183" s="205"/>
      <c r="HS183" s="205"/>
      <c r="HT183" s="204"/>
      <c r="HU183" s="208">
        <f t="shared" si="438"/>
        <v>0</v>
      </c>
      <c r="HV183" s="203"/>
      <c r="HW183" s="205"/>
      <c r="HX183" s="205"/>
      <c r="HY183" s="208">
        <f t="shared" si="395"/>
        <v>0</v>
      </c>
      <c r="HZ183" s="203"/>
      <c r="IA183" s="205"/>
      <c r="IB183" s="204"/>
      <c r="IC183" s="208">
        <f t="shared" si="439"/>
        <v>0</v>
      </c>
      <c r="ID183" s="208">
        <f t="shared" si="396"/>
        <v>0</v>
      </c>
      <c r="IE183" s="203"/>
      <c r="IF183" s="204"/>
      <c r="IG183" s="208">
        <f t="shared" si="440"/>
        <v>0</v>
      </c>
      <c r="IH183" s="203"/>
      <c r="II183" s="205"/>
      <c r="IJ183" s="205"/>
      <c r="IK183" s="205"/>
      <c r="IL183" s="204"/>
      <c r="IM183" s="208">
        <f t="shared" si="441"/>
        <v>0</v>
      </c>
      <c r="IN183" s="203"/>
      <c r="IO183" s="205"/>
      <c r="IP183" s="204"/>
      <c r="IQ183" s="208">
        <f t="shared" si="442"/>
        <v>0</v>
      </c>
      <c r="IR183" s="203"/>
      <c r="IS183" s="205"/>
      <c r="IT183" s="205"/>
      <c r="IU183" s="205"/>
      <c r="IV183" s="204"/>
      <c r="IW183" s="208">
        <f t="shared" si="443"/>
        <v>0</v>
      </c>
      <c r="IX183" s="203"/>
      <c r="IY183" s="205"/>
      <c r="IZ183" s="205"/>
      <c r="JA183" s="205"/>
      <c r="JB183" s="204"/>
      <c r="JC183" s="208">
        <f t="shared" si="444"/>
        <v>0</v>
      </c>
      <c r="JD183" s="208">
        <f t="shared" si="431"/>
        <v>0</v>
      </c>
      <c r="JE183" s="203"/>
      <c r="JF183" s="205"/>
      <c r="JG183" s="205"/>
      <c r="JH183" s="205"/>
      <c r="JI183" s="204"/>
      <c r="JJ183" s="208">
        <f t="shared" si="445"/>
        <v>0</v>
      </c>
      <c r="JK183" s="203"/>
      <c r="JL183" s="205"/>
      <c r="JM183" s="205"/>
      <c r="JN183" s="205"/>
      <c r="JO183" s="204"/>
      <c r="JP183" s="208">
        <f t="shared" si="446"/>
        <v>0</v>
      </c>
      <c r="JQ183" s="203"/>
      <c r="JR183" s="205"/>
      <c r="JS183" s="205"/>
      <c r="JT183" s="205"/>
      <c r="JU183" s="204"/>
      <c r="JV183" s="208">
        <f t="shared" si="447"/>
        <v>0</v>
      </c>
      <c r="JW183" s="203"/>
      <c r="JX183" s="205"/>
      <c r="JY183" s="205"/>
      <c r="JZ183" s="205"/>
      <c r="KA183" s="205"/>
      <c r="KB183" s="204"/>
      <c r="KC183" s="208">
        <f t="shared" si="448"/>
        <v>0</v>
      </c>
      <c r="KD183" s="208">
        <f t="shared" si="449"/>
        <v>0</v>
      </c>
      <c r="KE183" s="203"/>
      <c r="KF183" s="205"/>
      <c r="KG183" s="205"/>
      <c r="KH183" s="205"/>
      <c r="KI183" s="204"/>
      <c r="KJ183" s="208">
        <f t="shared" si="450"/>
        <v>0</v>
      </c>
      <c r="KK183" s="203"/>
      <c r="KL183" s="205"/>
      <c r="KM183" s="205"/>
      <c r="KN183" s="205"/>
      <c r="KO183" s="204"/>
      <c r="KP183" s="208">
        <f t="shared" si="451"/>
        <v>0</v>
      </c>
      <c r="KQ183" s="203"/>
      <c r="KR183" s="205"/>
      <c r="KS183" s="205"/>
      <c r="KT183" s="205"/>
      <c r="KU183" s="204"/>
      <c r="KV183" s="208">
        <f t="shared" si="452"/>
        <v>0</v>
      </c>
      <c r="KW183" s="203"/>
      <c r="KX183" s="205"/>
      <c r="KY183" s="205"/>
      <c r="KZ183" s="205"/>
      <c r="LA183" s="204"/>
      <c r="LB183" s="208">
        <f t="shared" si="453"/>
        <v>0</v>
      </c>
      <c r="LC183" s="202"/>
      <c r="LD183" s="244"/>
      <c r="LE183" s="245"/>
      <c r="LF183" s="208">
        <f t="shared" si="454"/>
        <v>0</v>
      </c>
      <c r="LG183" s="208">
        <f t="shared" si="455"/>
        <v>0</v>
      </c>
    </row>
    <row r="184" spans="2:319">
      <c r="B184" s="93"/>
      <c r="C184" s="93"/>
      <c r="D184" s="181"/>
      <c r="E184" s="93"/>
      <c r="F184" s="200"/>
      <c r="G184" s="200"/>
      <c r="H184" s="200"/>
      <c r="I184" s="176"/>
      <c r="J184" s="181"/>
      <c r="K184" s="167"/>
      <c r="L184" s="177"/>
      <c r="M184" s="177"/>
      <c r="N184" s="178"/>
      <c r="O184" s="181"/>
      <c r="P184" s="167"/>
      <c r="Q184" s="177"/>
      <c r="R184" s="177"/>
      <c r="S184" s="177"/>
      <c r="T184" s="178"/>
      <c r="U184" s="181"/>
      <c r="V184" s="167"/>
      <c r="W184" s="177"/>
      <c r="X184" s="177"/>
      <c r="Y184" s="177"/>
      <c r="Z184" s="178"/>
      <c r="AA184" s="181"/>
      <c r="AB184" s="146"/>
      <c r="AC184" s="242"/>
      <c r="AD184" s="224"/>
      <c r="AE184" s="224"/>
      <c r="AF184" s="224"/>
      <c r="AG184" s="243"/>
      <c r="AH184" s="146"/>
      <c r="AI184" s="167"/>
      <c r="AJ184" s="177"/>
      <c r="AK184" s="177"/>
      <c r="AL184" s="177"/>
      <c r="AM184" s="178"/>
      <c r="AN184" s="146"/>
      <c r="AO184" s="167"/>
      <c r="AP184" s="177"/>
      <c r="AQ184" s="177"/>
      <c r="AR184" s="177"/>
      <c r="AS184" s="178"/>
      <c r="AT184" s="146"/>
      <c r="AU184" s="167"/>
      <c r="AV184" s="177"/>
      <c r="AW184" s="177"/>
      <c r="AX184" s="177"/>
      <c r="AY184" s="178"/>
      <c r="AZ184" s="146"/>
      <c r="BA184" s="168"/>
      <c r="BB184" s="181"/>
      <c r="BC184" s="238"/>
      <c r="BD184" s="238"/>
      <c r="BE184" s="238"/>
      <c r="BF184" s="239"/>
      <c r="BG184" s="168"/>
      <c r="BH184" s="181"/>
      <c r="BI184" s="238"/>
      <c r="BJ184" s="238"/>
      <c r="BK184" s="238"/>
      <c r="BL184" s="239"/>
      <c r="BM184" s="168"/>
      <c r="BN184" s="181"/>
      <c r="BO184" s="238"/>
      <c r="BP184" s="238"/>
      <c r="BQ184" s="239"/>
      <c r="BR184" s="168"/>
      <c r="BS184" s="181"/>
      <c r="BT184" s="238"/>
      <c r="BU184" s="238"/>
      <c r="BV184" s="238"/>
      <c r="BW184" s="239"/>
      <c r="BX184" s="168"/>
      <c r="BY184" s="181"/>
      <c r="BZ184" s="238"/>
      <c r="CA184" s="168"/>
      <c r="CB184" s="168"/>
      <c r="CC184" s="242"/>
      <c r="CD184" s="224"/>
      <c r="CE184" s="224"/>
      <c r="CF184" s="168"/>
      <c r="CG184" s="242"/>
      <c r="CH184" s="224"/>
      <c r="CI184" s="224"/>
      <c r="CJ184" s="243"/>
      <c r="CK184" s="168"/>
      <c r="CL184" s="242"/>
      <c r="CM184" s="224"/>
      <c r="CN184" s="224"/>
      <c r="CO184" s="224"/>
      <c r="CP184" s="243"/>
      <c r="CQ184" s="168"/>
      <c r="CR184" s="242"/>
      <c r="CS184" s="224"/>
      <c r="CT184" s="224"/>
      <c r="CU184" s="224"/>
      <c r="CV184" s="243"/>
      <c r="CW184" s="168"/>
      <c r="CX184" s="242"/>
      <c r="CY184" s="224"/>
      <c r="CZ184" s="224"/>
      <c r="DA184" s="243"/>
      <c r="DB184" s="168"/>
      <c r="DC184" s="168"/>
      <c r="DD184" s="242"/>
      <c r="DE184" s="224"/>
      <c r="DF184" s="224"/>
      <c r="DG184" s="224"/>
      <c r="DH184" s="224"/>
      <c r="DI184" s="168"/>
      <c r="DJ184" s="181"/>
      <c r="DK184" s="238"/>
      <c r="DL184" s="238"/>
      <c r="DM184" s="238"/>
      <c r="DN184" s="239"/>
      <c r="DO184" s="168"/>
      <c r="DP184" s="242"/>
      <c r="DQ184" s="224"/>
      <c r="DR184" s="224"/>
      <c r="DS184" s="224"/>
      <c r="DT184" s="243"/>
      <c r="DU184" s="168"/>
      <c r="DV184" s="242"/>
      <c r="DW184" s="224"/>
      <c r="DX184" s="224"/>
      <c r="DY184" s="224"/>
      <c r="DZ184" s="243"/>
      <c r="EA184" s="168"/>
      <c r="EB184" s="168"/>
      <c r="EC184" s="242"/>
      <c r="ED184" s="224"/>
      <c r="EE184" s="224"/>
      <c r="EF184" s="224"/>
      <c r="EG184" s="243"/>
      <c r="EH184" s="181"/>
      <c r="EI184" s="242"/>
      <c r="EJ184" s="224"/>
      <c r="EK184" s="224"/>
      <c r="EL184" s="224"/>
      <c r="EM184" s="243"/>
      <c r="EN184" s="168"/>
      <c r="EO184" s="242"/>
      <c r="EP184" s="224"/>
      <c r="EQ184" s="224"/>
      <c r="ER184" s="224"/>
      <c r="ES184" s="243"/>
      <c r="ET184" s="181"/>
      <c r="EU184" s="181"/>
      <c r="EV184" s="238"/>
      <c r="EW184" s="238"/>
      <c r="EX184" s="238"/>
      <c r="EY184" s="238"/>
      <c r="EZ184" s="238"/>
      <c r="FA184" s="239"/>
      <c r="FB184" s="168"/>
      <c r="FC184" s="168"/>
      <c r="FD184" s="181"/>
      <c r="FE184" s="238"/>
      <c r="FF184" s="239"/>
      <c r="FG184" s="168"/>
      <c r="FH184" s="181"/>
      <c r="FI184" s="238"/>
      <c r="FJ184" s="238"/>
      <c r="FK184" s="238"/>
      <c r="FL184" s="239"/>
      <c r="FM184" s="168"/>
      <c r="FN184" s="181"/>
      <c r="FO184" s="238"/>
      <c r="FP184" s="238"/>
      <c r="FQ184" s="238"/>
      <c r="FR184" s="168"/>
      <c r="FS184" s="181"/>
      <c r="FT184" s="238"/>
      <c r="FU184" s="238"/>
      <c r="FV184" s="238"/>
      <c r="FW184" s="239"/>
      <c r="FX184" s="168"/>
      <c r="FY184" s="181"/>
      <c r="FZ184" s="238"/>
      <c r="GA184" s="238"/>
      <c r="GB184" s="238"/>
      <c r="GC184" s="239"/>
      <c r="GD184" s="168"/>
      <c r="GE184" s="168"/>
      <c r="GF184" s="181"/>
      <c r="GG184" s="238"/>
      <c r="GH184" s="238"/>
      <c r="GI184" s="238"/>
      <c r="GJ184" s="238"/>
      <c r="GK184" s="168"/>
      <c r="GL184" s="181"/>
      <c r="GM184" s="238"/>
      <c r="GN184" s="238"/>
      <c r="GO184" s="239"/>
      <c r="GP184" s="168"/>
      <c r="GQ184" s="242"/>
      <c r="GR184" s="224"/>
      <c r="GS184" s="224"/>
      <c r="GT184" s="224"/>
      <c r="GU184" s="243"/>
      <c r="GV184" s="168"/>
      <c r="GW184" s="181"/>
      <c r="GX184" s="238"/>
      <c r="GY184" s="238"/>
      <c r="GZ184" s="238"/>
      <c r="HA184" s="238"/>
      <c r="HB184" s="239"/>
      <c r="HC184" s="168"/>
      <c r="HD184" s="168"/>
      <c r="HE184" s="181"/>
      <c r="HF184" s="238"/>
      <c r="HG184" s="238"/>
      <c r="HH184" s="238"/>
      <c r="HI184" s="168"/>
      <c r="HJ184" s="181"/>
      <c r="HK184" s="238"/>
      <c r="HL184" s="238"/>
      <c r="HM184" s="238"/>
      <c r="HN184" s="239"/>
      <c r="HO184" s="168"/>
      <c r="HP184" s="242"/>
      <c r="HQ184" s="224"/>
      <c r="HR184" s="224"/>
      <c r="HS184" s="224"/>
      <c r="HT184" s="243"/>
      <c r="HU184" s="168"/>
      <c r="HV184" s="181"/>
      <c r="HW184" s="238"/>
      <c r="HX184" s="238"/>
      <c r="HY184" s="168"/>
      <c r="HZ184" s="181"/>
      <c r="IA184" s="238"/>
      <c r="IB184" s="239"/>
      <c r="IC184" s="168"/>
      <c r="ID184" s="168"/>
      <c r="IE184" s="181"/>
      <c r="IF184" s="239"/>
      <c r="IG184" s="168"/>
      <c r="IH184" s="181"/>
      <c r="II184" s="238"/>
      <c r="IJ184" s="238"/>
      <c r="IK184" s="238"/>
      <c r="IL184" s="239"/>
      <c r="IM184" s="168"/>
      <c r="IN184" s="181"/>
      <c r="IO184" s="238"/>
      <c r="IP184" s="239"/>
      <c r="IQ184" s="168"/>
      <c r="IR184" s="181"/>
      <c r="IS184" s="238"/>
      <c r="IT184" s="238"/>
      <c r="IU184" s="238"/>
      <c r="IV184" s="239"/>
      <c r="IW184" s="168"/>
      <c r="IX184" s="242"/>
      <c r="IY184" s="224"/>
      <c r="IZ184" s="224"/>
      <c r="JA184" s="224"/>
      <c r="JB184" s="243"/>
      <c r="JC184" s="168"/>
      <c r="JD184" s="168"/>
      <c r="JE184" s="181"/>
      <c r="JF184" s="238"/>
      <c r="JG184" s="238"/>
      <c r="JH184" s="238"/>
      <c r="JI184" s="239"/>
      <c r="JJ184" s="168"/>
      <c r="JK184" s="181"/>
      <c r="JL184" s="238"/>
      <c r="JM184" s="238"/>
      <c r="JN184" s="238"/>
      <c r="JO184" s="239"/>
      <c r="JP184" s="168"/>
      <c r="JQ184" s="181"/>
      <c r="JR184" s="238"/>
      <c r="JS184" s="238"/>
      <c r="JT184" s="238"/>
      <c r="JU184" s="239"/>
      <c r="JV184" s="168"/>
      <c r="JW184" s="242"/>
      <c r="JX184" s="224"/>
      <c r="JY184" s="224"/>
      <c r="JZ184" s="224"/>
      <c r="KA184" s="224"/>
      <c r="KB184" s="243"/>
      <c r="KC184" s="168"/>
      <c r="KD184" s="208"/>
      <c r="KE184" s="202"/>
      <c r="KF184" s="244"/>
      <c r="KG184" s="244"/>
      <c r="KH184" s="244"/>
      <c r="KI184" s="245"/>
      <c r="KJ184" s="208"/>
      <c r="KK184" s="203"/>
      <c r="KL184" s="205"/>
      <c r="KM184" s="205"/>
      <c r="KN184" s="205"/>
      <c r="KO184" s="204"/>
      <c r="KP184" s="208"/>
      <c r="KQ184" s="202"/>
      <c r="KR184" s="244"/>
      <c r="KS184" s="244"/>
      <c r="KT184" s="244"/>
      <c r="KU184" s="245"/>
      <c r="KV184" s="208"/>
      <c r="KW184" s="202"/>
      <c r="KX184" s="244"/>
      <c r="KY184" s="244"/>
      <c r="KZ184" s="244"/>
      <c r="LA184" s="245"/>
      <c r="LB184" s="208"/>
      <c r="LC184" s="202"/>
      <c r="LD184" s="244"/>
      <c r="LE184" s="245"/>
      <c r="LF184" s="208"/>
      <c r="LG184" s="208"/>
    </row>
    <row r="185" spans="2:319">
      <c r="B185" s="94" t="s">
        <v>90</v>
      </c>
      <c r="C185" s="172">
        <f t="shared" ref="C185:K185" si="464">SUM(C186:C191)</f>
        <v>93500</v>
      </c>
      <c r="D185" s="172">
        <f t="shared" si="464"/>
        <v>93500</v>
      </c>
      <c r="E185" s="172">
        <f t="shared" si="464"/>
        <v>0</v>
      </c>
      <c r="F185" s="172">
        <f t="shared" si="464"/>
        <v>0</v>
      </c>
      <c r="G185" s="172">
        <f t="shared" si="464"/>
        <v>0</v>
      </c>
      <c r="H185" s="172">
        <f t="shared" si="464"/>
        <v>0</v>
      </c>
      <c r="I185" s="172">
        <f t="shared" si="464"/>
        <v>0</v>
      </c>
      <c r="J185" s="172">
        <f t="shared" si="464"/>
        <v>0</v>
      </c>
      <c r="K185" s="172">
        <f t="shared" si="464"/>
        <v>49500</v>
      </c>
      <c r="L185" s="172"/>
      <c r="M185" s="172">
        <f t="shared" ref="M185:AB185" si="465">SUM(M186:M191)</f>
        <v>21000</v>
      </c>
      <c r="N185" s="172">
        <f t="shared" si="465"/>
        <v>150</v>
      </c>
      <c r="O185" s="172">
        <f t="shared" si="465"/>
        <v>70783.332999999999</v>
      </c>
      <c r="P185" s="172">
        <f t="shared" si="465"/>
        <v>40000</v>
      </c>
      <c r="Q185" s="172">
        <f t="shared" si="465"/>
        <v>0</v>
      </c>
      <c r="R185" s="172">
        <f t="shared" si="465"/>
        <v>50000</v>
      </c>
      <c r="S185" s="172">
        <f t="shared" si="465"/>
        <v>0</v>
      </c>
      <c r="T185" s="172">
        <f t="shared" si="465"/>
        <v>0</v>
      </c>
      <c r="U185" s="172">
        <f t="shared" si="465"/>
        <v>90000</v>
      </c>
      <c r="V185" s="172">
        <f t="shared" si="465"/>
        <v>150000</v>
      </c>
      <c r="W185" s="172">
        <f t="shared" si="465"/>
        <v>225000</v>
      </c>
      <c r="X185" s="172">
        <f t="shared" si="465"/>
        <v>0</v>
      </c>
      <c r="Y185" s="172">
        <f t="shared" si="465"/>
        <v>24000</v>
      </c>
      <c r="Z185" s="172">
        <f t="shared" si="465"/>
        <v>0</v>
      </c>
      <c r="AA185" s="172">
        <f t="shared" si="465"/>
        <v>399000</v>
      </c>
      <c r="AB185" s="234">
        <f t="shared" si="465"/>
        <v>653283.33299999998</v>
      </c>
      <c r="AC185" s="172">
        <f t="shared" ref="AC185:CO185" si="466">SUM(AC186:AC192)</f>
        <v>160000</v>
      </c>
      <c r="AD185" s="179">
        <f t="shared" si="466"/>
        <v>0</v>
      </c>
      <c r="AE185" s="179">
        <f t="shared" si="466"/>
        <v>116319.58999999997</v>
      </c>
      <c r="AF185" s="179">
        <f t="shared" si="466"/>
        <v>30000</v>
      </c>
      <c r="AG185" s="180">
        <f t="shared" si="466"/>
        <v>0</v>
      </c>
      <c r="AH185" s="198">
        <f t="shared" si="466"/>
        <v>306319.58999999997</v>
      </c>
      <c r="AI185" s="172">
        <f t="shared" si="466"/>
        <v>150</v>
      </c>
      <c r="AJ185" s="179">
        <f t="shared" si="466"/>
        <v>230000</v>
      </c>
      <c r="AK185" s="179">
        <f t="shared" si="466"/>
        <v>0</v>
      </c>
      <c r="AL185" s="179">
        <f t="shared" si="466"/>
        <v>250000</v>
      </c>
      <c r="AM185" s="180">
        <f t="shared" si="466"/>
        <v>74350.709000000003</v>
      </c>
      <c r="AN185" s="198">
        <f t="shared" si="466"/>
        <v>554500.70900000003</v>
      </c>
      <c r="AO185" s="172">
        <f t="shared" si="466"/>
        <v>0</v>
      </c>
      <c r="AP185" s="179">
        <f t="shared" si="466"/>
        <v>0</v>
      </c>
      <c r="AQ185" s="179">
        <f t="shared" si="466"/>
        <v>216.667</v>
      </c>
      <c r="AR185" s="179">
        <f t="shared" si="466"/>
        <v>60000</v>
      </c>
      <c r="AS185" s="180">
        <f t="shared" si="466"/>
        <v>0</v>
      </c>
      <c r="AT185" s="198">
        <f t="shared" si="466"/>
        <v>60216.667000000001</v>
      </c>
      <c r="AU185" s="172">
        <f t="shared" si="466"/>
        <v>100000</v>
      </c>
      <c r="AV185" s="179">
        <f t="shared" si="466"/>
        <v>0</v>
      </c>
      <c r="AW185" s="179">
        <f t="shared" si="466"/>
        <v>0</v>
      </c>
      <c r="AX185" s="179">
        <f t="shared" si="466"/>
        <v>0</v>
      </c>
      <c r="AY185" s="180">
        <f t="shared" si="466"/>
        <v>1650</v>
      </c>
      <c r="AZ185" s="198">
        <f t="shared" si="466"/>
        <v>101650</v>
      </c>
      <c r="BA185" s="234">
        <f t="shared" si="466"/>
        <v>1022686.966</v>
      </c>
      <c r="BB185" s="172">
        <f t="shared" si="466"/>
        <v>650000</v>
      </c>
      <c r="BC185" s="179">
        <f t="shared" si="466"/>
        <v>65000</v>
      </c>
      <c r="BD185" s="179">
        <f t="shared" si="466"/>
        <v>100000</v>
      </c>
      <c r="BE185" s="179">
        <f t="shared" si="466"/>
        <v>148872.34700000001</v>
      </c>
      <c r="BF185" s="180">
        <f t="shared" si="466"/>
        <v>0</v>
      </c>
      <c r="BG185" s="198">
        <f t="shared" si="466"/>
        <v>963872.34699999995</v>
      </c>
      <c r="BH185" s="172">
        <f t="shared" si="466"/>
        <v>0</v>
      </c>
      <c r="BI185" s="179">
        <f t="shared" si="466"/>
        <v>261518.78099999999</v>
      </c>
      <c r="BJ185" s="179">
        <f t="shared" si="466"/>
        <v>0</v>
      </c>
      <c r="BK185" s="179">
        <f t="shared" si="466"/>
        <v>0</v>
      </c>
      <c r="BL185" s="180">
        <f t="shared" si="466"/>
        <v>50000</v>
      </c>
      <c r="BM185" s="198">
        <f t="shared" si="466"/>
        <v>311518.78099999996</v>
      </c>
      <c r="BN185" s="172">
        <f t="shared" si="466"/>
        <v>40000</v>
      </c>
      <c r="BO185" s="179">
        <f t="shared" si="466"/>
        <v>0</v>
      </c>
      <c r="BP185" s="179">
        <f t="shared" si="466"/>
        <v>0</v>
      </c>
      <c r="BQ185" s="180">
        <f t="shared" si="466"/>
        <v>0</v>
      </c>
      <c r="BR185" s="198">
        <f t="shared" si="466"/>
        <v>40000</v>
      </c>
      <c r="BS185" s="172">
        <f t="shared" si="466"/>
        <v>0</v>
      </c>
      <c r="BT185" s="179">
        <f t="shared" si="466"/>
        <v>0</v>
      </c>
      <c r="BU185" s="179">
        <f t="shared" si="466"/>
        <v>0</v>
      </c>
      <c r="BV185" s="179">
        <f t="shared" si="466"/>
        <v>0</v>
      </c>
      <c r="BW185" s="180">
        <f t="shared" si="466"/>
        <v>10050</v>
      </c>
      <c r="BX185" s="198">
        <f t="shared" si="466"/>
        <v>10050</v>
      </c>
      <c r="BY185" s="172">
        <f>SUM(BY186:BY192)</f>
        <v>0</v>
      </c>
      <c r="BZ185" s="179">
        <f>SUM(BZ186:BZ192)</f>
        <v>150200</v>
      </c>
      <c r="CA185" s="198">
        <f t="shared" si="466"/>
        <v>150200</v>
      </c>
      <c r="CB185" s="234">
        <f t="shared" si="466"/>
        <v>1475641.128</v>
      </c>
      <c r="CC185" s="172">
        <f t="shared" si="466"/>
        <v>48000</v>
      </c>
      <c r="CD185" s="179">
        <f t="shared" si="466"/>
        <v>0</v>
      </c>
      <c r="CE185" s="179">
        <f t="shared" si="466"/>
        <v>0</v>
      </c>
      <c r="CF185" s="198">
        <f t="shared" si="466"/>
        <v>48000</v>
      </c>
      <c r="CG185" s="172">
        <f t="shared" si="466"/>
        <v>200000</v>
      </c>
      <c r="CH185" s="179">
        <f t="shared" si="466"/>
        <v>40000</v>
      </c>
      <c r="CI185" s="179">
        <f t="shared" si="466"/>
        <v>0</v>
      </c>
      <c r="CJ185" s="180">
        <f t="shared" si="466"/>
        <v>20000</v>
      </c>
      <c r="CK185" s="198">
        <f t="shared" si="466"/>
        <v>260000</v>
      </c>
      <c r="CL185" s="172">
        <f t="shared" si="466"/>
        <v>0</v>
      </c>
      <c r="CM185" s="179">
        <f t="shared" si="466"/>
        <v>592787.82300000009</v>
      </c>
      <c r="CN185" s="179">
        <f t="shared" si="466"/>
        <v>5000</v>
      </c>
      <c r="CO185" s="179">
        <f t="shared" si="466"/>
        <v>30000</v>
      </c>
      <c r="CP185" s="180">
        <f t="shared" ref="CP185:FB185" si="467">SUM(CP186:CP192)</f>
        <v>15000</v>
      </c>
      <c r="CQ185" s="198">
        <f t="shared" si="467"/>
        <v>642787.82300000009</v>
      </c>
      <c r="CR185" s="172">
        <f t="shared" si="467"/>
        <v>172917.18900000001</v>
      </c>
      <c r="CS185" s="179">
        <f t="shared" si="467"/>
        <v>0</v>
      </c>
      <c r="CT185" s="179">
        <f t="shared" si="467"/>
        <v>69665.027999999991</v>
      </c>
      <c r="CU185" s="179">
        <f t="shared" si="467"/>
        <v>0</v>
      </c>
      <c r="CV185" s="180">
        <f t="shared" si="467"/>
        <v>0</v>
      </c>
      <c r="CW185" s="198">
        <f t="shared" si="467"/>
        <v>242582.217</v>
      </c>
      <c r="CX185" s="172">
        <f t="shared" si="467"/>
        <v>0</v>
      </c>
      <c r="CY185" s="179">
        <f t="shared" si="467"/>
        <v>0</v>
      </c>
      <c r="CZ185" s="179">
        <f t="shared" si="467"/>
        <v>50</v>
      </c>
      <c r="DA185" s="180">
        <f t="shared" si="467"/>
        <v>35000</v>
      </c>
      <c r="DB185" s="198">
        <f t="shared" si="467"/>
        <v>35050</v>
      </c>
      <c r="DC185" s="234">
        <f t="shared" si="467"/>
        <v>1228420.04</v>
      </c>
      <c r="DD185" s="172">
        <f t="shared" si="467"/>
        <v>165000</v>
      </c>
      <c r="DE185" s="179">
        <f t="shared" si="467"/>
        <v>0</v>
      </c>
      <c r="DF185" s="179">
        <f t="shared" si="467"/>
        <v>10200</v>
      </c>
      <c r="DG185" s="179">
        <f t="shared" si="467"/>
        <v>10000</v>
      </c>
      <c r="DH185" s="179">
        <f t="shared" si="467"/>
        <v>91.67</v>
      </c>
      <c r="DI185" s="198">
        <f t="shared" si="467"/>
        <v>185291.67</v>
      </c>
      <c r="DJ185" s="172">
        <f t="shared" si="467"/>
        <v>0</v>
      </c>
      <c r="DK185" s="179">
        <f t="shared" si="467"/>
        <v>0</v>
      </c>
      <c r="DL185" s="179">
        <f t="shared" si="467"/>
        <v>0</v>
      </c>
      <c r="DM185" s="179">
        <f t="shared" si="467"/>
        <v>436.53599999999994</v>
      </c>
      <c r="DN185" s="180">
        <f t="shared" si="467"/>
        <v>0</v>
      </c>
      <c r="DO185" s="198">
        <f t="shared" si="467"/>
        <v>436.53599999999994</v>
      </c>
      <c r="DP185" s="172">
        <f t="shared" si="467"/>
        <v>0</v>
      </c>
      <c r="DQ185" s="179">
        <f t="shared" si="467"/>
        <v>0</v>
      </c>
      <c r="DR185" s="179">
        <f t="shared" si="467"/>
        <v>150000</v>
      </c>
      <c r="DS185" s="179">
        <f t="shared" si="467"/>
        <v>0</v>
      </c>
      <c r="DT185" s="180">
        <f t="shared" si="467"/>
        <v>0</v>
      </c>
      <c r="DU185" s="198">
        <f t="shared" si="467"/>
        <v>150000</v>
      </c>
      <c r="DV185" s="172">
        <f t="shared" si="467"/>
        <v>30000</v>
      </c>
      <c r="DW185" s="179">
        <f t="shared" si="467"/>
        <v>0</v>
      </c>
      <c r="DX185" s="179">
        <f t="shared" si="467"/>
        <v>50</v>
      </c>
      <c r="DY185" s="179">
        <f t="shared" si="467"/>
        <v>0</v>
      </c>
      <c r="DZ185" s="180">
        <f t="shared" si="467"/>
        <v>0</v>
      </c>
      <c r="EA185" s="198">
        <f t="shared" si="467"/>
        <v>30050</v>
      </c>
      <c r="EB185" s="234">
        <f t="shared" si="467"/>
        <v>365778.20600000001</v>
      </c>
      <c r="EC185" s="172">
        <f t="shared" si="467"/>
        <v>0</v>
      </c>
      <c r="ED185" s="179">
        <f t="shared" si="467"/>
        <v>109561.084</v>
      </c>
      <c r="EE185" s="179">
        <f t="shared" si="467"/>
        <v>250</v>
      </c>
      <c r="EF185" s="179">
        <f t="shared" si="467"/>
        <v>20000</v>
      </c>
      <c r="EG185" s="180">
        <f t="shared" si="467"/>
        <v>28104.070000000007</v>
      </c>
      <c r="EH185" s="172">
        <f t="shared" si="467"/>
        <v>157915.15400000001</v>
      </c>
      <c r="EI185" s="172">
        <f t="shared" si="467"/>
        <v>0</v>
      </c>
      <c r="EJ185" s="179">
        <f t="shared" si="467"/>
        <v>-3623.7060000000056</v>
      </c>
      <c r="EK185" s="179">
        <f t="shared" si="467"/>
        <v>0</v>
      </c>
      <c r="EL185" s="179">
        <f t="shared" si="467"/>
        <v>0</v>
      </c>
      <c r="EM185" s="180">
        <f t="shared" si="467"/>
        <v>0</v>
      </c>
      <c r="EN185" s="198">
        <f t="shared" si="467"/>
        <v>-3623.7060000000056</v>
      </c>
      <c r="EO185" s="172">
        <f t="shared" si="467"/>
        <v>0</v>
      </c>
      <c r="EP185" s="179">
        <f t="shared" si="467"/>
        <v>20000</v>
      </c>
      <c r="EQ185" s="179">
        <f t="shared" si="467"/>
        <v>0</v>
      </c>
      <c r="ER185" s="179">
        <f t="shared" si="467"/>
        <v>0</v>
      </c>
      <c r="ES185" s="180">
        <f t="shared" si="467"/>
        <v>0</v>
      </c>
      <c r="ET185" s="172">
        <f t="shared" si="467"/>
        <v>20000</v>
      </c>
      <c r="EU185" s="172">
        <f t="shared" si="467"/>
        <v>0</v>
      </c>
      <c r="EV185" s="179">
        <f t="shared" si="467"/>
        <v>0</v>
      </c>
      <c r="EW185" s="179">
        <f t="shared" si="467"/>
        <v>0</v>
      </c>
      <c r="EX185" s="179">
        <f t="shared" si="467"/>
        <v>0</v>
      </c>
      <c r="EY185" s="179">
        <f t="shared" si="467"/>
        <v>50000</v>
      </c>
      <c r="EZ185" s="179">
        <f>SUM(EZ186:EZ192)</f>
        <v>20000</v>
      </c>
      <c r="FA185" s="180">
        <f t="shared" si="467"/>
        <v>0</v>
      </c>
      <c r="FB185" s="198">
        <f t="shared" si="467"/>
        <v>70000</v>
      </c>
      <c r="FC185" s="234">
        <f t="shared" ref="FC185:HP185" si="468">SUM(FC186:FC192)</f>
        <v>244291.448</v>
      </c>
      <c r="FD185" s="172">
        <f t="shared" si="468"/>
        <v>0</v>
      </c>
      <c r="FE185" s="179">
        <f t="shared" si="468"/>
        <v>50000</v>
      </c>
      <c r="FF185" s="180">
        <f t="shared" si="468"/>
        <v>150</v>
      </c>
      <c r="FG185" s="198">
        <f t="shared" si="468"/>
        <v>50150</v>
      </c>
      <c r="FH185" s="172">
        <f t="shared" si="468"/>
        <v>0</v>
      </c>
      <c r="FI185" s="179">
        <f t="shared" si="468"/>
        <v>315500.47924999997</v>
      </c>
      <c r="FJ185" s="179">
        <f t="shared" si="468"/>
        <v>-300000</v>
      </c>
      <c r="FK185" s="179">
        <f t="shared" si="468"/>
        <v>282949.16800000001</v>
      </c>
      <c r="FL185" s="180">
        <f t="shared" si="468"/>
        <v>25050</v>
      </c>
      <c r="FM185" s="198">
        <f t="shared" si="468"/>
        <v>323499.64724999998</v>
      </c>
      <c r="FN185" s="172">
        <f t="shared" si="468"/>
        <v>15000</v>
      </c>
      <c r="FO185" s="179">
        <f t="shared" si="468"/>
        <v>0</v>
      </c>
      <c r="FP185" s="179">
        <f t="shared" si="468"/>
        <v>196501.924</v>
      </c>
      <c r="FQ185" s="179">
        <f t="shared" si="468"/>
        <v>25200</v>
      </c>
      <c r="FR185" s="198">
        <f t="shared" si="468"/>
        <v>236701.924</v>
      </c>
      <c r="FS185" s="172">
        <f t="shared" si="468"/>
        <v>1502.6859999999999</v>
      </c>
      <c r="FT185" s="179">
        <f t="shared" si="468"/>
        <v>45623.044000000002</v>
      </c>
      <c r="FU185" s="179">
        <f t="shared" si="468"/>
        <v>0</v>
      </c>
      <c r="FV185" s="179">
        <f t="shared" si="468"/>
        <v>0</v>
      </c>
      <c r="FW185" s="180">
        <f t="shared" si="468"/>
        <v>0</v>
      </c>
      <c r="FX185" s="198">
        <f t="shared" si="468"/>
        <v>47125.73</v>
      </c>
      <c r="FY185" s="172">
        <f t="shared" ref="FY185:GD185" si="469">SUM(FY186:FY192)</f>
        <v>0</v>
      </c>
      <c r="FZ185" s="179">
        <f t="shared" si="469"/>
        <v>0</v>
      </c>
      <c r="GA185" s="179">
        <f t="shared" si="469"/>
        <v>25000</v>
      </c>
      <c r="GB185" s="179">
        <f t="shared" si="469"/>
        <v>0</v>
      </c>
      <c r="GC185" s="180">
        <f t="shared" si="469"/>
        <v>100000</v>
      </c>
      <c r="GD185" s="198">
        <f t="shared" si="469"/>
        <v>125000</v>
      </c>
      <c r="GE185" s="234">
        <f t="shared" si="468"/>
        <v>782477.30125000002</v>
      </c>
      <c r="GF185" s="172">
        <f t="shared" si="468"/>
        <v>55000</v>
      </c>
      <c r="GG185" s="179">
        <f t="shared" si="468"/>
        <v>0</v>
      </c>
      <c r="GH185" s="179">
        <f t="shared" si="468"/>
        <v>0</v>
      </c>
      <c r="GI185" s="179">
        <f t="shared" si="468"/>
        <v>0</v>
      </c>
      <c r="GJ185" s="179">
        <f t="shared" si="468"/>
        <v>100000</v>
      </c>
      <c r="GK185" s="198">
        <f t="shared" si="468"/>
        <v>155000</v>
      </c>
      <c r="GL185" s="172">
        <f t="shared" si="468"/>
        <v>0</v>
      </c>
      <c r="GM185" s="179">
        <f t="shared" si="468"/>
        <v>5971.2280000000001</v>
      </c>
      <c r="GN185" s="179">
        <f t="shared" si="468"/>
        <v>30000</v>
      </c>
      <c r="GO185" s="180">
        <f t="shared" si="468"/>
        <v>0</v>
      </c>
      <c r="GP185" s="198">
        <f t="shared" si="468"/>
        <v>35971.228000000003</v>
      </c>
      <c r="GQ185" s="172">
        <f t="shared" si="468"/>
        <v>301700.08549999999</v>
      </c>
      <c r="GR185" s="179">
        <f t="shared" si="468"/>
        <v>30000</v>
      </c>
      <c r="GS185" s="179">
        <f t="shared" si="468"/>
        <v>-295000</v>
      </c>
      <c r="GT185" s="179">
        <f t="shared" si="468"/>
        <v>0</v>
      </c>
      <c r="GU185" s="180">
        <f t="shared" si="468"/>
        <v>0</v>
      </c>
      <c r="GV185" s="198">
        <f t="shared" si="468"/>
        <v>36700.085499999986</v>
      </c>
      <c r="GW185" s="172">
        <f t="shared" si="468"/>
        <v>0</v>
      </c>
      <c r="GX185" s="179">
        <f t="shared" si="468"/>
        <v>148100.405</v>
      </c>
      <c r="GY185" s="179">
        <f t="shared" si="468"/>
        <v>0</v>
      </c>
      <c r="GZ185" s="179"/>
      <c r="HA185" s="179">
        <f t="shared" si="468"/>
        <v>0</v>
      </c>
      <c r="HB185" s="180">
        <f t="shared" si="468"/>
        <v>50000</v>
      </c>
      <c r="HC185" s="198">
        <f t="shared" si="468"/>
        <v>198100.405</v>
      </c>
      <c r="HD185" s="234">
        <f t="shared" si="468"/>
        <v>425771.71849999996</v>
      </c>
      <c r="HE185" s="172">
        <f t="shared" si="468"/>
        <v>90000</v>
      </c>
      <c r="HF185" s="179">
        <f t="shared" si="468"/>
        <v>0</v>
      </c>
      <c r="HG185" s="179">
        <f t="shared" si="468"/>
        <v>0</v>
      </c>
      <c r="HH185" s="179">
        <f t="shared" si="468"/>
        <v>0</v>
      </c>
      <c r="HI185" s="198">
        <f t="shared" si="468"/>
        <v>90000</v>
      </c>
      <c r="HJ185" s="172">
        <f t="shared" si="468"/>
        <v>0</v>
      </c>
      <c r="HK185" s="179">
        <f t="shared" si="468"/>
        <v>0</v>
      </c>
      <c r="HL185" s="179">
        <f t="shared" si="468"/>
        <v>0</v>
      </c>
      <c r="HM185" s="179">
        <f t="shared" si="468"/>
        <v>20000</v>
      </c>
      <c r="HN185" s="180">
        <f t="shared" si="468"/>
        <v>0</v>
      </c>
      <c r="HO185" s="198">
        <f t="shared" si="468"/>
        <v>20000</v>
      </c>
      <c r="HP185" s="172">
        <f t="shared" si="468"/>
        <v>0</v>
      </c>
      <c r="HQ185" s="179">
        <f t="shared" ref="HQ185:JY185" si="470">SUM(HQ186:HQ192)</f>
        <v>100000</v>
      </c>
      <c r="HR185" s="179">
        <f t="shared" si="470"/>
        <v>85000</v>
      </c>
      <c r="HS185" s="179">
        <f t="shared" si="470"/>
        <v>0</v>
      </c>
      <c r="HT185" s="180">
        <f t="shared" si="470"/>
        <v>0</v>
      </c>
      <c r="HU185" s="198">
        <f t="shared" si="470"/>
        <v>185000</v>
      </c>
      <c r="HV185" s="172">
        <f t="shared" si="470"/>
        <v>45000</v>
      </c>
      <c r="HW185" s="179">
        <f t="shared" si="470"/>
        <v>0</v>
      </c>
      <c r="HX185" s="179">
        <f t="shared" si="470"/>
        <v>49469.07</v>
      </c>
      <c r="HY185" s="198">
        <f t="shared" si="470"/>
        <v>94469.07</v>
      </c>
      <c r="HZ185" s="172">
        <f t="shared" si="470"/>
        <v>0</v>
      </c>
      <c r="IA185" s="179">
        <f>SUM(IA186:IA192)</f>
        <v>0</v>
      </c>
      <c r="IB185" s="180">
        <f>SUM(IB186:IB192)</f>
        <v>100000</v>
      </c>
      <c r="IC185" s="198">
        <f t="shared" si="470"/>
        <v>100000</v>
      </c>
      <c r="ID185" s="234">
        <f t="shared" si="470"/>
        <v>489469.07</v>
      </c>
      <c r="IE185" s="172">
        <f t="shared" si="470"/>
        <v>100000</v>
      </c>
      <c r="IF185" s="180">
        <f t="shared" si="470"/>
        <v>0</v>
      </c>
      <c r="IG185" s="198">
        <f t="shared" si="470"/>
        <v>100000</v>
      </c>
      <c r="IH185" s="172">
        <f t="shared" si="470"/>
        <v>0</v>
      </c>
      <c r="II185" s="179">
        <f t="shared" si="470"/>
        <v>0</v>
      </c>
      <c r="IJ185" s="179">
        <f t="shared" si="470"/>
        <v>0</v>
      </c>
      <c r="IK185" s="179">
        <f t="shared" si="470"/>
        <v>0</v>
      </c>
      <c r="IL185" s="180">
        <f t="shared" si="470"/>
        <v>2000</v>
      </c>
      <c r="IM185" s="198">
        <f t="shared" si="470"/>
        <v>2000</v>
      </c>
      <c r="IN185" s="172">
        <f t="shared" si="470"/>
        <v>100000</v>
      </c>
      <c r="IO185" s="179">
        <f t="shared" si="470"/>
        <v>45000</v>
      </c>
      <c r="IP185" s="180">
        <f t="shared" si="470"/>
        <v>355200.00000000006</v>
      </c>
      <c r="IQ185" s="198">
        <f t="shared" si="470"/>
        <v>500200.00000000006</v>
      </c>
      <c r="IR185" s="172">
        <f t="shared" si="470"/>
        <v>0</v>
      </c>
      <c r="IS185" s="179">
        <f t="shared" si="470"/>
        <v>0</v>
      </c>
      <c r="IT185" s="179">
        <f t="shared" si="470"/>
        <v>0</v>
      </c>
      <c r="IU185" s="179">
        <f t="shared" si="470"/>
        <v>0</v>
      </c>
      <c r="IV185" s="180">
        <f t="shared" si="470"/>
        <v>0</v>
      </c>
      <c r="IW185" s="198">
        <f t="shared" si="470"/>
        <v>0</v>
      </c>
      <c r="IX185" s="172">
        <f t="shared" si="470"/>
        <v>0</v>
      </c>
      <c r="IY185" s="179">
        <f t="shared" si="470"/>
        <v>0</v>
      </c>
      <c r="IZ185" s="179">
        <f t="shared" si="470"/>
        <v>315265.86227000004</v>
      </c>
      <c r="JA185" s="179">
        <f t="shared" si="470"/>
        <v>0</v>
      </c>
      <c r="JB185" s="180">
        <f t="shared" si="470"/>
        <v>80000</v>
      </c>
      <c r="JC185" s="198">
        <f t="shared" si="470"/>
        <v>395265.86227000004</v>
      </c>
      <c r="JD185" s="234">
        <f t="shared" si="470"/>
        <v>997465.86227000004</v>
      </c>
      <c r="JE185" s="172">
        <f t="shared" si="470"/>
        <v>0</v>
      </c>
      <c r="JF185" s="179">
        <f t="shared" si="470"/>
        <v>0</v>
      </c>
      <c r="JG185" s="179">
        <f t="shared" si="470"/>
        <v>0</v>
      </c>
      <c r="JH185" s="179">
        <f t="shared" si="470"/>
        <v>246250</v>
      </c>
      <c r="JI185" s="180">
        <f t="shared" si="470"/>
        <v>2000</v>
      </c>
      <c r="JJ185" s="198">
        <f t="shared" si="470"/>
        <v>248250</v>
      </c>
      <c r="JK185" s="431">
        <f t="shared" si="470"/>
        <v>0</v>
      </c>
      <c r="JL185" s="432">
        <f t="shared" si="470"/>
        <v>0</v>
      </c>
      <c r="JM185" s="432">
        <f t="shared" si="470"/>
        <v>0</v>
      </c>
      <c r="JN185" s="432">
        <f t="shared" si="470"/>
        <v>0</v>
      </c>
      <c r="JO185" s="433">
        <f t="shared" si="470"/>
        <v>0</v>
      </c>
      <c r="JP185" s="148">
        <f t="shared" si="470"/>
        <v>0</v>
      </c>
      <c r="JQ185" s="431">
        <f t="shared" si="470"/>
        <v>0</v>
      </c>
      <c r="JR185" s="432">
        <f t="shared" si="470"/>
        <v>0</v>
      </c>
      <c r="JS185" s="432">
        <f t="shared" si="470"/>
        <v>0</v>
      </c>
      <c r="JT185" s="432">
        <f t="shared" si="470"/>
        <v>0</v>
      </c>
      <c r="JU185" s="433">
        <f t="shared" si="470"/>
        <v>0</v>
      </c>
      <c r="JV185" s="148">
        <f t="shared" si="470"/>
        <v>0</v>
      </c>
      <c r="JW185" s="431">
        <f t="shared" si="470"/>
        <v>0</v>
      </c>
      <c r="JX185" s="432">
        <f t="shared" si="470"/>
        <v>0</v>
      </c>
      <c r="JY185" s="432">
        <f t="shared" si="470"/>
        <v>0</v>
      </c>
      <c r="JZ185" s="432">
        <f t="shared" ref="JZ185:LG185" si="471">SUM(JZ186:JZ192)</f>
        <v>0</v>
      </c>
      <c r="KA185" s="432"/>
      <c r="KB185" s="433">
        <f t="shared" si="471"/>
        <v>0</v>
      </c>
      <c r="KC185" s="148">
        <f t="shared" si="471"/>
        <v>0</v>
      </c>
      <c r="KD185" s="148">
        <f t="shared" si="471"/>
        <v>248250</v>
      </c>
      <c r="KE185" s="431">
        <f t="shared" si="471"/>
        <v>0</v>
      </c>
      <c r="KF185" s="432">
        <f t="shared" si="471"/>
        <v>0</v>
      </c>
      <c r="KG185" s="432">
        <f t="shared" si="471"/>
        <v>0</v>
      </c>
      <c r="KH185" s="432">
        <f t="shared" si="471"/>
        <v>0</v>
      </c>
      <c r="KI185" s="433">
        <f t="shared" si="471"/>
        <v>0</v>
      </c>
      <c r="KJ185" s="148">
        <f t="shared" si="471"/>
        <v>0</v>
      </c>
      <c r="KK185" s="431">
        <f t="shared" si="471"/>
        <v>0</v>
      </c>
      <c r="KL185" s="432">
        <f t="shared" si="471"/>
        <v>0</v>
      </c>
      <c r="KM185" s="432">
        <f t="shared" si="471"/>
        <v>0</v>
      </c>
      <c r="KN185" s="432">
        <f t="shared" si="471"/>
        <v>0</v>
      </c>
      <c r="KO185" s="433">
        <f t="shared" si="471"/>
        <v>0</v>
      </c>
      <c r="KP185" s="148">
        <f t="shared" si="471"/>
        <v>0</v>
      </c>
      <c r="KQ185" s="431">
        <f t="shared" si="471"/>
        <v>0</v>
      </c>
      <c r="KR185" s="432">
        <f t="shared" si="471"/>
        <v>0</v>
      </c>
      <c r="KS185" s="432">
        <f t="shared" si="471"/>
        <v>0</v>
      </c>
      <c r="KT185" s="432">
        <f t="shared" si="471"/>
        <v>0</v>
      </c>
      <c r="KU185" s="433">
        <f t="shared" si="471"/>
        <v>0</v>
      </c>
      <c r="KV185" s="148">
        <f t="shared" si="471"/>
        <v>0</v>
      </c>
      <c r="KW185" s="431">
        <f t="shared" si="471"/>
        <v>0</v>
      </c>
      <c r="KX185" s="432">
        <f t="shared" si="471"/>
        <v>0</v>
      </c>
      <c r="KY185" s="432">
        <f t="shared" si="471"/>
        <v>0</v>
      </c>
      <c r="KZ185" s="432">
        <f t="shared" si="471"/>
        <v>0</v>
      </c>
      <c r="LA185" s="433">
        <f t="shared" si="471"/>
        <v>0</v>
      </c>
      <c r="LB185" s="148">
        <f t="shared" si="471"/>
        <v>0</v>
      </c>
      <c r="LC185" s="431">
        <f t="shared" si="471"/>
        <v>0</v>
      </c>
      <c r="LD185" s="432">
        <f t="shared" si="471"/>
        <v>0</v>
      </c>
      <c r="LE185" s="433">
        <f t="shared" si="471"/>
        <v>0</v>
      </c>
      <c r="LF185" s="148">
        <f t="shared" si="471"/>
        <v>0</v>
      </c>
      <c r="LG185" s="148">
        <f t="shared" si="471"/>
        <v>850000</v>
      </c>
    </row>
    <row r="186" spans="2:319" s="91" customFormat="1">
      <c r="B186" s="167" t="s">
        <v>122</v>
      </c>
      <c r="C186" s="167"/>
      <c r="D186" s="181">
        <f t="shared" ref="D186:D191" si="472">SUM(C186:C186)</f>
        <v>0</v>
      </c>
      <c r="E186" s="167"/>
      <c r="F186" s="177"/>
      <c r="G186" s="177"/>
      <c r="H186" s="177"/>
      <c r="I186" s="178"/>
      <c r="J186" s="181">
        <f t="shared" ref="J186:J191" si="473">SUM(E186:I186)</f>
        <v>0</v>
      </c>
      <c r="K186" s="167"/>
      <c r="L186" s="177"/>
      <c r="M186" s="177"/>
      <c r="N186" s="178"/>
      <c r="O186" s="181">
        <f t="shared" ref="O186:O191" si="474">SUM(K186:N186)</f>
        <v>0</v>
      </c>
      <c r="P186" s="167"/>
      <c r="Q186" s="177"/>
      <c r="R186" s="177"/>
      <c r="S186" s="177"/>
      <c r="T186" s="178"/>
      <c r="U186" s="181">
        <f t="shared" ref="U186:U191" si="475">SUM(P186:T186)</f>
        <v>0</v>
      </c>
      <c r="V186" s="167"/>
      <c r="W186" s="177"/>
      <c r="X186" s="177"/>
      <c r="Y186" s="177"/>
      <c r="Z186" s="177"/>
      <c r="AA186" s="168">
        <f t="shared" ref="AA186:AA191" si="476">SUM(V186:Z186)</f>
        <v>0</v>
      </c>
      <c r="AB186" s="168">
        <f t="shared" ref="AB186:AB191" si="477">AA186+U186+O186+J186+D186</f>
        <v>0</v>
      </c>
      <c r="AC186" s="242"/>
      <c r="AD186" s="224"/>
      <c r="AE186" s="224"/>
      <c r="AF186" s="224"/>
      <c r="AG186" s="243"/>
      <c r="AH186" s="168">
        <f t="shared" ref="AH186:AH191" si="478">SUM(AC186:AG186)</f>
        <v>0</v>
      </c>
      <c r="AI186" s="242"/>
      <c r="AJ186" s="224"/>
      <c r="AK186" s="224"/>
      <c r="AL186" s="224"/>
      <c r="AM186" s="243"/>
      <c r="AN186" s="168">
        <f t="shared" ref="AN186:AN191" si="479">SUM(AI186:AM186)</f>
        <v>0</v>
      </c>
      <c r="AO186" s="242"/>
      <c r="AP186" s="224"/>
      <c r="AQ186" s="224"/>
      <c r="AR186" s="224"/>
      <c r="AS186" s="243"/>
      <c r="AT186" s="168">
        <f t="shared" ref="AT186:AT191" si="480">SUM(AO186:AS186)</f>
        <v>0</v>
      </c>
      <c r="AU186" s="242"/>
      <c r="AV186" s="224"/>
      <c r="AW186" s="224"/>
      <c r="AX186" s="224"/>
      <c r="AY186" s="243"/>
      <c r="AZ186" s="168">
        <f t="shared" ref="AZ186:AZ191" si="481">SUM(AU186:AY186)</f>
        <v>0</v>
      </c>
      <c r="BA186" s="168">
        <f t="shared" ref="BA186:BA191" si="482">AZ186+AT186+AN186+AH186</f>
        <v>0</v>
      </c>
      <c r="BB186" s="242"/>
      <c r="BC186" s="224"/>
      <c r="BD186" s="224"/>
      <c r="BE186" s="224"/>
      <c r="BF186" s="243"/>
      <c r="BG186" s="168">
        <f t="shared" ref="BG186:BG191" si="483">SUM(BB186:BF186)</f>
        <v>0</v>
      </c>
      <c r="BH186" s="242"/>
      <c r="BI186" s="224"/>
      <c r="BJ186" s="224"/>
      <c r="BK186" s="224"/>
      <c r="BL186" s="243"/>
      <c r="BM186" s="168">
        <f t="shared" ref="BM186:BM191" si="484">SUM(BH186:BL186)</f>
        <v>0</v>
      </c>
      <c r="BN186" s="242"/>
      <c r="BO186" s="224"/>
      <c r="BP186" s="224"/>
      <c r="BQ186" s="243"/>
      <c r="BR186" s="168">
        <f t="shared" ref="BR186:BR191" si="485">SUM(BN186:BQ186)</f>
        <v>0</v>
      </c>
      <c r="BS186" s="242"/>
      <c r="BT186" s="224"/>
      <c r="BU186" s="224"/>
      <c r="BV186" s="224"/>
      <c r="BW186" s="243"/>
      <c r="BX186" s="168">
        <f t="shared" ref="BX186:BX191" si="486">SUM(BS186:BW186)</f>
        <v>0</v>
      </c>
      <c r="BY186" s="242"/>
      <c r="BZ186" s="224"/>
      <c r="CA186" s="168">
        <f t="shared" ref="CA186:CA191" si="487">SUM(BY186:BZ186)</f>
        <v>0</v>
      </c>
      <c r="CB186" s="168">
        <f t="shared" ref="CB186:CB191" si="488">CA186+BX186+BR186+BM186+BG186</f>
        <v>0</v>
      </c>
      <c r="CC186" s="242"/>
      <c r="CD186" s="224"/>
      <c r="CE186" s="224"/>
      <c r="CF186" s="168">
        <f t="shared" ref="CF186:CF191" si="489">SUM(CC186:CE186)</f>
        <v>0</v>
      </c>
      <c r="CG186" s="242"/>
      <c r="CH186" s="224"/>
      <c r="CI186" s="224"/>
      <c r="CJ186" s="243"/>
      <c r="CK186" s="168">
        <f t="shared" ref="CK186:CK191" si="490">SUM(CG186:CJ186)</f>
        <v>0</v>
      </c>
      <c r="CL186" s="242"/>
      <c r="CM186" s="224"/>
      <c r="CN186" s="224"/>
      <c r="CO186" s="224"/>
      <c r="CP186" s="243"/>
      <c r="CQ186" s="168">
        <f t="shared" ref="CQ186:CQ191" si="491">SUM(CL186:CP186)</f>
        <v>0</v>
      </c>
      <c r="CR186" s="242"/>
      <c r="CS186" s="224"/>
      <c r="CT186" s="224"/>
      <c r="CU186" s="224"/>
      <c r="CV186" s="243"/>
      <c r="CW186" s="168">
        <f t="shared" ref="CW186:CW191" si="492">SUM(CR186:CV186)</f>
        <v>0</v>
      </c>
      <c r="CX186" s="242"/>
      <c r="CY186" s="224"/>
      <c r="CZ186" s="224"/>
      <c r="DA186" s="243"/>
      <c r="DB186" s="168">
        <f>SUM(CX186:DA186)</f>
        <v>0</v>
      </c>
      <c r="DC186" s="168">
        <f t="shared" ref="DC186:DC191" si="493">DB186+CW186+CQ186+CK186+CF186</f>
        <v>0</v>
      </c>
      <c r="DD186" s="242"/>
      <c r="DE186" s="224"/>
      <c r="DF186" s="224"/>
      <c r="DG186" s="224"/>
      <c r="DH186" s="224"/>
      <c r="DI186" s="168">
        <f t="shared" ref="DI186:DI191" si="494">SUM(DD186:DH186)</f>
        <v>0</v>
      </c>
      <c r="DJ186" s="242"/>
      <c r="DK186" s="224"/>
      <c r="DL186" s="224"/>
      <c r="DM186" s="224"/>
      <c r="DN186" s="243"/>
      <c r="DO186" s="168">
        <f t="shared" ref="DO186:DO191" si="495">SUM(DJ186:DN186)</f>
        <v>0</v>
      </c>
      <c r="DP186" s="242"/>
      <c r="DQ186" s="224"/>
      <c r="DR186" s="224"/>
      <c r="DS186" s="224"/>
      <c r="DT186" s="243"/>
      <c r="DU186" s="239">
        <f t="shared" ref="DU186:DU191" si="496">SUM(DP186:DT186)</f>
        <v>0</v>
      </c>
      <c r="DV186" s="242"/>
      <c r="DW186" s="224"/>
      <c r="DX186" s="224"/>
      <c r="DY186" s="224"/>
      <c r="DZ186" s="243"/>
      <c r="EA186" s="168">
        <f t="shared" ref="EA186:EA191" si="497">SUM(DV186:DZ186)</f>
        <v>0</v>
      </c>
      <c r="EB186" s="168">
        <f t="shared" ref="EB186:EB191" si="498">EA186+DU186+DO186+DI186</f>
        <v>0</v>
      </c>
      <c r="EC186" s="242"/>
      <c r="ED186" s="224"/>
      <c r="EE186" s="224"/>
      <c r="EF186" s="224"/>
      <c r="EG186" s="243"/>
      <c r="EH186" s="168">
        <f t="shared" ref="EH186:EH191" si="499">SUM(EC186:EG186)</f>
        <v>0</v>
      </c>
      <c r="EI186" s="242"/>
      <c r="EJ186" s="224"/>
      <c r="EK186" s="224"/>
      <c r="EL186" s="224"/>
      <c r="EM186" s="243"/>
      <c r="EN186" s="168">
        <f t="shared" ref="EN186:EN191" si="500">SUM(EI186:EM186)</f>
        <v>0</v>
      </c>
      <c r="EO186" s="242"/>
      <c r="EP186" s="224"/>
      <c r="EQ186" s="224"/>
      <c r="ER186" s="224"/>
      <c r="ES186" s="243"/>
      <c r="ET186" s="238">
        <f t="shared" ref="ET186:ET191" si="501">SUM(EO186:ES186)</f>
        <v>0</v>
      </c>
      <c r="EU186" s="242"/>
      <c r="EV186" s="224"/>
      <c r="EW186" s="224"/>
      <c r="EX186" s="224"/>
      <c r="EY186" s="224"/>
      <c r="EZ186" s="224"/>
      <c r="FA186" s="243"/>
      <c r="FB186" s="168">
        <f t="shared" ref="FB186:FB191" si="502">SUM(EU186:FA186)</f>
        <v>0</v>
      </c>
      <c r="FC186" s="168">
        <f t="shared" ref="FC186:FC191" si="503">FB186+ET186+EN186+EH186</f>
        <v>0</v>
      </c>
      <c r="FD186" s="242"/>
      <c r="FE186" s="224"/>
      <c r="FF186" s="243"/>
      <c r="FG186" s="168">
        <f t="shared" ref="FG186:FG191" si="504">SUM(FD186:FF186)</f>
        <v>0</v>
      </c>
      <c r="FH186" s="242"/>
      <c r="FI186" s="224"/>
      <c r="FJ186" s="224"/>
      <c r="FK186" s="224"/>
      <c r="FL186" s="243"/>
      <c r="FM186" s="168">
        <f t="shared" ref="FM186:FM191" si="505">SUM(FH186:FL186)</f>
        <v>0</v>
      </c>
      <c r="FN186" s="242"/>
      <c r="FO186" s="224"/>
      <c r="FP186" s="224"/>
      <c r="FQ186" s="224"/>
      <c r="FR186" s="168">
        <f t="shared" ref="FR186:FR191" si="506">SUM(FN186:FQ186)</f>
        <v>0</v>
      </c>
      <c r="FS186" s="242"/>
      <c r="FT186" s="224"/>
      <c r="FU186" s="224"/>
      <c r="FV186" s="224"/>
      <c r="FW186" s="243"/>
      <c r="FX186" s="168">
        <f t="shared" ref="FX186:FX191" si="507">SUM(FS186:FW186)</f>
        <v>0</v>
      </c>
      <c r="FY186" s="242"/>
      <c r="FZ186" s="224"/>
      <c r="GA186" s="224"/>
      <c r="GB186" s="224"/>
      <c r="GC186" s="243"/>
      <c r="GD186" s="168">
        <f t="shared" ref="GD186:GD191" si="508">SUM(FY186:GC186)</f>
        <v>0</v>
      </c>
      <c r="GE186" s="168">
        <f t="shared" ref="GE186:GE191" si="509">FG186+FM186+FR186+FX186+GD186</f>
        <v>0</v>
      </c>
      <c r="GF186" s="242"/>
      <c r="GG186" s="224"/>
      <c r="GH186" s="224"/>
      <c r="GI186" s="224"/>
      <c r="GJ186" s="224"/>
      <c r="GK186" s="168">
        <f t="shared" ref="GK186:GK191" si="510">SUM(GF186:GJ186)</f>
        <v>0</v>
      </c>
      <c r="GL186" s="242"/>
      <c r="GM186" s="224"/>
      <c r="GN186" s="224"/>
      <c r="GO186" s="243"/>
      <c r="GP186" s="168">
        <f t="shared" ref="GP186:GP191" si="511">SUM(GL186:GO186)</f>
        <v>0</v>
      </c>
      <c r="GQ186" s="242"/>
      <c r="GR186" s="224"/>
      <c r="GS186" s="224"/>
      <c r="GT186" s="224"/>
      <c r="GU186" s="243"/>
      <c r="GV186" s="168">
        <f t="shared" ref="GV186:GV191" si="512">SUM(GQ186:GU186)</f>
        <v>0</v>
      </c>
      <c r="GW186" s="242"/>
      <c r="GX186" s="224"/>
      <c r="GY186" s="224"/>
      <c r="GZ186" s="224"/>
      <c r="HA186" s="224"/>
      <c r="HB186" s="243"/>
      <c r="HC186" s="168">
        <f t="shared" ref="HC186:HC191" si="513">SUM(GW186:HB186)</f>
        <v>0</v>
      </c>
      <c r="HD186" s="168">
        <f t="shared" ref="HD186:HD191" si="514">GK186+GP186+GV186+HC186</f>
        <v>0</v>
      </c>
      <c r="HE186" s="242"/>
      <c r="HF186" s="224"/>
      <c r="HG186" s="224"/>
      <c r="HH186" s="224"/>
      <c r="HI186" s="168">
        <f t="shared" ref="HI186:HI191" si="515">SUM(HE186:HH186)</f>
        <v>0</v>
      </c>
      <c r="HJ186" s="242"/>
      <c r="HK186" s="224"/>
      <c r="HL186" s="224"/>
      <c r="HM186" s="224"/>
      <c r="HN186" s="243"/>
      <c r="HO186" s="239">
        <f t="shared" ref="HO186:HO191" si="516">SUM(HJ186:HN186)</f>
        <v>0</v>
      </c>
      <c r="HP186" s="242"/>
      <c r="HQ186" s="224"/>
      <c r="HR186" s="224"/>
      <c r="HS186" s="224"/>
      <c r="HT186" s="243"/>
      <c r="HU186" s="168">
        <f t="shared" ref="HU186:HU191" si="517">SUM(HP186:HT186)</f>
        <v>0</v>
      </c>
      <c r="HV186" s="242"/>
      <c r="HW186" s="224"/>
      <c r="HX186" s="224"/>
      <c r="HY186" s="168">
        <f t="shared" ref="HY186:HY191" si="518">SUM(HV186:HX186)</f>
        <v>0</v>
      </c>
      <c r="HZ186" s="242"/>
      <c r="IA186" s="224"/>
      <c r="IB186" s="243"/>
      <c r="IC186" s="168">
        <f t="shared" ref="IC186:IC191" si="519">SUM(HZ186:IB186)</f>
        <v>0</v>
      </c>
      <c r="ID186" s="168">
        <f t="shared" ref="ID186:ID191" si="520">IC186+HY186+HU186+HO186+HI186</f>
        <v>0</v>
      </c>
      <c r="IE186" s="242"/>
      <c r="IF186" s="243"/>
      <c r="IG186" s="168">
        <f t="shared" ref="IG186:IG191" si="521">SUM(IE186:IF186)</f>
        <v>0</v>
      </c>
      <c r="IH186" s="242"/>
      <c r="II186" s="224"/>
      <c r="IJ186" s="224"/>
      <c r="IK186" s="224"/>
      <c r="IL186" s="243"/>
      <c r="IM186" s="168">
        <f t="shared" ref="IM186:IM191" si="522">SUM(IH186:IL186)</f>
        <v>0</v>
      </c>
      <c r="IN186" s="242"/>
      <c r="IO186" s="224"/>
      <c r="IP186" s="243">
        <f>IP201*2.22</f>
        <v>355200.00000000006</v>
      </c>
      <c r="IQ186" s="168">
        <f t="shared" ref="IQ186:IQ191" si="523">SUM(IN186:IP186)</f>
        <v>355200.00000000006</v>
      </c>
      <c r="IR186" s="242"/>
      <c r="IS186" s="224"/>
      <c r="IT186" s="224"/>
      <c r="IU186" s="224"/>
      <c r="IV186" s="243"/>
      <c r="IW186" s="168">
        <f t="shared" ref="IW186:IW191" si="524">SUM(IR186:IV186)</f>
        <v>0</v>
      </c>
      <c r="IX186" s="242"/>
      <c r="IY186" s="224"/>
      <c r="IZ186" s="224"/>
      <c r="JA186" s="224"/>
      <c r="JB186" s="243"/>
      <c r="JC186" s="168">
        <f t="shared" ref="JC186:JC191" si="525">SUM(IX186:JB186)</f>
        <v>0</v>
      </c>
      <c r="JD186" s="168">
        <f>JC186+IW186+IQ186+IM186+IG186</f>
        <v>355200.00000000006</v>
      </c>
      <c r="JE186" s="242"/>
      <c r="JF186" s="224"/>
      <c r="JG186" s="224"/>
      <c r="JH186" s="224"/>
      <c r="JI186" s="243"/>
      <c r="JJ186" s="168">
        <f t="shared" ref="JJ186:JJ191" si="526">SUM(JE186:JI186)</f>
        <v>0</v>
      </c>
      <c r="JK186" s="242"/>
      <c r="JL186" s="224"/>
      <c r="JM186" s="224"/>
      <c r="JN186" s="224"/>
      <c r="JO186" s="243"/>
      <c r="JP186" s="168">
        <f t="shared" ref="JP186:JP191" si="527">SUM(JK186:JO186)</f>
        <v>0</v>
      </c>
      <c r="JQ186" s="242"/>
      <c r="JR186" s="224"/>
      <c r="JS186" s="224"/>
      <c r="JT186" s="224"/>
      <c r="JU186" s="243"/>
      <c r="JV186" s="168">
        <f t="shared" ref="JV186:JV191" si="528">SUM(JQ186:JU186)</f>
        <v>0</v>
      </c>
      <c r="JW186" s="242"/>
      <c r="JX186" s="224"/>
      <c r="JY186" s="224"/>
      <c r="JZ186" s="224"/>
      <c r="KA186" s="224"/>
      <c r="KB186" s="243"/>
      <c r="KC186" s="168">
        <f t="shared" ref="KC186:KC191" si="529">SUM(JW186:KB186)</f>
        <v>0</v>
      </c>
      <c r="KD186" s="168">
        <f t="shared" ref="KD186:KD191" si="530">JJ186+JP186+JV186+KC186</f>
        <v>0</v>
      </c>
      <c r="KE186" s="242"/>
      <c r="KF186" s="224"/>
      <c r="KG186" s="224"/>
      <c r="KH186" s="224"/>
      <c r="KI186" s="243"/>
      <c r="KJ186" s="168">
        <f t="shared" ref="KJ186:KJ191" si="531">SUM(KE186:KI186)</f>
        <v>0</v>
      </c>
      <c r="KK186" s="242"/>
      <c r="KL186" s="224"/>
      <c r="KM186" s="224"/>
      <c r="KN186" s="224"/>
      <c r="KO186" s="243"/>
      <c r="KP186" s="168">
        <f t="shared" ref="KP186:KP191" si="532">SUM(KK186:KO186)</f>
        <v>0</v>
      </c>
      <c r="KQ186" s="242"/>
      <c r="KR186" s="224"/>
      <c r="KS186" s="224"/>
      <c r="KT186" s="224"/>
      <c r="KU186" s="243"/>
      <c r="KV186" s="168">
        <f t="shared" ref="KV186:KV191" si="533">SUM(KQ186:KU186)</f>
        <v>0</v>
      </c>
      <c r="KW186" s="242"/>
      <c r="KX186" s="224"/>
      <c r="KY186" s="224"/>
      <c r="KZ186" s="224"/>
      <c r="LA186" s="243"/>
      <c r="LB186" s="168">
        <f t="shared" ref="LB186:LB191" si="534">SUM(KW186:LA186)</f>
        <v>0</v>
      </c>
      <c r="LC186" s="181"/>
      <c r="LD186" s="238"/>
      <c r="LE186" s="239"/>
      <c r="LF186" s="168">
        <f t="shared" ref="LF186:LF191" si="535">SUM(LC186:LE186)</f>
        <v>0</v>
      </c>
      <c r="LG186" s="168">
        <f t="shared" ref="LG186:LG191" si="536">LF186+LB186+KV186+KP186+KJ186</f>
        <v>0</v>
      </c>
    </row>
    <row r="187" spans="2:319" s="91" customFormat="1">
      <c r="B187" s="167" t="s">
        <v>102</v>
      </c>
      <c r="C187" s="167"/>
      <c r="D187" s="181">
        <f t="shared" si="472"/>
        <v>0</v>
      </c>
      <c r="E187" s="167"/>
      <c r="F187" s="177"/>
      <c r="G187" s="177"/>
      <c r="H187" s="177"/>
      <c r="I187" s="178"/>
      <c r="J187" s="181">
        <f t="shared" si="473"/>
        <v>0</v>
      </c>
      <c r="K187" s="167"/>
      <c r="L187" s="177"/>
      <c r="M187" s="177"/>
      <c r="N187" s="178"/>
      <c r="O187" s="181">
        <f t="shared" si="474"/>
        <v>0</v>
      </c>
      <c r="P187" s="167"/>
      <c r="Q187" s="177"/>
      <c r="R187" s="177"/>
      <c r="S187" s="177"/>
      <c r="T187" s="178"/>
      <c r="U187" s="181">
        <f t="shared" si="475"/>
        <v>0</v>
      </c>
      <c r="V187" s="167"/>
      <c r="W187" s="177"/>
      <c r="X187" s="177"/>
      <c r="Y187" s="177"/>
      <c r="Z187" s="177"/>
      <c r="AA187" s="168">
        <f t="shared" si="476"/>
        <v>0</v>
      </c>
      <c r="AB187" s="168">
        <f t="shared" si="477"/>
        <v>0</v>
      </c>
      <c r="AC187" s="242"/>
      <c r="AD187" s="224"/>
      <c r="AE187" s="224">
        <v>526319.59</v>
      </c>
      <c r="AF187" s="224"/>
      <c r="AG187" s="243"/>
      <c r="AH187" s="168">
        <f t="shared" si="478"/>
        <v>526319.59</v>
      </c>
      <c r="AI187" s="242"/>
      <c r="AJ187" s="224"/>
      <c r="AK187" s="224"/>
      <c r="AL187" s="224"/>
      <c r="AM187" s="243"/>
      <c r="AN187" s="168">
        <f t="shared" si="479"/>
        <v>0</v>
      </c>
      <c r="AO187" s="242"/>
      <c r="AP187" s="224"/>
      <c r="AQ187" s="224"/>
      <c r="AR187" s="224"/>
      <c r="AS187" s="243"/>
      <c r="AT187" s="168">
        <f t="shared" si="480"/>
        <v>0</v>
      </c>
      <c r="AU187" s="242"/>
      <c r="AV187" s="224"/>
      <c r="AW187" s="224"/>
      <c r="AX187" s="224"/>
      <c r="AY187" s="243"/>
      <c r="AZ187" s="168">
        <f t="shared" si="481"/>
        <v>0</v>
      </c>
      <c r="BA187" s="168">
        <f t="shared" si="482"/>
        <v>526319.59</v>
      </c>
      <c r="BB187" s="242"/>
      <c r="BC187" s="224"/>
      <c r="BD187" s="224"/>
      <c r="BE187" s="224"/>
      <c r="BF187" s="243"/>
      <c r="BG187" s="168">
        <f t="shared" si="483"/>
        <v>0</v>
      </c>
      <c r="BH187" s="242"/>
      <c r="BI187" s="224"/>
      <c r="BJ187" s="224"/>
      <c r="BK187" s="224"/>
      <c r="BL187" s="243"/>
      <c r="BM187" s="168">
        <f t="shared" si="484"/>
        <v>0</v>
      </c>
      <c r="BN187" s="242"/>
      <c r="BO187" s="224"/>
      <c r="BP187" s="224"/>
      <c r="BQ187" s="243"/>
      <c r="BR187" s="168">
        <f t="shared" si="485"/>
        <v>0</v>
      </c>
      <c r="BS187" s="242"/>
      <c r="BT187" s="224"/>
      <c r="BU187" s="224"/>
      <c r="BV187" s="224"/>
      <c r="BW187" s="243"/>
      <c r="BX187" s="168">
        <f t="shared" si="486"/>
        <v>0</v>
      </c>
      <c r="BY187" s="242"/>
      <c r="BZ187" s="224"/>
      <c r="CA187" s="168">
        <f t="shared" si="487"/>
        <v>0</v>
      </c>
      <c r="CB187" s="168">
        <f t="shared" si="488"/>
        <v>0</v>
      </c>
      <c r="CC187" s="242"/>
      <c r="CD187" s="224"/>
      <c r="CE187" s="224"/>
      <c r="CF187" s="168">
        <f t="shared" si="489"/>
        <v>0</v>
      </c>
      <c r="CG187" s="242"/>
      <c r="CH187" s="224"/>
      <c r="CI187" s="224"/>
      <c r="CJ187" s="243"/>
      <c r="CK187" s="168">
        <f t="shared" si="490"/>
        <v>0</v>
      </c>
      <c r="CL187" s="242"/>
      <c r="CM187" s="224"/>
      <c r="CN187" s="224"/>
      <c r="CO187" s="224"/>
      <c r="CP187" s="243"/>
      <c r="CQ187" s="168">
        <f t="shared" si="491"/>
        <v>0</v>
      </c>
      <c r="CR187" s="242"/>
      <c r="CS187" s="224"/>
      <c r="CT187" s="224"/>
      <c r="CU187" s="224"/>
      <c r="CV187" s="243"/>
      <c r="CW187" s="168">
        <f t="shared" si="492"/>
        <v>0</v>
      </c>
      <c r="CX187" s="242"/>
      <c r="CY187" s="224"/>
      <c r="CZ187" s="224"/>
      <c r="DA187" s="243"/>
      <c r="DB187" s="168">
        <f>SUM(CX187:DA187)</f>
        <v>0</v>
      </c>
      <c r="DC187" s="168">
        <f t="shared" si="493"/>
        <v>0</v>
      </c>
      <c r="DD187" s="242"/>
      <c r="DE187" s="224"/>
      <c r="DF187" s="224"/>
      <c r="DG187" s="224"/>
      <c r="DH187" s="224"/>
      <c r="DI187" s="168">
        <f t="shared" si="494"/>
        <v>0</v>
      </c>
      <c r="DJ187" s="242"/>
      <c r="DK187" s="224"/>
      <c r="DL187" s="224"/>
      <c r="DM187" s="224"/>
      <c r="DN187" s="243"/>
      <c r="DO187" s="168">
        <f t="shared" si="495"/>
        <v>0</v>
      </c>
      <c r="DP187" s="242"/>
      <c r="DQ187" s="224"/>
      <c r="DR187" s="224"/>
      <c r="DS187" s="224"/>
      <c r="DT187" s="243"/>
      <c r="DU187" s="239">
        <f t="shared" si="496"/>
        <v>0</v>
      </c>
      <c r="DV187" s="242"/>
      <c r="DW187" s="224"/>
      <c r="DX187" s="224"/>
      <c r="DY187" s="224"/>
      <c r="DZ187" s="243"/>
      <c r="EA187" s="168">
        <f t="shared" si="497"/>
        <v>0</v>
      </c>
      <c r="EB187" s="168">
        <f t="shared" si="498"/>
        <v>0</v>
      </c>
      <c r="EC187" s="242"/>
      <c r="ED187" s="224"/>
      <c r="EE187" s="224"/>
      <c r="EF187" s="224"/>
      <c r="EG187" s="243">
        <v>138104.07</v>
      </c>
      <c r="EH187" s="168">
        <f t="shared" si="499"/>
        <v>138104.07</v>
      </c>
      <c r="EI187" s="242"/>
      <c r="EJ187" s="224"/>
      <c r="EK187" s="224"/>
      <c r="EL187" s="224"/>
      <c r="EM187" s="243"/>
      <c r="EN187" s="168">
        <f t="shared" si="500"/>
        <v>0</v>
      </c>
      <c r="EO187" s="242"/>
      <c r="EP187" s="224"/>
      <c r="EQ187" s="224"/>
      <c r="ER187" s="224"/>
      <c r="ES187" s="243"/>
      <c r="ET187" s="238">
        <f t="shared" si="501"/>
        <v>0</v>
      </c>
      <c r="EU187" s="242"/>
      <c r="EV187" s="224"/>
      <c r="EW187" s="224"/>
      <c r="EX187" s="224"/>
      <c r="EY187" s="224"/>
      <c r="EZ187" s="224"/>
      <c r="FA187" s="243"/>
      <c r="FB187" s="168">
        <f t="shared" si="502"/>
        <v>0</v>
      </c>
      <c r="FC187" s="168">
        <f t="shared" si="503"/>
        <v>138104.07</v>
      </c>
      <c r="FD187" s="242"/>
      <c r="FE187" s="224"/>
      <c r="FF187" s="243"/>
      <c r="FG187" s="168">
        <f t="shared" si="504"/>
        <v>0</v>
      </c>
      <c r="FH187" s="242"/>
      <c r="FI187" s="224">
        <f>161440.25*1.957-438.09</f>
        <v>315500.47924999997</v>
      </c>
      <c r="FJ187" s="224"/>
      <c r="FK187" s="224"/>
      <c r="FL187" s="243"/>
      <c r="FM187" s="168">
        <f t="shared" si="505"/>
        <v>315500.47924999997</v>
      </c>
      <c r="FN187" s="242"/>
      <c r="FO187" s="224"/>
      <c r="FP187" s="224"/>
      <c r="FQ187" s="224"/>
      <c r="FR187" s="168">
        <f t="shared" si="506"/>
        <v>0</v>
      </c>
      <c r="FS187" s="242"/>
      <c r="FT187" s="224">
        <v>45623.044000000002</v>
      </c>
      <c r="FU187" s="224"/>
      <c r="FV187" s="224"/>
      <c r="FW187" s="243"/>
      <c r="FX187" s="168">
        <f t="shared" si="507"/>
        <v>45623.044000000002</v>
      </c>
      <c r="FY187" s="242"/>
      <c r="FZ187" s="224"/>
      <c r="GA187" s="224"/>
      <c r="GB187" s="224"/>
      <c r="GC187" s="243"/>
      <c r="GD187" s="168">
        <f t="shared" si="508"/>
        <v>0</v>
      </c>
      <c r="GE187" s="168">
        <f t="shared" si="509"/>
        <v>361123.52324999997</v>
      </c>
      <c r="GF187" s="242"/>
      <c r="GG187" s="224"/>
      <c r="GH187" s="224"/>
      <c r="GI187" s="224"/>
      <c r="GJ187" s="224"/>
      <c r="GK187" s="168">
        <f t="shared" si="510"/>
        <v>0</v>
      </c>
      <c r="GL187" s="242"/>
      <c r="GM187" s="224"/>
      <c r="GN187" s="224"/>
      <c r="GO187" s="243"/>
      <c r="GP187" s="168">
        <f t="shared" si="511"/>
        <v>0</v>
      </c>
      <c r="GQ187" s="242">
        <f>153189*1.9715-312.028</f>
        <v>301700.08549999999</v>
      </c>
      <c r="GR187" s="224"/>
      <c r="GS187" s="224"/>
      <c r="GT187" s="224"/>
      <c r="GU187" s="243"/>
      <c r="GV187" s="168">
        <f t="shared" si="512"/>
        <v>301700.08549999999</v>
      </c>
      <c r="GW187" s="242"/>
      <c r="GX187" s="224"/>
      <c r="GY187" s="224"/>
      <c r="GZ187" s="224"/>
      <c r="HA187" s="224"/>
      <c r="HB187" s="243"/>
      <c r="HC187" s="168">
        <f t="shared" si="513"/>
        <v>0</v>
      </c>
      <c r="HD187" s="168">
        <f t="shared" si="514"/>
        <v>301700.08549999999</v>
      </c>
      <c r="HE187" s="242"/>
      <c r="HF187" s="224"/>
      <c r="HG187" s="224"/>
      <c r="HH187" s="224"/>
      <c r="HI187" s="168">
        <f t="shared" si="515"/>
        <v>0</v>
      </c>
      <c r="HJ187" s="242"/>
      <c r="HK187" s="224"/>
      <c r="HL187" s="224"/>
      <c r="HM187" s="224"/>
      <c r="HN187" s="243"/>
      <c r="HO187" s="239">
        <f t="shared" si="516"/>
        <v>0</v>
      </c>
      <c r="HP187" s="242"/>
      <c r="HQ187" s="224"/>
      <c r="HR187" s="224"/>
      <c r="HS187" s="224"/>
      <c r="HT187" s="243"/>
      <c r="HU187" s="168">
        <f t="shared" si="517"/>
        <v>0</v>
      </c>
      <c r="HV187" s="242"/>
      <c r="HW187" s="224"/>
      <c r="HX187" s="224"/>
      <c r="HY187" s="168">
        <f t="shared" si="518"/>
        <v>0</v>
      </c>
      <c r="HZ187" s="242"/>
      <c r="IA187" s="224"/>
      <c r="IB187" s="243"/>
      <c r="IC187" s="168">
        <f t="shared" si="519"/>
        <v>0</v>
      </c>
      <c r="ID187" s="168">
        <f t="shared" si="520"/>
        <v>0</v>
      </c>
      <c r="IE187" s="242"/>
      <c r="IF187" s="243"/>
      <c r="IG187" s="168">
        <f t="shared" si="521"/>
        <v>0</v>
      </c>
      <c r="IH187" s="242"/>
      <c r="II187" s="224"/>
      <c r="IJ187" s="224"/>
      <c r="IK187" s="224"/>
      <c r="IL187" s="243"/>
      <c r="IM187" s="168">
        <f t="shared" si="522"/>
        <v>0</v>
      </c>
      <c r="IN187" s="242"/>
      <c r="IO187" s="224"/>
      <c r="IP187" s="243"/>
      <c r="IQ187" s="168">
        <f t="shared" si="523"/>
        <v>0</v>
      </c>
      <c r="IR187" s="242"/>
      <c r="IS187" s="224"/>
      <c r="IT187" s="224"/>
      <c r="IU187" s="224"/>
      <c r="IV187" s="243"/>
      <c r="IW187" s="168">
        <f t="shared" si="524"/>
        <v>0</v>
      </c>
      <c r="IX187" s="242"/>
      <c r="IY187" s="224"/>
      <c r="IZ187" s="224">
        <f>IZ215*1.983-158.495</f>
        <v>69015.862270000012</v>
      </c>
      <c r="JA187" s="224"/>
      <c r="JB187" s="243"/>
      <c r="JC187" s="168">
        <f t="shared" si="525"/>
        <v>69015.862270000012</v>
      </c>
      <c r="JD187" s="168">
        <f t="shared" ref="JD187:JD191" si="537">JC187+IW187+IQ187+IM187+IG187</f>
        <v>69015.862270000012</v>
      </c>
      <c r="JE187" s="242"/>
      <c r="JF187" s="224"/>
      <c r="JG187" s="224"/>
      <c r="JH187" s="224"/>
      <c r="JI187" s="243"/>
      <c r="JJ187" s="168">
        <f t="shared" si="526"/>
        <v>0</v>
      </c>
      <c r="JK187" s="242"/>
      <c r="JL187" s="224"/>
      <c r="JM187" s="224"/>
      <c r="JN187" s="224"/>
      <c r="JO187" s="243"/>
      <c r="JP187" s="168">
        <f t="shared" si="527"/>
        <v>0</v>
      </c>
      <c r="JQ187" s="242"/>
      <c r="JR187" s="224"/>
      <c r="JS187" s="224"/>
      <c r="JT187" s="224"/>
      <c r="JU187" s="243"/>
      <c r="JV187" s="168">
        <f t="shared" si="528"/>
        <v>0</v>
      </c>
      <c r="JW187" s="242"/>
      <c r="JX187" s="224"/>
      <c r="JY187" s="224"/>
      <c r="JZ187" s="224"/>
      <c r="KA187" s="224"/>
      <c r="KB187" s="243"/>
      <c r="KC187" s="168">
        <f t="shared" si="529"/>
        <v>0</v>
      </c>
      <c r="KD187" s="168">
        <f t="shared" si="530"/>
        <v>0</v>
      </c>
      <c r="KE187" s="242"/>
      <c r="KF187" s="224"/>
      <c r="KG187" s="224"/>
      <c r="KH187" s="224"/>
      <c r="KI187" s="243"/>
      <c r="KJ187" s="168">
        <f t="shared" si="531"/>
        <v>0</v>
      </c>
      <c r="KK187" s="242"/>
      <c r="KL187" s="224"/>
      <c r="KM187" s="224"/>
      <c r="KN187" s="224"/>
      <c r="KO187" s="243"/>
      <c r="KP187" s="168">
        <f t="shared" si="532"/>
        <v>0</v>
      </c>
      <c r="KQ187" s="242"/>
      <c r="KR187" s="224"/>
      <c r="KS187" s="224"/>
      <c r="KT187" s="224"/>
      <c r="KU187" s="243"/>
      <c r="KV187" s="168">
        <f t="shared" si="533"/>
        <v>0</v>
      </c>
      <c r="KW187" s="242"/>
      <c r="KX187" s="224"/>
      <c r="KY187" s="224"/>
      <c r="KZ187" s="224"/>
      <c r="LA187" s="243"/>
      <c r="LB187" s="168">
        <f t="shared" si="534"/>
        <v>0</v>
      </c>
      <c r="LC187" s="181"/>
      <c r="LD187" s="238"/>
      <c r="LE187" s="239"/>
      <c r="LF187" s="168">
        <f t="shared" si="535"/>
        <v>0</v>
      </c>
      <c r="LG187" s="168">
        <f>LG215*1.97</f>
        <v>0</v>
      </c>
    </row>
    <row r="188" spans="2:319" s="91" customFormat="1">
      <c r="B188" s="167" t="s">
        <v>103</v>
      </c>
      <c r="C188" s="167"/>
      <c r="D188" s="181">
        <f t="shared" si="472"/>
        <v>0</v>
      </c>
      <c r="E188" s="167"/>
      <c r="F188" s="177"/>
      <c r="G188" s="177"/>
      <c r="H188" s="177"/>
      <c r="I188" s="178"/>
      <c r="J188" s="181">
        <f t="shared" si="473"/>
        <v>0</v>
      </c>
      <c r="K188" s="167"/>
      <c r="L188" s="177">
        <v>133.333</v>
      </c>
      <c r="M188" s="177"/>
      <c r="N188" s="178">
        <v>150</v>
      </c>
      <c r="O188" s="181">
        <f t="shared" si="474"/>
        <v>283.33299999999997</v>
      </c>
      <c r="P188" s="167"/>
      <c r="Q188" s="177"/>
      <c r="R188" s="177"/>
      <c r="S188" s="177"/>
      <c r="T188" s="178"/>
      <c r="U188" s="181">
        <f t="shared" si="475"/>
        <v>0</v>
      </c>
      <c r="V188" s="167"/>
      <c r="W188" s="177"/>
      <c r="X188" s="177"/>
      <c r="Y188" s="177"/>
      <c r="Z188" s="177"/>
      <c r="AA188" s="168">
        <f t="shared" si="476"/>
        <v>0</v>
      </c>
      <c r="AB188" s="168">
        <f t="shared" si="477"/>
        <v>283.33299999999997</v>
      </c>
      <c r="AC188" s="242"/>
      <c r="AD188" s="224"/>
      <c r="AE188" s="224"/>
      <c r="AF188" s="224"/>
      <c r="AG188" s="243"/>
      <c r="AH188" s="168">
        <f t="shared" si="478"/>
        <v>0</v>
      </c>
      <c r="AI188" s="242">
        <v>150</v>
      </c>
      <c r="AJ188" s="224"/>
      <c r="AK188" s="224"/>
      <c r="AL188" s="224"/>
      <c r="AM188" s="243"/>
      <c r="AN188" s="168">
        <f t="shared" si="479"/>
        <v>150</v>
      </c>
      <c r="AO188" s="242"/>
      <c r="AP188" s="224"/>
      <c r="AQ188" s="224">
        <v>216.667</v>
      </c>
      <c r="AR188" s="224"/>
      <c r="AS188" s="243"/>
      <c r="AT188" s="168">
        <f t="shared" si="480"/>
        <v>216.667</v>
      </c>
      <c r="AU188" s="242"/>
      <c r="AV188" s="224"/>
      <c r="AW188" s="224"/>
      <c r="AX188" s="224"/>
      <c r="AY188" s="243">
        <f>150+1500</f>
        <v>1650</v>
      </c>
      <c r="AZ188" s="168">
        <f t="shared" si="481"/>
        <v>1650</v>
      </c>
      <c r="BA188" s="168">
        <f t="shared" si="482"/>
        <v>2016.6669999999999</v>
      </c>
      <c r="BB188" s="242">
        <f>BB78</f>
        <v>600000</v>
      </c>
      <c r="BC188" s="224"/>
      <c r="BD188" s="224"/>
      <c r="BE188" s="224"/>
      <c r="BF188" s="243"/>
      <c r="BG188" s="168">
        <f t="shared" si="483"/>
        <v>600000</v>
      </c>
      <c r="BH188" s="242"/>
      <c r="BI188" s="224">
        <f>BI78</f>
        <v>261518.78099999999</v>
      </c>
      <c r="BJ188" s="224"/>
      <c r="BK188" s="224"/>
      <c r="BL188" s="243"/>
      <c r="BM188" s="168">
        <f t="shared" si="484"/>
        <v>261518.78099999999</v>
      </c>
      <c r="BN188" s="242"/>
      <c r="BO188" s="224"/>
      <c r="BP188" s="224"/>
      <c r="BQ188" s="243"/>
      <c r="BR188" s="168">
        <f t="shared" si="485"/>
        <v>0</v>
      </c>
      <c r="BS188" s="242"/>
      <c r="BT188" s="224"/>
      <c r="BU188" s="224"/>
      <c r="BV188" s="224"/>
      <c r="BW188" s="243">
        <v>50</v>
      </c>
      <c r="BX188" s="168">
        <f t="shared" si="486"/>
        <v>50</v>
      </c>
      <c r="BY188" s="242"/>
      <c r="BZ188" s="224">
        <v>200</v>
      </c>
      <c r="CA188" s="168">
        <f t="shared" si="487"/>
        <v>200</v>
      </c>
      <c r="CB188" s="168">
        <f t="shared" si="488"/>
        <v>861768.78099999996</v>
      </c>
      <c r="CC188" s="242"/>
      <c r="CD188" s="224"/>
      <c r="CE188" s="224"/>
      <c r="CF188" s="168">
        <f t="shared" si="489"/>
        <v>0</v>
      </c>
      <c r="CG188" s="242"/>
      <c r="CH188" s="224"/>
      <c r="CI188" s="224"/>
      <c r="CJ188" s="243"/>
      <c r="CK188" s="168">
        <f t="shared" si="490"/>
        <v>0</v>
      </c>
      <c r="CL188" s="242"/>
      <c r="CM188" s="224"/>
      <c r="CN188" s="224"/>
      <c r="CO188" s="224"/>
      <c r="CP188" s="243"/>
      <c r="CQ188" s="168">
        <f t="shared" si="491"/>
        <v>0</v>
      </c>
      <c r="CR188" s="242"/>
      <c r="CS188" s="224"/>
      <c r="CT188" s="224"/>
      <c r="CU188" s="224"/>
      <c r="CV188" s="243"/>
      <c r="CW188" s="168">
        <f t="shared" si="492"/>
        <v>0</v>
      </c>
      <c r="CX188" s="242"/>
      <c r="CY188" s="224"/>
      <c r="CZ188" s="224">
        <v>50</v>
      </c>
      <c r="DA188" s="243"/>
      <c r="DB188" s="168">
        <f>SUM(CX188:DA188)</f>
        <v>50</v>
      </c>
      <c r="DC188" s="168">
        <f t="shared" si="493"/>
        <v>50</v>
      </c>
      <c r="DD188" s="242"/>
      <c r="DE188" s="224"/>
      <c r="DF188" s="224">
        <v>200</v>
      </c>
      <c r="DG188" s="224"/>
      <c r="DH188" s="224">
        <v>91.67</v>
      </c>
      <c r="DI188" s="168">
        <f t="shared" si="494"/>
        <v>291.67</v>
      </c>
      <c r="DJ188" s="242"/>
      <c r="DK188" s="224"/>
      <c r="DL188" s="224"/>
      <c r="DM188" s="224">
        <f>24.045+35.661+67.33+100+105.321+104.179</f>
        <v>436.53599999999994</v>
      </c>
      <c r="DN188" s="243"/>
      <c r="DO188" s="168">
        <f t="shared" si="495"/>
        <v>436.53599999999994</v>
      </c>
      <c r="DP188" s="242"/>
      <c r="DQ188" s="224"/>
      <c r="DR188" s="224"/>
      <c r="DS188" s="224"/>
      <c r="DT188" s="243"/>
      <c r="DU188" s="239">
        <f t="shared" si="496"/>
        <v>0</v>
      </c>
      <c r="DV188" s="242"/>
      <c r="DW188" s="224"/>
      <c r="DX188" s="224">
        <v>50</v>
      </c>
      <c r="DY188" s="224"/>
      <c r="DZ188" s="243"/>
      <c r="EA188" s="168">
        <f t="shared" si="497"/>
        <v>50</v>
      </c>
      <c r="EB188" s="168">
        <f t="shared" si="498"/>
        <v>778.2059999999999</v>
      </c>
      <c r="EC188" s="242"/>
      <c r="ED188" s="224"/>
      <c r="EE188" s="224">
        <v>250</v>
      </c>
      <c r="EF188" s="224"/>
      <c r="EG188" s="243"/>
      <c r="EH188" s="168">
        <f t="shared" si="499"/>
        <v>250</v>
      </c>
      <c r="EI188" s="242"/>
      <c r="EJ188" s="224"/>
      <c r="EK188" s="224"/>
      <c r="EL188" s="224"/>
      <c r="EM188" s="243"/>
      <c r="EN188" s="168">
        <f t="shared" si="500"/>
        <v>0</v>
      </c>
      <c r="EO188" s="242"/>
      <c r="EP188" s="224"/>
      <c r="EQ188" s="224"/>
      <c r="ER188" s="224"/>
      <c r="ES188" s="243"/>
      <c r="ET188" s="238">
        <f t="shared" si="501"/>
        <v>0</v>
      </c>
      <c r="EU188" s="242"/>
      <c r="EV188" s="224"/>
      <c r="EW188" s="224"/>
      <c r="EX188" s="224"/>
      <c r="EY188" s="224"/>
      <c r="EZ188" s="224"/>
      <c r="FA188" s="243"/>
      <c r="FB188" s="168">
        <f t="shared" si="502"/>
        <v>0</v>
      </c>
      <c r="FC188" s="168">
        <f t="shared" si="503"/>
        <v>250</v>
      </c>
      <c r="FD188" s="242"/>
      <c r="FE188" s="224"/>
      <c r="FF188" s="243">
        <f>50+100</f>
        <v>150</v>
      </c>
      <c r="FG188" s="168">
        <f t="shared" si="504"/>
        <v>150</v>
      </c>
      <c r="FH188" s="242"/>
      <c r="FI188" s="224"/>
      <c r="FJ188" s="224"/>
      <c r="FK188" s="224"/>
      <c r="FL188" s="243">
        <v>50</v>
      </c>
      <c r="FM188" s="168">
        <f t="shared" si="505"/>
        <v>50</v>
      </c>
      <c r="FN188" s="242"/>
      <c r="FO188" s="224"/>
      <c r="FP188" s="224"/>
      <c r="FQ188" s="224">
        <v>200</v>
      </c>
      <c r="FR188" s="168">
        <f t="shared" si="506"/>
        <v>200</v>
      </c>
      <c r="FS188" s="242">
        <v>1502.6859999999999</v>
      </c>
      <c r="FT188" s="224"/>
      <c r="FU188" s="224"/>
      <c r="FV188" s="224"/>
      <c r="FW188" s="243"/>
      <c r="FX188" s="168">
        <f t="shared" si="507"/>
        <v>1502.6859999999999</v>
      </c>
      <c r="FY188" s="242"/>
      <c r="FZ188" s="224"/>
      <c r="GA188" s="224"/>
      <c r="GB188" s="224"/>
      <c r="GC188" s="243"/>
      <c r="GD188" s="168">
        <f t="shared" si="508"/>
        <v>0</v>
      </c>
      <c r="GE188" s="168">
        <f t="shared" si="509"/>
        <v>1902.6859999999999</v>
      </c>
      <c r="GF188" s="242"/>
      <c r="GG188" s="224"/>
      <c r="GH188" s="224"/>
      <c r="GI188" s="224"/>
      <c r="GJ188" s="224"/>
      <c r="GK188" s="168">
        <f t="shared" si="510"/>
        <v>0</v>
      </c>
      <c r="GL188" s="242"/>
      <c r="GM188" s="224">
        <v>5971.2280000000001</v>
      </c>
      <c r="GN188" s="224"/>
      <c r="GO188" s="243"/>
      <c r="GP188" s="168">
        <f t="shared" si="511"/>
        <v>5971.2280000000001</v>
      </c>
      <c r="GQ188" s="242"/>
      <c r="GR188" s="224"/>
      <c r="GS188" s="224"/>
      <c r="GT188" s="224"/>
      <c r="GU188" s="243"/>
      <c r="GV188" s="168">
        <f t="shared" si="512"/>
        <v>0</v>
      </c>
      <c r="GW188" s="242"/>
      <c r="GX188" s="224"/>
      <c r="GY188" s="224"/>
      <c r="GZ188" s="224"/>
      <c r="HA188" s="224"/>
      <c r="HB188" s="243"/>
      <c r="HC188" s="168">
        <f t="shared" si="513"/>
        <v>0</v>
      </c>
      <c r="HD188" s="168">
        <f t="shared" si="514"/>
        <v>5971.2280000000001</v>
      </c>
      <c r="HE188" s="242"/>
      <c r="HF188" s="224"/>
      <c r="HG188" s="224"/>
      <c r="HH188" s="224"/>
      <c r="HI188" s="168">
        <f t="shared" si="515"/>
        <v>0</v>
      </c>
      <c r="HJ188" s="242"/>
      <c r="HK188" s="224"/>
      <c r="HL188" s="224"/>
      <c r="HM188" s="224"/>
      <c r="HN188" s="243"/>
      <c r="HO188" s="239">
        <f t="shared" si="516"/>
        <v>0</v>
      </c>
      <c r="HP188" s="242"/>
      <c r="HQ188" s="224"/>
      <c r="HR188" s="224"/>
      <c r="HS188" s="224"/>
      <c r="HT188" s="243"/>
      <c r="HU188" s="168">
        <f t="shared" si="517"/>
        <v>0</v>
      </c>
      <c r="HV188" s="242"/>
      <c r="HW188" s="224"/>
      <c r="HX188" s="224"/>
      <c r="HY188" s="168">
        <f t="shared" si="518"/>
        <v>0</v>
      </c>
      <c r="HZ188" s="242"/>
      <c r="IA188" s="224"/>
      <c r="IB188" s="243"/>
      <c r="IC188" s="168">
        <f t="shared" si="519"/>
        <v>0</v>
      </c>
      <c r="ID188" s="168">
        <f t="shared" si="520"/>
        <v>0</v>
      </c>
      <c r="IE188" s="242"/>
      <c r="IF188" s="243"/>
      <c r="IG188" s="168">
        <f t="shared" si="521"/>
        <v>0</v>
      </c>
      <c r="IH188" s="242"/>
      <c r="II188" s="224"/>
      <c r="IJ188" s="224"/>
      <c r="IK188" s="224"/>
      <c r="IL188" s="243">
        <v>2000</v>
      </c>
      <c r="IM188" s="168">
        <f t="shared" si="522"/>
        <v>2000</v>
      </c>
      <c r="IN188" s="242"/>
      <c r="IO188" s="224"/>
      <c r="IP188" s="243"/>
      <c r="IQ188" s="168">
        <f t="shared" si="523"/>
        <v>0</v>
      </c>
      <c r="IR188" s="242"/>
      <c r="IS188" s="224"/>
      <c r="IT188" s="224"/>
      <c r="IU188" s="224"/>
      <c r="IV188" s="243"/>
      <c r="IW188" s="168">
        <f t="shared" si="524"/>
        <v>0</v>
      </c>
      <c r="IX188" s="242"/>
      <c r="IY188" s="224"/>
      <c r="IZ188" s="224">
        <f>IY231</f>
        <v>246250</v>
      </c>
      <c r="JA188" s="224"/>
      <c r="JB188" s="243"/>
      <c r="JC188" s="168">
        <f t="shared" si="525"/>
        <v>246250</v>
      </c>
      <c r="JD188" s="168">
        <f t="shared" si="537"/>
        <v>248250</v>
      </c>
      <c r="JE188" s="242"/>
      <c r="JF188" s="224"/>
      <c r="JG188" s="224"/>
      <c r="JH188" s="224">
        <f>JH231</f>
        <v>246250</v>
      </c>
      <c r="JI188" s="243">
        <v>2000</v>
      </c>
      <c r="JJ188" s="168">
        <f t="shared" si="526"/>
        <v>248250</v>
      </c>
      <c r="JK188" s="242"/>
      <c r="JL188" s="224"/>
      <c r="JM188" s="224"/>
      <c r="JN188" s="224"/>
      <c r="JO188" s="243"/>
      <c r="JP188" s="168">
        <f t="shared" si="527"/>
        <v>0</v>
      </c>
      <c r="JQ188" s="242"/>
      <c r="JR188" s="224"/>
      <c r="JS188" s="224"/>
      <c r="JT188" s="224"/>
      <c r="JU188" s="243"/>
      <c r="JV188" s="168">
        <f t="shared" si="528"/>
        <v>0</v>
      </c>
      <c r="JW188" s="242"/>
      <c r="JX188" s="224"/>
      <c r="JY188" s="224"/>
      <c r="JZ188" s="224"/>
      <c r="KA188" s="224"/>
      <c r="KB188" s="243"/>
      <c r="KC188" s="168">
        <f t="shared" si="529"/>
        <v>0</v>
      </c>
      <c r="KD188" s="168">
        <f t="shared" si="530"/>
        <v>248250</v>
      </c>
      <c r="KE188" s="242"/>
      <c r="KF188" s="224"/>
      <c r="KG188" s="224"/>
      <c r="KH188" s="224"/>
      <c r="KI188" s="243"/>
      <c r="KJ188" s="168">
        <f t="shared" si="531"/>
        <v>0</v>
      </c>
      <c r="KK188" s="242"/>
      <c r="KL188" s="224"/>
      <c r="KM188" s="224"/>
      <c r="KN188" s="224"/>
      <c r="KO188" s="243"/>
      <c r="KP188" s="168">
        <f t="shared" si="532"/>
        <v>0</v>
      </c>
      <c r="KQ188" s="242"/>
      <c r="KR188" s="224"/>
      <c r="KS188" s="224"/>
      <c r="KT188" s="224"/>
      <c r="KU188" s="243"/>
      <c r="KV188" s="168">
        <f t="shared" si="533"/>
        <v>0</v>
      </c>
      <c r="KW188" s="242"/>
      <c r="KX188" s="224"/>
      <c r="KY188" s="224"/>
      <c r="KZ188" s="224"/>
      <c r="LA188" s="243"/>
      <c r="LB188" s="168">
        <f t="shared" si="534"/>
        <v>0</v>
      </c>
      <c r="LC188" s="181"/>
      <c r="LD188" s="238"/>
      <c r="LE188" s="239"/>
      <c r="LF188" s="168">
        <f t="shared" si="535"/>
        <v>0</v>
      </c>
      <c r="LG188" s="168">
        <f t="shared" si="536"/>
        <v>0</v>
      </c>
    </row>
    <row r="189" spans="2:319">
      <c r="B189" s="167" t="s">
        <v>399</v>
      </c>
      <c r="C189" s="167">
        <f>C9+25000</f>
        <v>93500</v>
      </c>
      <c r="D189" s="181">
        <f t="shared" si="472"/>
        <v>93500</v>
      </c>
      <c r="E189" s="167">
        <f>E9</f>
        <v>0</v>
      </c>
      <c r="F189" s="177">
        <f>F9</f>
        <v>0</v>
      </c>
      <c r="G189" s="177">
        <f>G9</f>
        <v>0</v>
      </c>
      <c r="H189" s="177">
        <f>H9</f>
        <v>0</v>
      </c>
      <c r="I189" s="178">
        <f>I9</f>
        <v>0</v>
      </c>
      <c r="J189" s="181">
        <f t="shared" si="473"/>
        <v>0</v>
      </c>
      <c r="K189" s="167">
        <f t="shared" ref="K189:V189" si="538">K9</f>
        <v>49500</v>
      </c>
      <c r="L189" s="177">
        <f t="shared" si="538"/>
        <v>0</v>
      </c>
      <c r="M189" s="177">
        <f t="shared" si="538"/>
        <v>21000</v>
      </c>
      <c r="N189" s="178">
        <f t="shared" si="538"/>
        <v>0</v>
      </c>
      <c r="O189" s="181">
        <f t="shared" si="474"/>
        <v>70500</v>
      </c>
      <c r="P189" s="167">
        <f t="shared" si="538"/>
        <v>40000</v>
      </c>
      <c r="Q189" s="177">
        <f t="shared" si="538"/>
        <v>0</v>
      </c>
      <c r="R189" s="177">
        <f t="shared" si="538"/>
        <v>50000</v>
      </c>
      <c r="S189" s="177">
        <f t="shared" si="538"/>
        <v>0</v>
      </c>
      <c r="T189" s="178">
        <f t="shared" si="538"/>
        <v>0</v>
      </c>
      <c r="U189" s="181">
        <f t="shared" si="475"/>
        <v>90000</v>
      </c>
      <c r="V189" s="167">
        <f t="shared" si="538"/>
        <v>150000</v>
      </c>
      <c r="W189" s="177">
        <f>W9</f>
        <v>225000</v>
      </c>
      <c r="X189" s="177">
        <f>X9</f>
        <v>0</v>
      </c>
      <c r="Y189" s="177">
        <f>Y9</f>
        <v>24000</v>
      </c>
      <c r="Z189" s="178">
        <f>Z9</f>
        <v>0</v>
      </c>
      <c r="AA189" s="168">
        <f t="shared" si="476"/>
        <v>399000</v>
      </c>
      <c r="AB189" s="168">
        <f t="shared" si="477"/>
        <v>653000</v>
      </c>
      <c r="AC189" s="242">
        <f>AC9</f>
        <v>160000</v>
      </c>
      <c r="AD189" s="224">
        <f>AD9</f>
        <v>0</v>
      </c>
      <c r="AE189" s="224">
        <f>AE9</f>
        <v>0</v>
      </c>
      <c r="AF189" s="224">
        <f>AF9</f>
        <v>30000</v>
      </c>
      <c r="AG189" s="243">
        <f>AG9</f>
        <v>0</v>
      </c>
      <c r="AH189" s="168">
        <f t="shared" si="478"/>
        <v>190000</v>
      </c>
      <c r="AI189" s="242">
        <f t="shared" ref="AI189:AY189" si="539">AI9</f>
        <v>0</v>
      </c>
      <c r="AJ189" s="224">
        <f t="shared" si="539"/>
        <v>230000</v>
      </c>
      <c r="AK189" s="224">
        <f t="shared" si="539"/>
        <v>0</v>
      </c>
      <c r="AL189" s="224">
        <f t="shared" si="539"/>
        <v>250000</v>
      </c>
      <c r="AM189" s="243">
        <f t="shared" si="539"/>
        <v>25000</v>
      </c>
      <c r="AN189" s="168">
        <f t="shared" si="479"/>
        <v>505000</v>
      </c>
      <c r="AO189" s="242">
        <f t="shared" si="539"/>
        <v>0</v>
      </c>
      <c r="AP189" s="224">
        <f t="shared" si="539"/>
        <v>0</v>
      </c>
      <c r="AQ189" s="224">
        <f t="shared" si="539"/>
        <v>0</v>
      </c>
      <c r="AR189" s="224">
        <f t="shared" si="539"/>
        <v>60000</v>
      </c>
      <c r="AS189" s="243">
        <f t="shared" si="539"/>
        <v>0</v>
      </c>
      <c r="AT189" s="168">
        <f t="shared" si="480"/>
        <v>60000</v>
      </c>
      <c r="AU189" s="242">
        <f t="shared" si="539"/>
        <v>100000</v>
      </c>
      <c r="AV189" s="224">
        <f t="shared" si="539"/>
        <v>0</v>
      </c>
      <c r="AW189" s="224">
        <f t="shared" si="539"/>
        <v>0</v>
      </c>
      <c r="AX189" s="224">
        <f t="shared" si="539"/>
        <v>0</v>
      </c>
      <c r="AY189" s="243">
        <f t="shared" si="539"/>
        <v>0</v>
      </c>
      <c r="AZ189" s="168">
        <f t="shared" si="481"/>
        <v>100000</v>
      </c>
      <c r="BA189" s="168">
        <f t="shared" si="482"/>
        <v>855000</v>
      </c>
      <c r="BB189" s="242">
        <f>BB9</f>
        <v>50000</v>
      </c>
      <c r="BC189" s="224">
        <f>BC9</f>
        <v>65000</v>
      </c>
      <c r="BD189" s="224">
        <f>BD9</f>
        <v>100000</v>
      </c>
      <c r="BE189" s="224">
        <f>BE9</f>
        <v>40000</v>
      </c>
      <c r="BF189" s="243">
        <f>BF9</f>
        <v>0</v>
      </c>
      <c r="BG189" s="168">
        <f t="shared" si="483"/>
        <v>255000</v>
      </c>
      <c r="BH189" s="242">
        <f>BH9</f>
        <v>0</v>
      </c>
      <c r="BI189" s="224">
        <f>BI9</f>
        <v>0</v>
      </c>
      <c r="BJ189" s="224">
        <f>BJ9</f>
        <v>0</v>
      </c>
      <c r="BK189" s="224">
        <f>BK9</f>
        <v>0</v>
      </c>
      <c r="BL189" s="243">
        <f>BL9</f>
        <v>50000</v>
      </c>
      <c r="BM189" s="168">
        <f t="shared" si="484"/>
        <v>50000</v>
      </c>
      <c r="BN189" s="242">
        <f>BN9</f>
        <v>40000</v>
      </c>
      <c r="BO189" s="224">
        <f>BO9</f>
        <v>0</v>
      </c>
      <c r="BP189" s="224">
        <f>BP9</f>
        <v>0</v>
      </c>
      <c r="BQ189" s="243">
        <f>BQ9</f>
        <v>0</v>
      </c>
      <c r="BR189" s="168">
        <f t="shared" si="485"/>
        <v>40000</v>
      </c>
      <c r="BS189" s="242">
        <f>+BS9</f>
        <v>0</v>
      </c>
      <c r="BT189" s="224">
        <f>+BT9</f>
        <v>0</v>
      </c>
      <c r="BU189" s="224">
        <f>+BU9</f>
        <v>0</v>
      </c>
      <c r="BV189" s="224">
        <f>+BV9</f>
        <v>0</v>
      </c>
      <c r="BW189" s="243">
        <f>+BW9</f>
        <v>10000</v>
      </c>
      <c r="BX189" s="168">
        <f t="shared" si="486"/>
        <v>10000</v>
      </c>
      <c r="BY189" s="242">
        <f>BY9</f>
        <v>0</v>
      </c>
      <c r="BZ189" s="243">
        <f>BZ9</f>
        <v>150000</v>
      </c>
      <c r="CA189" s="168">
        <f t="shared" si="487"/>
        <v>150000</v>
      </c>
      <c r="CB189" s="168">
        <f t="shared" si="488"/>
        <v>505000</v>
      </c>
      <c r="CC189" s="242">
        <f>CC9</f>
        <v>48000</v>
      </c>
      <c r="CD189" s="224">
        <f>CD9</f>
        <v>0</v>
      </c>
      <c r="CE189" s="224">
        <f>CE9</f>
        <v>0</v>
      </c>
      <c r="CF189" s="168">
        <f t="shared" si="489"/>
        <v>48000</v>
      </c>
      <c r="CG189" s="242">
        <f>CG9</f>
        <v>200000</v>
      </c>
      <c r="CH189" s="224">
        <f>CH9</f>
        <v>40000</v>
      </c>
      <c r="CI189" s="224">
        <f>CI9</f>
        <v>0</v>
      </c>
      <c r="CJ189" s="243">
        <f>CJ9</f>
        <v>20000</v>
      </c>
      <c r="CK189" s="168">
        <f t="shared" si="490"/>
        <v>260000</v>
      </c>
      <c r="CL189" s="242">
        <f t="shared" ref="CL189:CX189" si="540">CL9</f>
        <v>0</v>
      </c>
      <c r="CM189" s="224">
        <f t="shared" si="540"/>
        <v>0</v>
      </c>
      <c r="CN189" s="224">
        <f t="shared" si="540"/>
        <v>5000</v>
      </c>
      <c r="CO189" s="224">
        <f t="shared" si="540"/>
        <v>30000</v>
      </c>
      <c r="CP189" s="243">
        <f t="shared" si="540"/>
        <v>15000</v>
      </c>
      <c r="CQ189" s="168">
        <f t="shared" si="491"/>
        <v>50000</v>
      </c>
      <c r="CR189" s="242">
        <f t="shared" si="540"/>
        <v>0</v>
      </c>
      <c r="CS189" s="224">
        <f t="shared" si="540"/>
        <v>0</v>
      </c>
      <c r="CT189" s="224">
        <f t="shared" si="540"/>
        <v>20000</v>
      </c>
      <c r="CU189" s="224">
        <f t="shared" si="540"/>
        <v>0</v>
      </c>
      <c r="CV189" s="243">
        <f t="shared" si="540"/>
        <v>0</v>
      </c>
      <c r="CW189" s="168">
        <f t="shared" si="492"/>
        <v>20000</v>
      </c>
      <c r="CX189" s="242">
        <f t="shared" si="540"/>
        <v>0</v>
      </c>
      <c r="CY189" s="224"/>
      <c r="CZ189" s="224">
        <f>CZ9</f>
        <v>0</v>
      </c>
      <c r="DA189" s="243">
        <f>DA9</f>
        <v>35000</v>
      </c>
      <c r="DB189" s="168">
        <f>DB9</f>
        <v>35000</v>
      </c>
      <c r="DC189" s="168">
        <f t="shared" si="493"/>
        <v>413000</v>
      </c>
      <c r="DD189" s="242">
        <f>DD9</f>
        <v>165000</v>
      </c>
      <c r="DE189" s="224">
        <f>DE9</f>
        <v>0</v>
      </c>
      <c r="DF189" s="224">
        <f>DF9</f>
        <v>10000</v>
      </c>
      <c r="DG189" s="224">
        <f>DG9</f>
        <v>10000</v>
      </c>
      <c r="DH189" s="224">
        <f>DH9</f>
        <v>0</v>
      </c>
      <c r="DI189" s="168">
        <f t="shared" si="494"/>
        <v>185000</v>
      </c>
      <c r="DJ189" s="242">
        <f>DJ9</f>
        <v>0</v>
      </c>
      <c r="DK189" s="224">
        <f>DK9</f>
        <v>0</v>
      </c>
      <c r="DL189" s="224">
        <f>DL9</f>
        <v>0</v>
      </c>
      <c r="DM189" s="224">
        <f>DM9</f>
        <v>0</v>
      </c>
      <c r="DN189" s="243">
        <f>DN9</f>
        <v>0</v>
      </c>
      <c r="DO189" s="239">
        <f t="shared" si="495"/>
        <v>0</v>
      </c>
      <c r="DP189" s="242">
        <f>DP9</f>
        <v>0</v>
      </c>
      <c r="DQ189" s="224">
        <f>DQ9</f>
        <v>0</v>
      </c>
      <c r="DR189" s="224">
        <f>DR9</f>
        <v>150000</v>
      </c>
      <c r="DS189" s="224">
        <f>DS9</f>
        <v>0</v>
      </c>
      <c r="DT189" s="243">
        <f>DT9</f>
        <v>0</v>
      </c>
      <c r="DU189" s="239">
        <f t="shared" si="496"/>
        <v>150000</v>
      </c>
      <c r="DV189" s="242">
        <f>DV9</f>
        <v>30000</v>
      </c>
      <c r="DW189" s="224">
        <f>DW9</f>
        <v>0</v>
      </c>
      <c r="DX189" s="224">
        <f>DX9</f>
        <v>0</v>
      </c>
      <c r="DY189" s="224">
        <f>DY9</f>
        <v>0</v>
      </c>
      <c r="DZ189" s="243">
        <f>DZ9</f>
        <v>0</v>
      </c>
      <c r="EA189" s="239">
        <f t="shared" si="497"/>
        <v>30000</v>
      </c>
      <c r="EB189" s="168">
        <f t="shared" si="498"/>
        <v>365000</v>
      </c>
      <c r="EC189" s="242">
        <f>EC9</f>
        <v>0</v>
      </c>
      <c r="ED189" s="224">
        <f>ED9</f>
        <v>60000</v>
      </c>
      <c r="EE189" s="224">
        <f>EE9</f>
        <v>0</v>
      </c>
      <c r="EF189" s="224">
        <f>EF9</f>
        <v>20000</v>
      </c>
      <c r="EG189" s="243">
        <f>EG9</f>
        <v>0</v>
      </c>
      <c r="EH189" s="168">
        <f t="shared" si="499"/>
        <v>80000</v>
      </c>
      <c r="EI189" s="242">
        <f>EI9</f>
        <v>0</v>
      </c>
      <c r="EJ189" s="224">
        <f>EJ9</f>
        <v>0</v>
      </c>
      <c r="EK189" s="224">
        <f>EK9</f>
        <v>0</v>
      </c>
      <c r="EL189" s="224">
        <f>EL9</f>
        <v>0</v>
      </c>
      <c r="EM189" s="243">
        <f>EM9</f>
        <v>0</v>
      </c>
      <c r="EN189" s="168">
        <f t="shared" si="500"/>
        <v>0</v>
      </c>
      <c r="EO189" s="242">
        <f>EO9</f>
        <v>0</v>
      </c>
      <c r="EP189" s="224">
        <f>EP9</f>
        <v>20000</v>
      </c>
      <c r="EQ189" s="224">
        <f>EQ9</f>
        <v>0</v>
      </c>
      <c r="ER189" s="224">
        <f>ER9</f>
        <v>0</v>
      </c>
      <c r="ES189" s="243">
        <f>ES9</f>
        <v>0</v>
      </c>
      <c r="ET189" s="238">
        <f t="shared" si="501"/>
        <v>20000</v>
      </c>
      <c r="EU189" s="242">
        <f>EU9</f>
        <v>0</v>
      </c>
      <c r="EV189" s="224">
        <f t="shared" ref="EV189:FA189" si="541">EV9</f>
        <v>0</v>
      </c>
      <c r="EW189" s="224">
        <f t="shared" si="541"/>
        <v>0</v>
      </c>
      <c r="EX189" s="224">
        <f t="shared" si="541"/>
        <v>0</v>
      </c>
      <c r="EY189" s="224">
        <f t="shared" si="541"/>
        <v>50000</v>
      </c>
      <c r="EZ189" s="224">
        <f t="shared" si="541"/>
        <v>20000</v>
      </c>
      <c r="FA189" s="243">
        <f t="shared" si="541"/>
        <v>0</v>
      </c>
      <c r="FB189" s="168">
        <f>SUM(EU189:FA189)</f>
        <v>70000</v>
      </c>
      <c r="FC189" s="168">
        <f t="shared" si="503"/>
        <v>170000</v>
      </c>
      <c r="FD189" s="242">
        <f>FD9</f>
        <v>0</v>
      </c>
      <c r="FE189" s="224">
        <f>FE9</f>
        <v>50000</v>
      </c>
      <c r="FF189" s="243">
        <f>FF9</f>
        <v>0</v>
      </c>
      <c r="FG189" s="168">
        <f t="shared" si="504"/>
        <v>50000</v>
      </c>
      <c r="FH189" s="242">
        <f>FH9</f>
        <v>0</v>
      </c>
      <c r="FI189" s="224">
        <f>FI9</f>
        <v>0</v>
      </c>
      <c r="FJ189" s="224">
        <f>FJ9</f>
        <v>0</v>
      </c>
      <c r="FK189" s="224">
        <f>FK9</f>
        <v>110000</v>
      </c>
      <c r="FL189" s="243">
        <f>FL9</f>
        <v>25000</v>
      </c>
      <c r="FM189" s="168">
        <f t="shared" si="505"/>
        <v>135000</v>
      </c>
      <c r="FN189" s="242">
        <f>FN9</f>
        <v>15000</v>
      </c>
      <c r="FO189" s="224">
        <f>FO9</f>
        <v>0</v>
      </c>
      <c r="FP189" s="224">
        <f>FP9</f>
        <v>0</v>
      </c>
      <c r="FQ189" s="243">
        <f>FQ9</f>
        <v>25000</v>
      </c>
      <c r="FR189" s="168">
        <f t="shared" si="506"/>
        <v>40000</v>
      </c>
      <c r="FS189" s="242">
        <f>FS9</f>
        <v>0</v>
      </c>
      <c r="FT189" s="224">
        <f>FT9</f>
        <v>0</v>
      </c>
      <c r="FU189" s="224">
        <f>FU9</f>
        <v>0</v>
      </c>
      <c r="FV189" s="224">
        <f>FV9</f>
        <v>0</v>
      </c>
      <c r="FW189" s="243">
        <f>FW9</f>
        <v>0</v>
      </c>
      <c r="FX189" s="168">
        <f t="shared" si="507"/>
        <v>0</v>
      </c>
      <c r="FY189" s="242">
        <f>FY9</f>
        <v>0</v>
      </c>
      <c r="FZ189" s="224">
        <f>FZ9</f>
        <v>0</v>
      </c>
      <c r="GA189" s="224">
        <f>GA9</f>
        <v>25000</v>
      </c>
      <c r="GB189" s="224">
        <f>GB9</f>
        <v>0</v>
      </c>
      <c r="GC189" s="243">
        <f>GC9</f>
        <v>100000</v>
      </c>
      <c r="GD189" s="168">
        <f t="shared" si="508"/>
        <v>125000</v>
      </c>
      <c r="GE189" s="168">
        <f t="shared" si="509"/>
        <v>350000</v>
      </c>
      <c r="GF189" s="242">
        <f>GF9</f>
        <v>55000</v>
      </c>
      <c r="GG189" s="224">
        <f>GG9</f>
        <v>0</v>
      </c>
      <c r="GH189" s="224">
        <f>GH9</f>
        <v>0</v>
      </c>
      <c r="GI189" s="224">
        <f>GI9</f>
        <v>0</v>
      </c>
      <c r="GJ189" s="224">
        <f>GJ9</f>
        <v>100000</v>
      </c>
      <c r="GK189" s="168">
        <f t="shared" si="510"/>
        <v>155000</v>
      </c>
      <c r="GL189" s="242">
        <f>GL9</f>
        <v>0</v>
      </c>
      <c r="GM189" s="224">
        <f>GM9</f>
        <v>0</v>
      </c>
      <c r="GN189" s="224">
        <f>GN9</f>
        <v>30000</v>
      </c>
      <c r="GO189" s="243">
        <f>GO9</f>
        <v>0</v>
      </c>
      <c r="GP189" s="168">
        <f t="shared" si="511"/>
        <v>30000</v>
      </c>
      <c r="GQ189" s="242">
        <f>GQ9</f>
        <v>0</v>
      </c>
      <c r="GR189" s="224">
        <f>GR9</f>
        <v>30000</v>
      </c>
      <c r="GS189" s="224">
        <f>GS9</f>
        <v>0</v>
      </c>
      <c r="GT189" s="224">
        <f>GT9</f>
        <v>0</v>
      </c>
      <c r="GU189" s="243">
        <f>GU9</f>
        <v>0</v>
      </c>
      <c r="GV189" s="168">
        <f t="shared" si="512"/>
        <v>30000</v>
      </c>
      <c r="GW189" s="242">
        <f t="shared" ref="GW189:HB189" si="542">GW9</f>
        <v>0</v>
      </c>
      <c r="GX189" s="224">
        <f t="shared" si="542"/>
        <v>0</v>
      </c>
      <c r="GY189" s="224">
        <f t="shared" si="542"/>
        <v>0</v>
      </c>
      <c r="GZ189" s="224">
        <f t="shared" si="542"/>
        <v>0</v>
      </c>
      <c r="HA189" s="224">
        <f t="shared" si="542"/>
        <v>0</v>
      </c>
      <c r="HB189" s="243">
        <f t="shared" si="542"/>
        <v>50000</v>
      </c>
      <c r="HC189" s="168">
        <f t="shared" si="513"/>
        <v>50000</v>
      </c>
      <c r="HD189" s="168">
        <f t="shared" si="514"/>
        <v>265000</v>
      </c>
      <c r="HE189" s="242">
        <f>HE9</f>
        <v>90000</v>
      </c>
      <c r="HF189" s="224">
        <f>HF9</f>
        <v>0</v>
      </c>
      <c r="HG189" s="224">
        <f>HG9</f>
        <v>0</v>
      </c>
      <c r="HH189" s="224">
        <f>HH9</f>
        <v>0</v>
      </c>
      <c r="HI189" s="168">
        <f t="shared" si="515"/>
        <v>90000</v>
      </c>
      <c r="HJ189" s="242">
        <f>HJ9</f>
        <v>0</v>
      </c>
      <c r="HK189" s="224">
        <f t="shared" ref="HK189:HN189" si="543">HK9</f>
        <v>0</v>
      </c>
      <c r="HL189" s="224">
        <f t="shared" si="543"/>
        <v>0</v>
      </c>
      <c r="HM189" s="224">
        <f t="shared" si="543"/>
        <v>20000</v>
      </c>
      <c r="HN189" s="243">
        <f t="shared" si="543"/>
        <v>0</v>
      </c>
      <c r="HO189" s="239">
        <f t="shared" si="516"/>
        <v>20000</v>
      </c>
      <c r="HP189" s="242">
        <f>HP9</f>
        <v>0</v>
      </c>
      <c r="HQ189" s="224">
        <f t="shared" ref="HQ189:HT189" si="544">HQ9</f>
        <v>100000</v>
      </c>
      <c r="HR189" s="224">
        <f t="shared" si="544"/>
        <v>85000</v>
      </c>
      <c r="HS189" s="224">
        <f t="shared" si="544"/>
        <v>0</v>
      </c>
      <c r="HT189" s="243">
        <f t="shared" si="544"/>
        <v>0</v>
      </c>
      <c r="HU189" s="168">
        <f t="shared" si="517"/>
        <v>185000</v>
      </c>
      <c r="HV189" s="242">
        <f>HV9</f>
        <v>45000</v>
      </c>
      <c r="HW189" s="224">
        <f t="shared" ref="HW189:HX189" si="545">HW9</f>
        <v>0</v>
      </c>
      <c r="HX189" s="243">
        <f t="shared" si="545"/>
        <v>0</v>
      </c>
      <c r="HY189" s="168">
        <f t="shared" si="518"/>
        <v>45000</v>
      </c>
      <c r="HZ189" s="242">
        <f>HZ9</f>
        <v>0</v>
      </c>
      <c r="IA189" s="224">
        <f t="shared" ref="IA189:IB189" si="546">IA9</f>
        <v>0</v>
      </c>
      <c r="IB189" s="243">
        <f t="shared" si="546"/>
        <v>100000</v>
      </c>
      <c r="IC189" s="168">
        <f t="shared" si="519"/>
        <v>100000</v>
      </c>
      <c r="ID189" s="168">
        <f t="shared" si="520"/>
        <v>440000</v>
      </c>
      <c r="IE189" s="242">
        <f>IE9</f>
        <v>100000</v>
      </c>
      <c r="IF189" s="243">
        <f>IF9</f>
        <v>0</v>
      </c>
      <c r="IG189" s="168">
        <f t="shared" si="521"/>
        <v>100000</v>
      </c>
      <c r="IH189" s="242">
        <f>IH9</f>
        <v>0</v>
      </c>
      <c r="II189" s="224">
        <f t="shared" ref="II189:IL189" si="547">II9</f>
        <v>0</v>
      </c>
      <c r="IJ189" s="224">
        <f t="shared" si="547"/>
        <v>0</v>
      </c>
      <c r="IK189" s="224">
        <f t="shared" si="547"/>
        <v>0</v>
      </c>
      <c r="IL189" s="243">
        <f t="shared" si="547"/>
        <v>0</v>
      </c>
      <c r="IM189" s="168">
        <f t="shared" si="522"/>
        <v>0</v>
      </c>
      <c r="IN189" s="242">
        <f>IN9</f>
        <v>100000</v>
      </c>
      <c r="IO189" s="224">
        <f t="shared" ref="IO189:IP189" si="548">IO9</f>
        <v>45000</v>
      </c>
      <c r="IP189" s="243">
        <f t="shared" si="548"/>
        <v>0</v>
      </c>
      <c r="IQ189" s="168">
        <f t="shared" si="523"/>
        <v>145000</v>
      </c>
      <c r="IR189" s="242">
        <f>IR9</f>
        <v>0</v>
      </c>
      <c r="IS189" s="224">
        <f t="shared" ref="IS189:IV189" si="549">IS9</f>
        <v>0</v>
      </c>
      <c r="IT189" s="224">
        <f t="shared" si="549"/>
        <v>0</v>
      </c>
      <c r="IU189" s="224">
        <f t="shared" si="549"/>
        <v>0</v>
      </c>
      <c r="IV189" s="243">
        <f t="shared" si="549"/>
        <v>0</v>
      </c>
      <c r="IW189" s="168">
        <f t="shared" si="524"/>
        <v>0</v>
      </c>
      <c r="IX189" s="242">
        <f>IX9</f>
        <v>0</v>
      </c>
      <c r="IY189" s="224">
        <f t="shared" ref="IY189:JB189" si="550">IY9</f>
        <v>0</v>
      </c>
      <c r="IZ189" s="224">
        <f t="shared" si="550"/>
        <v>0</v>
      </c>
      <c r="JA189" s="224">
        <f t="shared" si="550"/>
        <v>0</v>
      </c>
      <c r="JB189" s="243">
        <f t="shared" si="550"/>
        <v>80000</v>
      </c>
      <c r="JC189" s="168">
        <f t="shared" si="525"/>
        <v>80000</v>
      </c>
      <c r="JD189" s="168">
        <f t="shared" si="537"/>
        <v>325000</v>
      </c>
      <c r="JE189" s="242">
        <f>JE9</f>
        <v>0</v>
      </c>
      <c r="JF189" s="224">
        <f t="shared" ref="JF189:JI189" si="551">JF9</f>
        <v>0</v>
      </c>
      <c r="JG189" s="224">
        <f t="shared" si="551"/>
        <v>0</v>
      </c>
      <c r="JH189" s="224">
        <f t="shared" si="551"/>
        <v>0</v>
      </c>
      <c r="JI189" s="243">
        <f t="shared" si="551"/>
        <v>0</v>
      </c>
      <c r="JJ189" s="168">
        <f t="shared" si="526"/>
        <v>0</v>
      </c>
      <c r="JK189" s="242"/>
      <c r="JL189" s="224"/>
      <c r="JM189" s="224"/>
      <c r="JN189" s="224"/>
      <c r="JO189" s="243"/>
      <c r="JP189" s="168">
        <f t="shared" si="527"/>
        <v>0</v>
      </c>
      <c r="JQ189" s="242"/>
      <c r="JR189" s="224"/>
      <c r="JS189" s="224"/>
      <c r="JT189" s="224"/>
      <c r="JU189" s="243"/>
      <c r="JV189" s="168">
        <f t="shared" si="528"/>
        <v>0</v>
      </c>
      <c r="JW189" s="242"/>
      <c r="JX189" s="224"/>
      <c r="JY189" s="224"/>
      <c r="JZ189" s="224"/>
      <c r="KA189" s="224"/>
      <c r="KB189" s="243"/>
      <c r="KC189" s="168">
        <f t="shared" si="529"/>
        <v>0</v>
      </c>
      <c r="KD189" s="168">
        <f>+KD9</f>
        <v>0</v>
      </c>
      <c r="KE189" s="242"/>
      <c r="KF189" s="224"/>
      <c r="KG189" s="224"/>
      <c r="KH189" s="224"/>
      <c r="KI189" s="243"/>
      <c r="KJ189" s="168">
        <f t="shared" si="531"/>
        <v>0</v>
      </c>
      <c r="KK189" s="242"/>
      <c r="KL189" s="224"/>
      <c r="KM189" s="224"/>
      <c r="KN189" s="224"/>
      <c r="KO189" s="243"/>
      <c r="KP189" s="168">
        <f t="shared" si="532"/>
        <v>0</v>
      </c>
      <c r="KQ189" s="242"/>
      <c r="KR189" s="224"/>
      <c r="KS189" s="224"/>
      <c r="KT189" s="224"/>
      <c r="KU189" s="243"/>
      <c r="KV189" s="168">
        <f t="shared" si="533"/>
        <v>0</v>
      </c>
      <c r="KW189" s="242"/>
      <c r="KX189" s="224"/>
      <c r="KY189" s="224"/>
      <c r="KZ189" s="224"/>
      <c r="LA189" s="243"/>
      <c r="LB189" s="168">
        <f t="shared" si="534"/>
        <v>0</v>
      </c>
      <c r="LC189" s="181"/>
      <c r="LD189" s="238"/>
      <c r="LE189" s="239"/>
      <c r="LF189" s="168">
        <f t="shared" si="535"/>
        <v>0</v>
      </c>
      <c r="LG189" s="168">
        <f>+LG9</f>
        <v>850000</v>
      </c>
    </row>
    <row r="190" spans="2:319" s="91" customFormat="1">
      <c r="B190" s="167" t="s">
        <v>400</v>
      </c>
      <c r="C190" s="167"/>
      <c r="D190" s="181">
        <f t="shared" si="472"/>
        <v>0</v>
      </c>
      <c r="E190" s="167"/>
      <c r="F190" s="177"/>
      <c r="G190" s="177"/>
      <c r="H190" s="177"/>
      <c r="I190" s="178"/>
      <c r="J190" s="181">
        <f t="shared" si="473"/>
        <v>0</v>
      </c>
      <c r="K190" s="167"/>
      <c r="L190" s="177"/>
      <c r="M190" s="177"/>
      <c r="N190" s="178"/>
      <c r="O190" s="181">
        <f t="shared" si="474"/>
        <v>0</v>
      </c>
      <c r="P190" s="167"/>
      <c r="Q190" s="177"/>
      <c r="R190" s="177"/>
      <c r="S190" s="177"/>
      <c r="T190" s="178"/>
      <c r="U190" s="181">
        <f t="shared" si="475"/>
        <v>0</v>
      </c>
      <c r="V190" s="167"/>
      <c r="W190" s="177"/>
      <c r="X190" s="177"/>
      <c r="Y190" s="177"/>
      <c r="Z190" s="177"/>
      <c r="AA190" s="168">
        <f t="shared" si="476"/>
        <v>0</v>
      </c>
      <c r="AB190" s="168">
        <f t="shared" si="477"/>
        <v>0</v>
      </c>
      <c r="AC190" s="242"/>
      <c r="AD190" s="224"/>
      <c r="AE190" s="224">
        <v>-410000</v>
      </c>
      <c r="AF190" s="224"/>
      <c r="AG190" s="243"/>
      <c r="AH190" s="168">
        <f t="shared" si="478"/>
        <v>-410000</v>
      </c>
      <c r="AI190" s="242"/>
      <c r="AJ190" s="224"/>
      <c r="AK190" s="224"/>
      <c r="AL190" s="224"/>
      <c r="AM190" s="243"/>
      <c r="AN190" s="168">
        <f t="shared" si="479"/>
        <v>0</v>
      </c>
      <c r="AO190" s="242"/>
      <c r="AP190" s="224"/>
      <c r="AQ190" s="224"/>
      <c r="AR190" s="224"/>
      <c r="AS190" s="243"/>
      <c r="AT190" s="168">
        <f t="shared" si="480"/>
        <v>0</v>
      </c>
      <c r="AU190" s="242"/>
      <c r="AV190" s="224"/>
      <c r="AW190" s="224"/>
      <c r="AX190" s="224"/>
      <c r="AY190" s="243"/>
      <c r="AZ190" s="168">
        <f t="shared" si="481"/>
        <v>0</v>
      </c>
      <c r="BA190" s="168">
        <f t="shared" si="482"/>
        <v>-410000</v>
      </c>
      <c r="BB190" s="242"/>
      <c r="BC190" s="224"/>
      <c r="BD190" s="224"/>
      <c r="BE190" s="224">
        <v>108872.34699999999</v>
      </c>
      <c r="BF190" s="243"/>
      <c r="BG190" s="168">
        <f t="shared" si="483"/>
        <v>108872.34699999999</v>
      </c>
      <c r="BH190" s="242"/>
      <c r="BI190" s="224"/>
      <c r="BJ190" s="224"/>
      <c r="BK190" s="224"/>
      <c r="BL190" s="243"/>
      <c r="BM190" s="168">
        <f t="shared" si="484"/>
        <v>0</v>
      </c>
      <c r="BN190" s="242"/>
      <c r="BO190" s="224"/>
      <c r="BP190" s="224"/>
      <c r="BQ190" s="243"/>
      <c r="BR190" s="168">
        <f t="shared" si="485"/>
        <v>0</v>
      </c>
      <c r="BS190" s="242"/>
      <c r="BT190" s="224"/>
      <c r="BU190" s="224"/>
      <c r="BV190" s="224"/>
      <c r="BW190" s="243"/>
      <c r="BX190" s="168">
        <f t="shared" si="486"/>
        <v>0</v>
      </c>
      <c r="BY190" s="242"/>
      <c r="BZ190" s="224"/>
      <c r="CA190" s="168">
        <f t="shared" si="487"/>
        <v>0</v>
      </c>
      <c r="CB190" s="168">
        <f t="shared" si="488"/>
        <v>108872.34699999999</v>
      </c>
      <c r="CC190" s="242"/>
      <c r="CD190" s="224"/>
      <c r="CE190" s="224"/>
      <c r="CF190" s="168">
        <f t="shared" si="489"/>
        <v>0</v>
      </c>
      <c r="CG190" s="242"/>
      <c r="CH190" s="224"/>
      <c r="CI190" s="224"/>
      <c r="CJ190" s="243"/>
      <c r="CK190" s="168">
        <f t="shared" si="490"/>
        <v>0</v>
      </c>
      <c r="CL190" s="242"/>
      <c r="CM190" s="224">
        <f>294204.156+213984.961+84598.706</f>
        <v>592787.82300000009</v>
      </c>
      <c r="CN190" s="224"/>
      <c r="CO190" s="224"/>
      <c r="CP190" s="243"/>
      <c r="CQ190" s="168">
        <f t="shared" si="491"/>
        <v>592787.82300000009</v>
      </c>
      <c r="CR190" s="242"/>
      <c r="CS190" s="224"/>
      <c r="CT190" s="224"/>
      <c r="CU190" s="224"/>
      <c r="CV190" s="243"/>
      <c r="CW190" s="168">
        <f t="shared" si="492"/>
        <v>0</v>
      </c>
      <c r="CX190" s="242"/>
      <c r="CY190" s="224"/>
      <c r="CZ190" s="224"/>
      <c r="DA190" s="243"/>
      <c r="DB190" s="168">
        <f>SUM(CX190:DA190)</f>
        <v>0</v>
      </c>
      <c r="DC190" s="168">
        <f t="shared" si="493"/>
        <v>592787.82300000009</v>
      </c>
      <c r="DD190" s="242"/>
      <c r="DE190" s="224"/>
      <c r="DF190" s="224"/>
      <c r="DG190" s="224"/>
      <c r="DH190" s="224"/>
      <c r="DI190" s="168">
        <f t="shared" si="494"/>
        <v>0</v>
      </c>
      <c r="DJ190" s="242"/>
      <c r="DK190" s="224"/>
      <c r="DL190" s="224"/>
      <c r="DM190" s="224"/>
      <c r="DN190" s="243"/>
      <c r="DO190" s="168">
        <f t="shared" si="495"/>
        <v>0</v>
      </c>
      <c r="DP190" s="242"/>
      <c r="DQ190" s="224"/>
      <c r="DR190" s="224"/>
      <c r="DS190" s="224"/>
      <c r="DT190" s="243"/>
      <c r="DU190" s="239">
        <f t="shared" si="496"/>
        <v>0</v>
      </c>
      <c r="DV190" s="242"/>
      <c r="DW190" s="224"/>
      <c r="DX190" s="224"/>
      <c r="DY190" s="224"/>
      <c r="DZ190" s="243"/>
      <c r="EA190" s="168">
        <f t="shared" si="497"/>
        <v>0</v>
      </c>
      <c r="EB190" s="168">
        <f t="shared" si="498"/>
        <v>0</v>
      </c>
      <c r="EC190" s="242"/>
      <c r="ED190" s="224"/>
      <c r="EE190" s="224"/>
      <c r="EF190" s="224"/>
      <c r="EG190" s="243">
        <v>-110000</v>
      </c>
      <c r="EH190" s="168">
        <f t="shared" si="499"/>
        <v>-110000</v>
      </c>
      <c r="EI190" s="242"/>
      <c r="EJ190" s="224">
        <f>292730.794-295000+84616.225-85000+214029.275-215000</f>
        <v>-3623.7060000000056</v>
      </c>
      <c r="EK190" s="224"/>
      <c r="EL190" s="224"/>
      <c r="EM190" s="243"/>
      <c r="EN190" s="168">
        <f t="shared" si="500"/>
        <v>-3623.7060000000056</v>
      </c>
      <c r="EO190" s="242"/>
      <c r="EP190" s="224"/>
      <c r="EQ190" s="224"/>
      <c r="ER190" s="224"/>
      <c r="ES190" s="243"/>
      <c r="ET190" s="238">
        <f t="shared" si="501"/>
        <v>0</v>
      </c>
      <c r="EU190" s="242"/>
      <c r="EV190" s="224"/>
      <c r="EW190" s="224"/>
      <c r="EX190" s="224"/>
      <c r="EY190" s="224"/>
      <c r="EZ190" s="224"/>
      <c r="FA190" s="243"/>
      <c r="FB190" s="168">
        <f t="shared" si="502"/>
        <v>0</v>
      </c>
      <c r="FC190" s="168">
        <f t="shared" si="503"/>
        <v>-113623.70600000001</v>
      </c>
      <c r="FD190" s="242"/>
      <c r="FE190" s="224"/>
      <c r="FF190" s="243"/>
      <c r="FG190" s="168">
        <f t="shared" si="504"/>
        <v>0</v>
      </c>
      <c r="FH190" s="242"/>
      <c r="FI190" s="224"/>
      <c r="FJ190" s="224">
        <f>+-215000-85000</f>
        <v>-300000</v>
      </c>
      <c r="FK190" s="224"/>
      <c r="FL190" s="243"/>
      <c r="FM190" s="168">
        <f t="shared" si="505"/>
        <v>-300000</v>
      </c>
      <c r="FN190" s="242"/>
      <c r="FO190" s="224"/>
      <c r="FP190" s="224">
        <f>142416.986+54084.938</f>
        <v>196501.924</v>
      </c>
      <c r="FQ190" s="224"/>
      <c r="FR190" s="168">
        <f t="shared" si="506"/>
        <v>196501.924</v>
      </c>
      <c r="FS190" s="242"/>
      <c r="FT190" s="224"/>
      <c r="FU190" s="224"/>
      <c r="FV190" s="224"/>
      <c r="FW190" s="243"/>
      <c r="FX190" s="168">
        <f t="shared" si="507"/>
        <v>0</v>
      </c>
      <c r="FY190" s="242"/>
      <c r="FZ190" s="224"/>
      <c r="GA190" s="224"/>
      <c r="GB190" s="224"/>
      <c r="GC190" s="243"/>
      <c r="GD190" s="168">
        <f t="shared" si="508"/>
        <v>0</v>
      </c>
      <c r="GE190" s="168">
        <f t="shared" si="509"/>
        <v>-103498.076</v>
      </c>
      <c r="GF190" s="242"/>
      <c r="GG190" s="224"/>
      <c r="GH190" s="224"/>
      <c r="GI190" s="224"/>
      <c r="GJ190" s="224"/>
      <c r="GK190" s="168">
        <f t="shared" si="510"/>
        <v>0</v>
      </c>
      <c r="GL190" s="242"/>
      <c r="GM190" s="224"/>
      <c r="GN190" s="224"/>
      <c r="GO190" s="243"/>
      <c r="GP190" s="168">
        <f t="shared" si="511"/>
        <v>0</v>
      </c>
      <c r="GQ190" s="242"/>
      <c r="GR190" s="224"/>
      <c r="GS190" s="224">
        <v>-295000</v>
      </c>
      <c r="GT190" s="224"/>
      <c r="GU190" s="243"/>
      <c r="GV190" s="168">
        <f t="shared" si="512"/>
        <v>-295000</v>
      </c>
      <c r="GW190" s="242"/>
      <c r="GX190" s="224"/>
      <c r="GY190" s="224"/>
      <c r="GZ190" s="224"/>
      <c r="HA190" s="224"/>
      <c r="HB190" s="243"/>
      <c r="HC190" s="168">
        <f t="shared" si="513"/>
        <v>0</v>
      </c>
      <c r="HD190" s="168">
        <f t="shared" si="514"/>
        <v>-295000</v>
      </c>
      <c r="HE190" s="242"/>
      <c r="HF190" s="224"/>
      <c r="HG190" s="224"/>
      <c r="HH190" s="224"/>
      <c r="HI190" s="168">
        <f t="shared" si="515"/>
        <v>0</v>
      </c>
      <c r="HJ190" s="242"/>
      <c r="HK190" s="224"/>
      <c r="HL190" s="224"/>
      <c r="HM190" s="224"/>
      <c r="HN190" s="243"/>
      <c r="HO190" s="239">
        <f t="shared" si="516"/>
        <v>0</v>
      </c>
      <c r="HP190" s="242"/>
      <c r="HQ190" s="224"/>
      <c r="HR190" s="224"/>
      <c r="HS190" s="224"/>
      <c r="HT190" s="243"/>
      <c r="HU190" s="168">
        <f t="shared" si="517"/>
        <v>0</v>
      </c>
      <c r="HV190" s="242"/>
      <c r="HW190" s="224"/>
      <c r="HX190" s="224"/>
      <c r="HY190" s="168">
        <f t="shared" si="518"/>
        <v>0</v>
      </c>
      <c r="HZ190" s="242"/>
      <c r="IA190" s="224"/>
      <c r="IB190" s="243"/>
      <c r="IC190" s="168">
        <f t="shared" si="519"/>
        <v>0</v>
      </c>
      <c r="ID190" s="168">
        <f t="shared" si="520"/>
        <v>0</v>
      </c>
      <c r="IE190" s="242"/>
      <c r="IF190" s="243"/>
      <c r="IG190" s="168">
        <f t="shared" si="521"/>
        <v>0</v>
      </c>
      <c r="IH190" s="242"/>
      <c r="II190" s="224"/>
      <c r="IJ190" s="224"/>
      <c r="IK190" s="224"/>
      <c r="IL190" s="243"/>
      <c r="IM190" s="168">
        <f t="shared" si="522"/>
        <v>0</v>
      </c>
      <c r="IN190" s="242"/>
      <c r="IO190" s="224"/>
      <c r="IP190" s="243"/>
      <c r="IQ190" s="168">
        <f t="shared" si="523"/>
        <v>0</v>
      </c>
      <c r="IR190" s="242"/>
      <c r="IS190" s="224"/>
      <c r="IT190" s="224"/>
      <c r="IU190" s="224"/>
      <c r="IV190" s="243"/>
      <c r="IW190" s="168">
        <f t="shared" si="524"/>
        <v>0</v>
      </c>
      <c r="IX190" s="242"/>
      <c r="IY190" s="224"/>
      <c r="IZ190" s="224"/>
      <c r="JA190" s="224"/>
      <c r="JB190" s="243"/>
      <c r="JC190" s="168">
        <f t="shared" si="525"/>
        <v>0</v>
      </c>
      <c r="JD190" s="168">
        <f t="shared" si="537"/>
        <v>0</v>
      </c>
      <c r="JE190" s="242"/>
      <c r="JF190" s="224"/>
      <c r="JG190" s="224"/>
      <c r="JH190" s="224"/>
      <c r="JI190" s="243"/>
      <c r="JJ190" s="168">
        <f t="shared" si="526"/>
        <v>0</v>
      </c>
      <c r="JK190" s="242"/>
      <c r="JL190" s="224"/>
      <c r="JM190" s="224"/>
      <c r="JN190" s="224"/>
      <c r="JO190" s="243"/>
      <c r="JP190" s="168">
        <f t="shared" si="527"/>
        <v>0</v>
      </c>
      <c r="JQ190" s="242"/>
      <c r="JR190" s="224"/>
      <c r="JS190" s="224"/>
      <c r="JT190" s="224"/>
      <c r="JU190" s="243"/>
      <c r="JV190" s="168">
        <f t="shared" si="528"/>
        <v>0</v>
      </c>
      <c r="JW190" s="242"/>
      <c r="JX190" s="224"/>
      <c r="JY190" s="224"/>
      <c r="JZ190" s="224"/>
      <c r="KA190" s="224"/>
      <c r="KB190" s="243"/>
      <c r="KC190" s="168">
        <f t="shared" si="529"/>
        <v>0</v>
      </c>
      <c r="KD190" s="168">
        <f t="shared" si="530"/>
        <v>0</v>
      </c>
      <c r="KE190" s="242"/>
      <c r="KF190" s="224"/>
      <c r="KG190" s="224"/>
      <c r="KH190" s="224"/>
      <c r="KI190" s="243"/>
      <c r="KJ190" s="168">
        <f t="shared" si="531"/>
        <v>0</v>
      </c>
      <c r="KK190" s="242"/>
      <c r="KL190" s="224"/>
      <c r="KM190" s="224"/>
      <c r="KN190" s="224"/>
      <c r="KO190" s="243"/>
      <c r="KP190" s="168">
        <f t="shared" si="532"/>
        <v>0</v>
      </c>
      <c r="KQ190" s="242"/>
      <c r="KR190" s="224"/>
      <c r="KS190" s="224"/>
      <c r="KT190" s="224"/>
      <c r="KU190" s="243"/>
      <c r="KV190" s="168">
        <f t="shared" si="533"/>
        <v>0</v>
      </c>
      <c r="KW190" s="242"/>
      <c r="KX190" s="224"/>
      <c r="KY190" s="224"/>
      <c r="KZ190" s="224"/>
      <c r="LA190" s="243"/>
      <c r="LB190" s="168">
        <f t="shared" si="534"/>
        <v>0</v>
      </c>
      <c r="LC190" s="181"/>
      <c r="LD190" s="238"/>
      <c r="LE190" s="239"/>
      <c r="LF190" s="168">
        <f t="shared" si="535"/>
        <v>0</v>
      </c>
      <c r="LG190" s="168">
        <f t="shared" si="536"/>
        <v>0</v>
      </c>
    </row>
    <row r="191" spans="2:319">
      <c r="B191" s="93" t="s">
        <v>108</v>
      </c>
      <c r="C191" s="93"/>
      <c r="D191" s="181">
        <f t="shared" si="472"/>
        <v>0</v>
      </c>
      <c r="E191" s="93"/>
      <c r="F191" s="177"/>
      <c r="G191" s="200"/>
      <c r="H191" s="200"/>
      <c r="I191" s="176"/>
      <c r="J191" s="181">
        <f t="shared" si="473"/>
        <v>0</v>
      </c>
      <c r="K191" s="93"/>
      <c r="L191" s="200"/>
      <c r="M191" s="200"/>
      <c r="N191" s="176"/>
      <c r="O191" s="181">
        <f t="shared" si="474"/>
        <v>0</v>
      </c>
      <c r="P191" s="93"/>
      <c r="Q191" s="177"/>
      <c r="R191" s="200"/>
      <c r="S191" s="200"/>
      <c r="T191" s="176"/>
      <c r="U191" s="181">
        <f t="shared" si="475"/>
        <v>0</v>
      </c>
      <c r="V191" s="93"/>
      <c r="W191" s="200"/>
      <c r="X191" s="200"/>
      <c r="Y191" s="200"/>
      <c r="Z191" s="176"/>
      <c r="AA191" s="168">
        <f t="shared" si="476"/>
        <v>0</v>
      </c>
      <c r="AB191" s="168">
        <f t="shared" si="477"/>
        <v>0</v>
      </c>
      <c r="AC191" s="181"/>
      <c r="AD191" s="238"/>
      <c r="AE191" s="238"/>
      <c r="AF191" s="224"/>
      <c r="AG191" s="247"/>
      <c r="AH191" s="168">
        <f t="shared" si="478"/>
        <v>0</v>
      </c>
      <c r="AI191" s="242"/>
      <c r="AJ191" s="224"/>
      <c r="AK191" s="224"/>
      <c r="AL191" s="224"/>
      <c r="AM191" s="243">
        <v>49350.709000000003</v>
      </c>
      <c r="AN191" s="168">
        <f t="shared" si="479"/>
        <v>49350.709000000003</v>
      </c>
      <c r="AO191" s="242"/>
      <c r="AP191" s="224"/>
      <c r="AQ191" s="224"/>
      <c r="AR191" s="224"/>
      <c r="AS191" s="243"/>
      <c r="AT191" s="168">
        <f t="shared" si="480"/>
        <v>0</v>
      </c>
      <c r="AU191" s="242"/>
      <c r="AV191" s="224"/>
      <c r="AW191" s="224"/>
      <c r="AX191" s="224"/>
      <c r="AY191" s="243"/>
      <c r="AZ191" s="168">
        <f t="shared" si="481"/>
        <v>0</v>
      </c>
      <c r="BA191" s="168">
        <f t="shared" si="482"/>
        <v>49350.709000000003</v>
      </c>
      <c r="BB191" s="242"/>
      <c r="BC191" s="224"/>
      <c r="BD191" s="224"/>
      <c r="BE191" s="224"/>
      <c r="BF191" s="243"/>
      <c r="BG191" s="168">
        <f t="shared" si="483"/>
        <v>0</v>
      </c>
      <c r="BH191" s="242"/>
      <c r="BI191" s="224"/>
      <c r="BJ191" s="224"/>
      <c r="BK191" s="224"/>
      <c r="BL191" s="243"/>
      <c r="BM191" s="168">
        <f t="shared" si="484"/>
        <v>0</v>
      </c>
      <c r="BN191" s="242"/>
      <c r="BO191" s="224"/>
      <c r="BP191" s="224"/>
      <c r="BQ191" s="243"/>
      <c r="BR191" s="168">
        <f t="shared" si="485"/>
        <v>0</v>
      </c>
      <c r="BS191" s="242"/>
      <c r="BT191" s="224"/>
      <c r="BU191" s="224"/>
      <c r="BV191" s="224"/>
      <c r="BW191" s="243"/>
      <c r="BX191" s="168">
        <f t="shared" si="486"/>
        <v>0</v>
      </c>
      <c r="BY191" s="242"/>
      <c r="BZ191" s="224"/>
      <c r="CA191" s="168">
        <f t="shared" si="487"/>
        <v>0</v>
      </c>
      <c r="CB191" s="168">
        <f t="shared" si="488"/>
        <v>0</v>
      </c>
      <c r="CC191" s="242"/>
      <c r="CD191" s="224"/>
      <c r="CE191" s="224"/>
      <c r="CF191" s="168">
        <f t="shared" si="489"/>
        <v>0</v>
      </c>
      <c r="CG191" s="242"/>
      <c r="CH191" s="224"/>
      <c r="CI191" s="224"/>
      <c r="CJ191" s="243"/>
      <c r="CK191" s="168">
        <f t="shared" si="490"/>
        <v>0</v>
      </c>
      <c r="CL191" s="242"/>
      <c r="CM191" s="224"/>
      <c r="CN191" s="224"/>
      <c r="CO191" s="224"/>
      <c r="CP191" s="243"/>
      <c r="CQ191" s="168">
        <f t="shared" si="491"/>
        <v>0</v>
      </c>
      <c r="CR191" s="242">
        <v>172917.18900000001</v>
      </c>
      <c r="CS191" s="224"/>
      <c r="CT191" s="224">
        <v>49665.027999999998</v>
      </c>
      <c r="CU191" s="224"/>
      <c r="CV191" s="243"/>
      <c r="CW191" s="168">
        <f t="shared" si="492"/>
        <v>222582.217</v>
      </c>
      <c r="CX191" s="242"/>
      <c r="CY191" s="224"/>
      <c r="CZ191" s="224"/>
      <c r="DA191" s="243"/>
      <c r="DB191" s="168">
        <f>SUM(CX191:DA191)</f>
        <v>0</v>
      </c>
      <c r="DC191" s="168">
        <f t="shared" si="493"/>
        <v>222582.217</v>
      </c>
      <c r="DD191" s="242"/>
      <c r="DE191" s="224"/>
      <c r="DF191" s="224"/>
      <c r="DG191" s="224"/>
      <c r="DH191" s="224"/>
      <c r="DI191" s="168">
        <f t="shared" si="494"/>
        <v>0</v>
      </c>
      <c r="DJ191" s="242"/>
      <c r="DK191" s="224"/>
      <c r="DL191" s="224"/>
      <c r="DM191" s="224"/>
      <c r="DN191" s="243"/>
      <c r="DO191" s="168">
        <f t="shared" si="495"/>
        <v>0</v>
      </c>
      <c r="DP191" s="242"/>
      <c r="DQ191" s="224"/>
      <c r="DR191" s="224"/>
      <c r="DS191" s="224"/>
      <c r="DT191" s="243"/>
      <c r="DU191" s="239">
        <f t="shared" si="496"/>
        <v>0</v>
      </c>
      <c r="DV191" s="242"/>
      <c r="DW191" s="224"/>
      <c r="DX191" s="224"/>
      <c r="DY191" s="224"/>
      <c r="DZ191" s="243"/>
      <c r="EA191" s="168">
        <f t="shared" si="497"/>
        <v>0</v>
      </c>
      <c r="EB191" s="168">
        <f t="shared" si="498"/>
        <v>0</v>
      </c>
      <c r="EC191" s="242"/>
      <c r="ED191" s="224">
        <v>49561.084000000003</v>
      </c>
      <c r="EE191" s="224"/>
      <c r="EF191" s="224"/>
      <c r="EG191" s="243"/>
      <c r="EH191" s="168">
        <f t="shared" si="499"/>
        <v>49561.084000000003</v>
      </c>
      <c r="EI191" s="242"/>
      <c r="EJ191" s="224"/>
      <c r="EK191" s="224"/>
      <c r="EL191" s="224"/>
      <c r="EM191" s="243"/>
      <c r="EN191" s="168">
        <f t="shared" si="500"/>
        <v>0</v>
      </c>
      <c r="EO191" s="242"/>
      <c r="EP191" s="224"/>
      <c r="EQ191" s="224"/>
      <c r="ER191" s="224"/>
      <c r="ES191" s="243"/>
      <c r="ET191" s="238">
        <f t="shared" si="501"/>
        <v>0</v>
      </c>
      <c r="EU191" s="242"/>
      <c r="EV191" s="224"/>
      <c r="EW191" s="224"/>
      <c r="EX191" s="224"/>
      <c r="EY191" s="224"/>
      <c r="EZ191" s="224"/>
      <c r="FA191" s="243"/>
      <c r="FB191" s="168">
        <f t="shared" si="502"/>
        <v>0</v>
      </c>
      <c r="FC191" s="168">
        <f t="shared" si="503"/>
        <v>49561.084000000003</v>
      </c>
      <c r="FD191" s="242"/>
      <c r="FE191" s="224"/>
      <c r="FF191" s="243"/>
      <c r="FG191" s="168">
        <f t="shared" si="504"/>
        <v>0</v>
      </c>
      <c r="FH191" s="242"/>
      <c r="FI191" s="224"/>
      <c r="FJ191" s="224"/>
      <c r="FK191" s="224">
        <v>172949.16800000001</v>
      </c>
      <c r="FL191" s="243"/>
      <c r="FM191" s="168">
        <f t="shared" si="505"/>
        <v>172949.16800000001</v>
      </c>
      <c r="FN191" s="242"/>
      <c r="FO191" s="224"/>
      <c r="FP191" s="224"/>
      <c r="FQ191" s="224"/>
      <c r="FR191" s="168">
        <f t="shared" si="506"/>
        <v>0</v>
      </c>
      <c r="FS191" s="242"/>
      <c r="FT191" s="224"/>
      <c r="FU191" s="224"/>
      <c r="FV191" s="224"/>
      <c r="FW191" s="243"/>
      <c r="FX191" s="168">
        <f t="shared" si="507"/>
        <v>0</v>
      </c>
      <c r="FY191" s="242"/>
      <c r="FZ191" s="224"/>
      <c r="GA191" s="224"/>
      <c r="GB191" s="224"/>
      <c r="GC191" s="243"/>
      <c r="GD191" s="168">
        <f t="shared" si="508"/>
        <v>0</v>
      </c>
      <c r="GE191" s="168">
        <f t="shared" si="509"/>
        <v>172949.16800000001</v>
      </c>
      <c r="GF191" s="242"/>
      <c r="GG191" s="224"/>
      <c r="GH191" s="224"/>
      <c r="GI191" s="224"/>
      <c r="GJ191" s="224"/>
      <c r="GK191" s="168">
        <f t="shared" si="510"/>
        <v>0</v>
      </c>
      <c r="GL191" s="242"/>
      <c r="GM191" s="224"/>
      <c r="GN191" s="224"/>
      <c r="GO191" s="243"/>
      <c r="GP191" s="168">
        <f t="shared" si="511"/>
        <v>0</v>
      </c>
      <c r="GQ191" s="242"/>
      <c r="GR191" s="224"/>
      <c r="GS191" s="224"/>
      <c r="GT191" s="224"/>
      <c r="GU191" s="243"/>
      <c r="GV191" s="168">
        <f t="shared" si="512"/>
        <v>0</v>
      </c>
      <c r="GW191" s="242"/>
      <c r="GX191" s="224">
        <v>148100.405</v>
      </c>
      <c r="GY191" s="224"/>
      <c r="GZ191" s="224"/>
      <c r="HA191" s="224"/>
      <c r="HB191" s="243"/>
      <c r="HC191" s="168">
        <f t="shared" si="513"/>
        <v>148100.405</v>
      </c>
      <c r="HD191" s="168">
        <f t="shared" si="514"/>
        <v>148100.405</v>
      </c>
      <c r="HE191" s="242"/>
      <c r="HF191" s="224"/>
      <c r="HG191" s="224"/>
      <c r="HH191" s="224"/>
      <c r="HI191" s="168">
        <f t="shared" si="515"/>
        <v>0</v>
      </c>
      <c r="HJ191" s="242"/>
      <c r="HK191" s="224"/>
      <c r="HL191" s="224"/>
      <c r="HM191" s="224"/>
      <c r="HN191" s="243"/>
      <c r="HO191" s="239">
        <f t="shared" si="516"/>
        <v>0</v>
      </c>
      <c r="HP191" s="242"/>
      <c r="HQ191" s="224"/>
      <c r="HR191" s="224"/>
      <c r="HS191" s="224"/>
      <c r="HT191" s="243"/>
      <c r="HU191" s="168">
        <f t="shared" si="517"/>
        <v>0</v>
      </c>
      <c r="HV191" s="242"/>
      <c r="HW191" s="224"/>
      <c r="HX191" s="224">
        <v>49469.07</v>
      </c>
      <c r="HY191" s="168">
        <f t="shared" si="518"/>
        <v>49469.07</v>
      </c>
      <c r="HZ191" s="242"/>
      <c r="IA191" s="224"/>
      <c r="IB191" s="243"/>
      <c r="IC191" s="168">
        <f t="shared" si="519"/>
        <v>0</v>
      </c>
      <c r="ID191" s="168">
        <f t="shared" si="520"/>
        <v>49469.07</v>
      </c>
      <c r="IE191" s="242"/>
      <c r="IF191" s="243"/>
      <c r="IG191" s="168">
        <f t="shared" si="521"/>
        <v>0</v>
      </c>
      <c r="IH191" s="242"/>
      <c r="II191" s="224"/>
      <c r="IJ191" s="224"/>
      <c r="IK191" s="224"/>
      <c r="IL191" s="243"/>
      <c r="IM191" s="168">
        <f t="shared" si="522"/>
        <v>0</v>
      </c>
      <c r="IN191" s="242"/>
      <c r="IO191" s="224"/>
      <c r="IP191" s="243"/>
      <c r="IQ191" s="168">
        <f t="shared" si="523"/>
        <v>0</v>
      </c>
      <c r="IR191" s="242"/>
      <c r="IS191" s="224"/>
      <c r="IT191" s="224"/>
      <c r="IU191" s="224"/>
      <c r="IV191" s="243"/>
      <c r="IW191" s="168">
        <f t="shared" si="524"/>
        <v>0</v>
      </c>
      <c r="IX191" s="242"/>
      <c r="IY191" s="224"/>
      <c r="IZ191" s="224"/>
      <c r="JA191" s="224"/>
      <c r="JB191" s="243"/>
      <c r="JC191" s="168">
        <f t="shared" si="525"/>
        <v>0</v>
      </c>
      <c r="JD191" s="168">
        <f t="shared" si="537"/>
        <v>0</v>
      </c>
      <c r="JE191" s="242"/>
      <c r="JF191" s="224"/>
      <c r="JG191" s="224"/>
      <c r="JH191" s="224"/>
      <c r="JI191" s="243"/>
      <c r="JJ191" s="168">
        <f t="shared" si="526"/>
        <v>0</v>
      </c>
      <c r="JK191" s="242"/>
      <c r="JL191" s="224"/>
      <c r="JM191" s="224"/>
      <c r="JN191" s="224"/>
      <c r="JO191" s="243"/>
      <c r="JP191" s="168">
        <f t="shared" si="527"/>
        <v>0</v>
      </c>
      <c r="JQ191" s="242"/>
      <c r="JR191" s="224"/>
      <c r="JS191" s="224"/>
      <c r="JT191" s="224"/>
      <c r="JU191" s="243"/>
      <c r="JV191" s="168">
        <f t="shared" si="528"/>
        <v>0</v>
      </c>
      <c r="JW191" s="242"/>
      <c r="JX191" s="224"/>
      <c r="JY191" s="224"/>
      <c r="JZ191" s="224"/>
      <c r="KA191" s="224"/>
      <c r="KB191" s="243"/>
      <c r="KC191" s="168">
        <f t="shared" si="529"/>
        <v>0</v>
      </c>
      <c r="KD191" s="168">
        <f t="shared" si="530"/>
        <v>0</v>
      </c>
      <c r="KE191" s="242"/>
      <c r="KF191" s="224"/>
      <c r="KG191" s="224"/>
      <c r="KH191" s="224"/>
      <c r="KI191" s="243"/>
      <c r="KJ191" s="168">
        <f t="shared" si="531"/>
        <v>0</v>
      </c>
      <c r="KK191" s="242"/>
      <c r="KL191" s="224"/>
      <c r="KM191" s="224"/>
      <c r="KN191" s="224"/>
      <c r="KO191" s="243"/>
      <c r="KP191" s="168">
        <f t="shared" si="532"/>
        <v>0</v>
      </c>
      <c r="KQ191" s="242"/>
      <c r="KR191" s="224"/>
      <c r="KS191" s="224"/>
      <c r="KT191" s="224"/>
      <c r="KU191" s="243"/>
      <c r="KV191" s="168">
        <f t="shared" si="533"/>
        <v>0</v>
      </c>
      <c r="KW191" s="242"/>
      <c r="KX191" s="224"/>
      <c r="KY191" s="224"/>
      <c r="KZ191" s="224"/>
      <c r="LA191" s="243"/>
      <c r="LB191" s="168">
        <f t="shared" si="534"/>
        <v>0</v>
      </c>
      <c r="LC191" s="181"/>
      <c r="LD191" s="238"/>
      <c r="LE191" s="239"/>
      <c r="LF191" s="168">
        <f t="shared" si="535"/>
        <v>0</v>
      </c>
      <c r="LG191" s="168">
        <f t="shared" si="536"/>
        <v>0</v>
      </c>
    </row>
    <row r="192" spans="2:319">
      <c r="B192" s="93"/>
      <c r="C192" s="93"/>
      <c r="D192" s="181"/>
      <c r="E192" s="93"/>
      <c r="F192" s="200"/>
      <c r="G192" s="200"/>
      <c r="H192" s="200"/>
      <c r="I192" s="176"/>
      <c r="J192" s="181"/>
      <c r="K192" s="93"/>
      <c r="L192" s="200"/>
      <c r="M192" s="200"/>
      <c r="N192" s="176"/>
      <c r="O192" s="181"/>
      <c r="P192" s="93"/>
      <c r="Q192" s="200"/>
      <c r="R192" s="200"/>
      <c r="S192" s="200"/>
      <c r="T192" s="176"/>
      <c r="U192" s="181"/>
      <c r="V192" s="93"/>
      <c r="W192" s="200"/>
      <c r="X192" s="200"/>
      <c r="Y192" s="200"/>
      <c r="Z192" s="176"/>
      <c r="AA192" s="181"/>
      <c r="AB192" s="146"/>
      <c r="AC192" s="167"/>
      <c r="AD192" s="177"/>
      <c r="AE192" s="177"/>
      <c r="AF192" s="177"/>
      <c r="AG192" s="178"/>
      <c r="AH192" s="146"/>
      <c r="AI192" s="167"/>
      <c r="AJ192" s="177"/>
      <c r="AK192" s="177"/>
      <c r="AL192" s="177"/>
      <c r="AM192" s="178"/>
      <c r="AN192" s="146"/>
      <c r="AO192" s="167"/>
      <c r="AP192" s="177"/>
      <c r="AQ192" s="177"/>
      <c r="AR192" s="177"/>
      <c r="AS192" s="178"/>
      <c r="AT192" s="146"/>
      <c r="AU192" s="167"/>
      <c r="AV192" s="177"/>
      <c r="AW192" s="177"/>
      <c r="AX192" s="177"/>
      <c r="AY192" s="178"/>
      <c r="AZ192" s="146"/>
      <c r="BA192" s="210"/>
      <c r="BB192" s="275"/>
      <c r="BC192" s="276"/>
      <c r="BD192" s="276"/>
      <c r="BE192" s="276"/>
      <c r="BF192" s="277"/>
      <c r="BG192" s="210"/>
      <c r="BH192" s="275"/>
      <c r="BI192" s="276"/>
      <c r="BJ192" s="276"/>
      <c r="BK192" s="276"/>
      <c r="BL192" s="277"/>
      <c r="BM192" s="210"/>
      <c r="BN192" s="283"/>
      <c r="BO192" s="284"/>
      <c r="BP192" s="284"/>
      <c r="BQ192" s="285"/>
      <c r="BR192" s="210"/>
      <c r="BS192" s="275"/>
      <c r="BT192" s="276"/>
      <c r="BU192" s="276"/>
      <c r="BV192" s="276"/>
      <c r="BW192" s="277"/>
      <c r="BX192" s="210"/>
      <c r="BY192" s="275"/>
      <c r="BZ192" s="276"/>
      <c r="CA192" s="210"/>
      <c r="CB192" s="210"/>
      <c r="CC192" s="283"/>
      <c r="CD192" s="284"/>
      <c r="CE192" s="284"/>
      <c r="CF192" s="210"/>
      <c r="CG192" s="283"/>
      <c r="CH192" s="284"/>
      <c r="CI192" s="284"/>
      <c r="CJ192" s="285"/>
      <c r="CK192" s="210"/>
      <c r="CL192" s="283"/>
      <c r="CM192" s="284"/>
      <c r="CN192" s="284"/>
      <c r="CO192" s="284"/>
      <c r="CP192" s="285"/>
      <c r="CQ192" s="210"/>
      <c r="CR192" s="283"/>
      <c r="CS192" s="284"/>
      <c r="CT192" s="284"/>
      <c r="CU192" s="284"/>
      <c r="CV192" s="285"/>
      <c r="CW192" s="210"/>
      <c r="CX192" s="283"/>
      <c r="CY192" s="284"/>
      <c r="CZ192" s="284"/>
      <c r="DA192" s="285"/>
      <c r="DB192" s="210"/>
      <c r="DC192" s="210"/>
      <c r="DD192" s="283"/>
      <c r="DE192" s="284"/>
      <c r="DF192" s="284"/>
      <c r="DG192" s="284"/>
      <c r="DH192" s="284"/>
      <c r="DI192" s="210"/>
      <c r="DJ192" s="283"/>
      <c r="DK192" s="284"/>
      <c r="DL192" s="284"/>
      <c r="DM192" s="284"/>
      <c r="DN192" s="285"/>
      <c r="DO192" s="210"/>
      <c r="DP192" s="283"/>
      <c r="DQ192" s="284"/>
      <c r="DR192" s="284"/>
      <c r="DS192" s="284"/>
      <c r="DT192" s="285"/>
      <c r="DU192" s="210"/>
      <c r="DV192" s="283"/>
      <c r="DW192" s="284"/>
      <c r="DX192" s="284"/>
      <c r="DY192" s="284"/>
      <c r="DZ192" s="285"/>
      <c r="EA192" s="210"/>
      <c r="EB192" s="210"/>
      <c r="EC192" s="283"/>
      <c r="ED192" s="284"/>
      <c r="EE192" s="284"/>
      <c r="EF192" s="284"/>
      <c r="EG192" s="285"/>
      <c r="EH192" s="275"/>
      <c r="EI192" s="283"/>
      <c r="EJ192" s="284"/>
      <c r="EK192" s="284"/>
      <c r="EL192" s="284"/>
      <c r="EM192" s="285"/>
      <c r="EN192" s="210"/>
      <c r="EO192" s="275"/>
      <c r="EP192" s="276"/>
      <c r="EQ192" s="276"/>
      <c r="ER192" s="276"/>
      <c r="ES192" s="277"/>
      <c r="ET192" s="276"/>
      <c r="EU192" s="275"/>
      <c r="EV192" s="276"/>
      <c r="EW192" s="276"/>
      <c r="EX192" s="276"/>
      <c r="EY192" s="276"/>
      <c r="EZ192" s="276"/>
      <c r="FA192" s="277"/>
      <c r="FB192" s="210"/>
      <c r="FC192" s="168"/>
      <c r="FD192" s="181"/>
      <c r="FE192" s="238"/>
      <c r="FF192" s="239"/>
      <c r="FG192" s="168"/>
      <c r="FH192" s="181"/>
      <c r="FI192" s="238"/>
      <c r="FJ192" s="238"/>
      <c r="FK192" s="238"/>
      <c r="FL192" s="239"/>
      <c r="FM192" s="168"/>
      <c r="FN192" s="181"/>
      <c r="FO192" s="238"/>
      <c r="FP192" s="238"/>
      <c r="FQ192" s="238"/>
      <c r="FR192" s="168"/>
      <c r="FS192" s="181"/>
      <c r="FT192" s="238"/>
      <c r="FU192" s="238"/>
      <c r="FV192" s="238"/>
      <c r="FW192" s="239"/>
      <c r="FX192" s="168"/>
      <c r="FY192" s="181"/>
      <c r="FZ192" s="238"/>
      <c r="GA192" s="238"/>
      <c r="GB192" s="238"/>
      <c r="GC192" s="239"/>
      <c r="GD192" s="168"/>
      <c r="GE192" s="168"/>
      <c r="GF192" s="181"/>
      <c r="GG192" s="238"/>
      <c r="GH192" s="238"/>
      <c r="GI192" s="238"/>
      <c r="GJ192" s="238"/>
      <c r="GK192" s="168"/>
      <c r="GL192" s="181"/>
      <c r="GM192" s="238"/>
      <c r="GN192" s="238"/>
      <c r="GO192" s="239"/>
      <c r="GP192" s="168"/>
      <c r="GQ192" s="242"/>
      <c r="GR192" s="224"/>
      <c r="GS192" s="224"/>
      <c r="GT192" s="224"/>
      <c r="GU192" s="243"/>
      <c r="GV192" s="168"/>
      <c r="GW192" s="181"/>
      <c r="GX192" s="238"/>
      <c r="GY192" s="238"/>
      <c r="GZ192" s="238"/>
      <c r="HA192" s="238"/>
      <c r="HB192" s="239"/>
      <c r="HC192" s="168"/>
      <c r="HD192" s="168"/>
      <c r="HE192" s="181"/>
      <c r="HF192" s="238"/>
      <c r="HG192" s="238"/>
      <c r="HH192" s="238"/>
      <c r="HI192" s="168"/>
      <c r="HJ192" s="242"/>
      <c r="HK192" s="224"/>
      <c r="HL192" s="224"/>
      <c r="HM192" s="224"/>
      <c r="HN192" s="243"/>
      <c r="HO192" s="168"/>
      <c r="HP192" s="181"/>
      <c r="HQ192" s="238"/>
      <c r="HR192" s="238"/>
      <c r="HS192" s="238"/>
      <c r="HT192" s="239"/>
      <c r="HU192" s="168"/>
      <c r="HV192" s="181"/>
      <c r="HW192" s="238"/>
      <c r="HX192" s="238"/>
      <c r="HY192" s="168"/>
      <c r="HZ192" s="181"/>
      <c r="IA192" s="238"/>
      <c r="IB192" s="239"/>
      <c r="IC192" s="168"/>
      <c r="ID192" s="168"/>
      <c r="IE192" s="181"/>
      <c r="IF192" s="239"/>
      <c r="IG192" s="168"/>
      <c r="IH192" s="181"/>
      <c r="II192" s="238"/>
      <c r="IJ192" s="238"/>
      <c r="IK192" s="238"/>
      <c r="IL192" s="239"/>
      <c r="IM192" s="168"/>
      <c r="IN192" s="242"/>
      <c r="IO192" s="224"/>
      <c r="IP192" s="243"/>
      <c r="IQ192" s="168"/>
      <c r="IR192" s="242"/>
      <c r="IS192" s="224"/>
      <c r="IT192" s="224"/>
      <c r="IU192" s="224"/>
      <c r="IV192" s="243"/>
      <c r="IW192" s="168"/>
      <c r="IX192" s="242"/>
      <c r="IY192" s="224"/>
      <c r="IZ192" s="224"/>
      <c r="JA192" s="224"/>
      <c r="JB192" s="243"/>
      <c r="JC192" s="168"/>
      <c r="JD192" s="168"/>
      <c r="JE192" s="181"/>
      <c r="JF192" s="238"/>
      <c r="JG192" s="238"/>
      <c r="JH192" s="238"/>
      <c r="JI192" s="239"/>
      <c r="JJ192" s="168"/>
      <c r="JK192" s="181"/>
      <c r="JL192" s="238"/>
      <c r="JM192" s="238"/>
      <c r="JN192" s="238"/>
      <c r="JO192" s="239"/>
      <c r="JP192" s="168"/>
      <c r="JQ192" s="181"/>
      <c r="JR192" s="238"/>
      <c r="JS192" s="238"/>
      <c r="JT192" s="238"/>
      <c r="JU192" s="239"/>
      <c r="JV192" s="168"/>
      <c r="JW192" s="181"/>
      <c r="JX192" s="238"/>
      <c r="JY192" s="238"/>
      <c r="JZ192" s="238"/>
      <c r="KA192" s="238"/>
      <c r="KB192" s="239"/>
      <c r="KC192" s="168"/>
      <c r="KD192" s="168"/>
      <c r="KE192" s="242"/>
      <c r="KF192" s="224"/>
      <c r="KG192" s="224"/>
      <c r="KH192" s="224"/>
      <c r="KI192" s="243"/>
      <c r="KJ192" s="168"/>
      <c r="KK192" s="242"/>
      <c r="KL192" s="224"/>
      <c r="KM192" s="224"/>
      <c r="KN192" s="224"/>
      <c r="KO192" s="243"/>
      <c r="KP192" s="168"/>
      <c r="KQ192" s="242"/>
      <c r="KR192" s="224"/>
      <c r="KS192" s="224"/>
      <c r="KT192" s="224"/>
      <c r="KU192" s="243"/>
      <c r="KV192" s="168"/>
      <c r="KW192" s="242"/>
      <c r="KX192" s="224"/>
      <c r="KY192" s="224"/>
      <c r="KZ192" s="224"/>
      <c r="LA192" s="243"/>
      <c r="LB192" s="168"/>
      <c r="LC192" s="181"/>
      <c r="LD192" s="238"/>
      <c r="LE192" s="239"/>
      <c r="LF192" s="446"/>
      <c r="LG192" s="168"/>
    </row>
    <row r="193" spans="2:322" ht="15.75" thickBot="1">
      <c r="B193" s="95" t="s">
        <v>96</v>
      </c>
      <c r="C193" s="173">
        <f t="shared" ref="C193:K193" si="552">C185-C140</f>
        <v>90209.721000000005</v>
      </c>
      <c r="D193" s="173">
        <f t="shared" si="552"/>
        <v>90209.721000000005</v>
      </c>
      <c r="E193" s="173">
        <f t="shared" si="552"/>
        <v>-4531.21</v>
      </c>
      <c r="F193" s="173">
        <f t="shared" si="552"/>
        <v>-45897.286000000007</v>
      </c>
      <c r="G193" s="173">
        <f t="shared" si="552"/>
        <v>-15002.334000000001</v>
      </c>
      <c r="H193" s="173">
        <f t="shared" si="552"/>
        <v>-14.16</v>
      </c>
      <c r="I193" s="173">
        <f t="shared" si="552"/>
        <v>-51710.042000000001</v>
      </c>
      <c r="J193" s="173">
        <f t="shared" si="552"/>
        <v>-117155.03199999999</v>
      </c>
      <c r="K193" s="173">
        <f t="shared" si="552"/>
        <v>10225.256999999998</v>
      </c>
      <c r="L193" s="173"/>
      <c r="M193" s="173">
        <f t="shared" ref="M193:BX193" si="553">M185-M140</f>
        <v>-64020.714999999997</v>
      </c>
      <c r="N193" s="173">
        <f t="shared" si="553"/>
        <v>-9200.4010000000017</v>
      </c>
      <c r="O193" s="173">
        <f t="shared" si="553"/>
        <v>-67459.329999999973</v>
      </c>
      <c r="P193" s="173">
        <f t="shared" si="553"/>
        <v>6225.6869999999981</v>
      </c>
      <c r="Q193" s="173">
        <f t="shared" si="553"/>
        <v>-2121.366</v>
      </c>
      <c r="R193" s="173">
        <f t="shared" si="553"/>
        <v>-32058.370999999999</v>
      </c>
      <c r="S193" s="173">
        <f t="shared" si="553"/>
        <v>-3617.67</v>
      </c>
      <c r="T193" s="173">
        <f t="shared" si="553"/>
        <v>-135171.46299999999</v>
      </c>
      <c r="U193" s="173">
        <f t="shared" si="553"/>
        <v>-166743.18299999999</v>
      </c>
      <c r="V193" s="173">
        <f t="shared" si="553"/>
        <v>138026.28399999999</v>
      </c>
      <c r="W193" s="173">
        <f t="shared" si="553"/>
        <v>4320.4290000000037</v>
      </c>
      <c r="X193" s="173">
        <f t="shared" si="553"/>
        <v>-94339.471000000005</v>
      </c>
      <c r="Y193" s="173">
        <f t="shared" si="553"/>
        <v>1851.9909999999982</v>
      </c>
      <c r="Z193" s="173">
        <f t="shared" si="553"/>
        <v>-133464.11799999999</v>
      </c>
      <c r="AA193" s="173">
        <f t="shared" si="553"/>
        <v>-83604.884999999893</v>
      </c>
      <c r="AB193" s="235">
        <f t="shared" si="553"/>
        <v>-344752.70899999992</v>
      </c>
      <c r="AC193" s="173">
        <f t="shared" si="553"/>
        <v>108927.84700000001</v>
      </c>
      <c r="AD193" s="241">
        <f t="shared" si="553"/>
        <v>-13182.582999999999</v>
      </c>
      <c r="AE193" s="241">
        <f t="shared" si="553"/>
        <v>110654.19799999997</v>
      </c>
      <c r="AF193" s="241">
        <f t="shared" si="553"/>
        <v>25923.001</v>
      </c>
      <c r="AG193" s="497">
        <f t="shared" si="553"/>
        <v>-59578.484999999993</v>
      </c>
      <c r="AH193" s="199">
        <f t="shared" si="553"/>
        <v>172743.97799999994</v>
      </c>
      <c r="AI193" s="173">
        <f t="shared" si="553"/>
        <v>55.42</v>
      </c>
      <c r="AJ193" s="241">
        <f t="shared" si="553"/>
        <v>222934.17499999999</v>
      </c>
      <c r="AK193" s="241">
        <f t="shared" si="553"/>
        <v>-3938.0450000000001</v>
      </c>
      <c r="AL193" s="241">
        <f t="shared" si="553"/>
        <v>200568.53</v>
      </c>
      <c r="AM193" s="497">
        <f t="shared" si="553"/>
        <v>-125649.291</v>
      </c>
      <c r="AN193" s="199">
        <f t="shared" si="553"/>
        <v>293970.78900000005</v>
      </c>
      <c r="AO193" s="173">
        <f t="shared" si="553"/>
        <v>-48864.373</v>
      </c>
      <c r="AP193" s="241">
        <f t="shared" si="553"/>
        <v>-8335.8359999999993</v>
      </c>
      <c r="AQ193" s="241">
        <f t="shared" si="553"/>
        <v>-811.39700000000005</v>
      </c>
      <c r="AR193" s="241">
        <f t="shared" si="553"/>
        <v>33528.312000000005</v>
      </c>
      <c r="AS193" s="497">
        <f t="shared" si="553"/>
        <v>-218635.54</v>
      </c>
      <c r="AT193" s="199">
        <f t="shared" si="553"/>
        <v>-243118.83399999997</v>
      </c>
      <c r="AU193" s="173">
        <f t="shared" si="553"/>
        <v>91129.722999999998</v>
      </c>
      <c r="AV193" s="241">
        <f t="shared" si="553"/>
        <v>-2142.8809999999999</v>
      </c>
      <c r="AW193" s="241">
        <f t="shared" si="553"/>
        <v>-8401.1230000000014</v>
      </c>
      <c r="AX193" s="241">
        <f t="shared" si="553"/>
        <v>-7462.0640000000003</v>
      </c>
      <c r="AY193" s="497">
        <f t="shared" si="553"/>
        <v>-140653.55100000001</v>
      </c>
      <c r="AZ193" s="199">
        <f t="shared" si="553"/>
        <v>-67529.896000000008</v>
      </c>
      <c r="BA193" s="235">
        <f t="shared" si="553"/>
        <v>156066.03700000001</v>
      </c>
      <c r="BB193" s="173">
        <f t="shared" si="553"/>
        <v>504801.04699999996</v>
      </c>
      <c r="BC193" s="241">
        <f t="shared" si="553"/>
        <v>-664244.29099999997</v>
      </c>
      <c r="BD193" s="241">
        <f t="shared" si="553"/>
        <v>37661.381999999998</v>
      </c>
      <c r="BE193" s="241">
        <f t="shared" si="553"/>
        <v>148601.674</v>
      </c>
      <c r="BF193" s="497">
        <f t="shared" si="553"/>
        <v>-15820.124000000002</v>
      </c>
      <c r="BG193" s="199">
        <f t="shared" si="553"/>
        <v>10999.687999999966</v>
      </c>
      <c r="BH193" s="173">
        <f t="shared" si="553"/>
        <v>-220082.03900000002</v>
      </c>
      <c r="BI193" s="241">
        <f t="shared" si="553"/>
        <v>258249.739</v>
      </c>
      <c r="BJ193" s="241">
        <f t="shared" si="553"/>
        <v>-4884.8339999999998</v>
      </c>
      <c r="BK193" s="241">
        <f t="shared" si="553"/>
        <v>-10781.127</v>
      </c>
      <c r="BL193" s="497">
        <f t="shared" si="553"/>
        <v>25261.167000000001</v>
      </c>
      <c r="BM193" s="199">
        <f t="shared" si="553"/>
        <v>47762.905999999959</v>
      </c>
      <c r="BN193" s="173">
        <f t="shared" si="553"/>
        <v>30531.125</v>
      </c>
      <c r="BO193" s="241">
        <f t="shared" si="553"/>
        <v>-4940.2400000000007</v>
      </c>
      <c r="BP193" s="241">
        <f t="shared" si="553"/>
        <v>-4855.3820000000005</v>
      </c>
      <c r="BQ193" s="497">
        <f t="shared" si="553"/>
        <v>-17826.957000000002</v>
      </c>
      <c r="BR193" s="199">
        <f t="shared" si="553"/>
        <v>2908.5459999999948</v>
      </c>
      <c r="BS193" s="173">
        <f t="shared" si="553"/>
        <v>-4971.6570000000002</v>
      </c>
      <c r="BT193" s="241">
        <f t="shared" si="553"/>
        <v>-791.423</v>
      </c>
      <c r="BU193" s="241">
        <f t="shared" si="553"/>
        <v>-50136.05</v>
      </c>
      <c r="BV193" s="241">
        <f t="shared" si="553"/>
        <v>-8116.183</v>
      </c>
      <c r="BW193" s="497">
        <f t="shared" si="553"/>
        <v>-90906.865000000005</v>
      </c>
      <c r="BX193" s="199">
        <f t="shared" si="553"/>
        <v>-154922.17800000001</v>
      </c>
      <c r="BY193" s="173">
        <f>BY185-BY140</f>
        <v>-22961.520999999997</v>
      </c>
      <c r="BZ193" s="241">
        <f>BZ185-BZ140</f>
        <v>57014.009000000005</v>
      </c>
      <c r="CA193" s="199">
        <f t="shared" ref="CA193:EK193" si="554">CA185-CA140</f>
        <v>34052.487999999998</v>
      </c>
      <c r="CB193" s="235">
        <f t="shared" si="554"/>
        <v>-59198.549999999581</v>
      </c>
      <c r="CC193" s="173">
        <f t="shared" si="554"/>
        <v>-2767.5089999999982</v>
      </c>
      <c r="CD193" s="241">
        <f t="shared" si="554"/>
        <v>-8141.655999999999</v>
      </c>
      <c r="CE193" s="241">
        <f t="shared" si="554"/>
        <v>-68664.842000000004</v>
      </c>
      <c r="CF193" s="199">
        <f t="shared" si="554"/>
        <v>-79574.007000000012</v>
      </c>
      <c r="CG193" s="173">
        <f t="shared" si="554"/>
        <v>146924.87599999999</v>
      </c>
      <c r="CH193" s="241">
        <f t="shared" si="554"/>
        <v>39672.639999999999</v>
      </c>
      <c r="CI193" s="241">
        <f t="shared" si="554"/>
        <v>-1109.3530000000001</v>
      </c>
      <c r="CJ193" s="497">
        <f t="shared" si="554"/>
        <v>2795.4779999999992</v>
      </c>
      <c r="CK193" s="199">
        <f t="shared" si="554"/>
        <v>188283.641</v>
      </c>
      <c r="CL193" s="173">
        <f t="shared" si="554"/>
        <v>-68616.228000000003</v>
      </c>
      <c r="CM193" s="241">
        <f t="shared" si="554"/>
        <v>-41178.069999999949</v>
      </c>
      <c r="CN193" s="241">
        <f t="shared" si="554"/>
        <v>-2367.8510000000006</v>
      </c>
      <c r="CO193" s="241">
        <f t="shared" si="554"/>
        <v>-55629.075999999972</v>
      </c>
      <c r="CP193" s="497">
        <f t="shared" si="554"/>
        <v>7006.4</v>
      </c>
      <c r="CQ193" s="199">
        <f t="shared" si="554"/>
        <v>-160784.82500000007</v>
      </c>
      <c r="CR193" s="173">
        <f t="shared" si="554"/>
        <v>158946.88200000001</v>
      </c>
      <c r="CS193" s="241">
        <f t="shared" si="554"/>
        <v>-22082.308000000005</v>
      </c>
      <c r="CT193" s="241">
        <f t="shared" si="554"/>
        <v>69455.083999999988</v>
      </c>
      <c r="CU193" s="241">
        <f t="shared" si="554"/>
        <v>-5187.415</v>
      </c>
      <c r="CV193" s="497">
        <f t="shared" si="554"/>
        <v>-902.34299999999996</v>
      </c>
      <c r="CW193" s="199">
        <f t="shared" si="554"/>
        <v>200229.9</v>
      </c>
      <c r="CX193" s="173">
        <f t="shared" si="554"/>
        <v>-5627.4549999999999</v>
      </c>
      <c r="CY193" s="241">
        <f>CY185-CY140</f>
        <v>-9750.103000000001</v>
      </c>
      <c r="CZ193" s="241">
        <f t="shared" si="554"/>
        <v>-883.54399999999998</v>
      </c>
      <c r="DA193" s="497">
        <f t="shared" si="554"/>
        <v>-146294.666</v>
      </c>
      <c r="DB193" s="199">
        <f t="shared" si="554"/>
        <v>-162555.76800000001</v>
      </c>
      <c r="DC193" s="235">
        <f t="shared" si="554"/>
        <v>-14401.059000000358</v>
      </c>
      <c r="DD193" s="173">
        <f t="shared" si="554"/>
        <v>127143.37699999999</v>
      </c>
      <c r="DE193" s="241">
        <f t="shared" si="554"/>
        <v>-76379.457999999999</v>
      </c>
      <c r="DF193" s="241">
        <f t="shared" si="554"/>
        <v>-3168.634</v>
      </c>
      <c r="DG193" s="241">
        <f t="shared" si="554"/>
        <v>6129.5779999999995</v>
      </c>
      <c r="DH193" s="241">
        <f t="shared" si="554"/>
        <v>-104.91400000000003</v>
      </c>
      <c r="DI193" s="199">
        <f t="shared" si="554"/>
        <v>53619.948999999964</v>
      </c>
      <c r="DJ193" s="173">
        <f t="shared" si="554"/>
        <v>-35915.833999999995</v>
      </c>
      <c r="DK193" s="241">
        <f t="shared" si="554"/>
        <v>-6278.1080000000002</v>
      </c>
      <c r="DL193" s="241">
        <f t="shared" si="554"/>
        <v>-3652.2719999999999</v>
      </c>
      <c r="DM193" s="241">
        <f t="shared" si="554"/>
        <v>-3870.91</v>
      </c>
      <c r="DN193" s="497">
        <f t="shared" si="554"/>
        <v>-47517.589</v>
      </c>
      <c r="DO193" s="199">
        <f t="shared" si="554"/>
        <v>-97234.713000000018</v>
      </c>
      <c r="DP193" s="173">
        <f t="shared" si="554"/>
        <v>-13527.253999999999</v>
      </c>
      <c r="DQ193" s="241">
        <f t="shared" si="554"/>
        <v>-202056.03599999999</v>
      </c>
      <c r="DR193" s="241">
        <f t="shared" si="554"/>
        <v>147147.272</v>
      </c>
      <c r="DS193" s="241">
        <f t="shared" si="554"/>
        <v>-14335.824999999999</v>
      </c>
      <c r="DT193" s="497">
        <f t="shared" si="554"/>
        <v>-30769.877</v>
      </c>
      <c r="DU193" s="199">
        <f t="shared" si="554"/>
        <v>-113541.71999999997</v>
      </c>
      <c r="DV193" s="173">
        <f t="shared" si="554"/>
        <v>26230.762999999999</v>
      </c>
      <c r="DW193" s="241">
        <f t="shared" si="554"/>
        <v>-8825.8950000000004</v>
      </c>
      <c r="DX193" s="241">
        <f t="shared" si="554"/>
        <v>-11344.771999999999</v>
      </c>
      <c r="DY193" s="241">
        <f t="shared" si="554"/>
        <v>-4301.6339999999991</v>
      </c>
      <c r="DZ193" s="497">
        <f t="shared" si="554"/>
        <v>-11310.040999999999</v>
      </c>
      <c r="EA193" s="199">
        <f t="shared" si="554"/>
        <v>-9551.5789999999979</v>
      </c>
      <c r="EB193" s="235">
        <f t="shared" si="554"/>
        <v>-166708.06300000008</v>
      </c>
      <c r="EC193" s="173">
        <f t="shared" si="554"/>
        <v>-85614.006999999998</v>
      </c>
      <c r="ED193" s="241">
        <f t="shared" si="554"/>
        <v>108285.162</v>
      </c>
      <c r="EE193" s="241">
        <f t="shared" si="554"/>
        <v>-84564.641999999905</v>
      </c>
      <c r="EF193" s="241">
        <f t="shared" si="554"/>
        <v>19737.154999999999</v>
      </c>
      <c r="EG193" s="497">
        <f t="shared" si="554"/>
        <v>-5194.5469999999987</v>
      </c>
      <c r="EH193" s="173">
        <f t="shared" si="554"/>
        <v>-47350.878999999899</v>
      </c>
      <c r="EI193" s="173">
        <f t="shared" si="554"/>
        <v>-4908.0000000000009</v>
      </c>
      <c r="EJ193" s="241">
        <f t="shared" si="554"/>
        <v>-16507.164000000008</v>
      </c>
      <c r="EK193" s="241">
        <f t="shared" si="554"/>
        <v>-8815.2869999999984</v>
      </c>
      <c r="EL193" s="241">
        <f t="shared" ref="EL193:HA193" si="555">EL185-EL140</f>
        <v>-702.6</v>
      </c>
      <c r="EM193" s="497">
        <f t="shared" si="555"/>
        <v>-30825.971999999998</v>
      </c>
      <c r="EN193" s="199">
        <f t="shared" si="555"/>
        <v>-61759.023000000008</v>
      </c>
      <c r="EO193" s="173">
        <f t="shared" si="555"/>
        <v>-20240.642</v>
      </c>
      <c r="EP193" s="241">
        <f t="shared" si="555"/>
        <v>14596.502</v>
      </c>
      <c r="EQ193" s="241">
        <f t="shared" si="555"/>
        <v>-1352.6979999999999</v>
      </c>
      <c r="ER193" s="241">
        <f t="shared" si="555"/>
        <v>-8208.4290000000001</v>
      </c>
      <c r="ES193" s="497">
        <f t="shared" si="555"/>
        <v>-4862.942</v>
      </c>
      <c r="ET193" s="173">
        <f t="shared" si="555"/>
        <v>-20068.209000000003</v>
      </c>
      <c r="EU193" s="173">
        <f t="shared" si="555"/>
        <v>-9559.5949999999993</v>
      </c>
      <c r="EV193" s="241">
        <f t="shared" si="555"/>
        <v>-11392.934999999999</v>
      </c>
      <c r="EW193" s="241">
        <f t="shared" si="555"/>
        <v>-1163.9770000000001</v>
      </c>
      <c r="EX193" s="241">
        <f t="shared" si="555"/>
        <v>-1793.001</v>
      </c>
      <c r="EY193" s="241">
        <f t="shared" si="555"/>
        <v>191855.53399999999</v>
      </c>
      <c r="EZ193" s="241">
        <f>EZ185-EZ140</f>
        <v>-131484.89799999999</v>
      </c>
      <c r="FA193" s="497">
        <f t="shared" si="555"/>
        <v>-137587.424</v>
      </c>
      <c r="FB193" s="199">
        <f t="shared" si="555"/>
        <v>-101126.29600000009</v>
      </c>
      <c r="FC193" s="235">
        <f t="shared" si="555"/>
        <v>-230304.40699999998</v>
      </c>
      <c r="FD193" s="173">
        <f t="shared" si="555"/>
        <v>-60396.357000000004</v>
      </c>
      <c r="FE193" s="241">
        <f t="shared" si="555"/>
        <v>46362.747000000003</v>
      </c>
      <c r="FF193" s="497">
        <f t="shared" si="555"/>
        <v>-25006.94</v>
      </c>
      <c r="FG193" s="199">
        <f t="shared" si="555"/>
        <v>-39040.550000000003</v>
      </c>
      <c r="FH193" s="173">
        <f t="shared" si="555"/>
        <v>-42022.612000000001</v>
      </c>
      <c r="FI193" s="241">
        <f t="shared" si="555"/>
        <v>315096.93925</v>
      </c>
      <c r="FJ193" s="241">
        <f t="shared" si="555"/>
        <v>-300000</v>
      </c>
      <c r="FK193" s="241">
        <f t="shared" si="555"/>
        <v>181153.84699999995</v>
      </c>
      <c r="FL193" s="497">
        <f t="shared" si="555"/>
        <v>-14153.424000000006</v>
      </c>
      <c r="FM193" s="199">
        <f t="shared" si="555"/>
        <v>140074.75024999995</v>
      </c>
      <c r="FN193" s="173">
        <f t="shared" si="555"/>
        <v>-245039.45600000001</v>
      </c>
      <c r="FO193" s="241">
        <f t="shared" si="555"/>
        <v>-7632.8689999999997</v>
      </c>
      <c r="FP193" s="241">
        <f t="shared" si="555"/>
        <v>24843.621999999974</v>
      </c>
      <c r="FQ193" s="241">
        <f t="shared" si="555"/>
        <v>-12274.573000000004</v>
      </c>
      <c r="FR193" s="199">
        <f t="shared" si="555"/>
        <v>-240103.2759999999</v>
      </c>
      <c r="FS193" s="173">
        <f t="shared" si="555"/>
        <v>-39747.276999999995</v>
      </c>
      <c r="FT193" s="241">
        <f t="shared" si="555"/>
        <v>43101.884000000005</v>
      </c>
      <c r="FU193" s="241">
        <f t="shared" si="555"/>
        <v>-7101.8609999999999</v>
      </c>
      <c r="FV193" s="241">
        <f t="shared" si="555"/>
        <v>-71059.256999999998</v>
      </c>
      <c r="FW193" s="497">
        <f t="shared" si="555"/>
        <v>-2677.4930000000004</v>
      </c>
      <c r="FX193" s="199">
        <f t="shared" si="555"/>
        <v>-77484.003999999957</v>
      </c>
      <c r="FY193" s="173">
        <f t="shared" ref="FY193:GD193" si="556">FY185-FY140</f>
        <v>-3374.1329999999998</v>
      </c>
      <c r="FZ193" s="241">
        <f t="shared" si="556"/>
        <v>-1814.5989999999999</v>
      </c>
      <c r="GA193" s="241">
        <f t="shared" si="556"/>
        <v>14292.54</v>
      </c>
      <c r="GB193" s="241">
        <f t="shared" si="556"/>
        <v>-138633.57999999999</v>
      </c>
      <c r="GC193" s="497">
        <f t="shared" si="556"/>
        <v>43601.993000000002</v>
      </c>
      <c r="GD193" s="199">
        <f t="shared" si="556"/>
        <v>-85927.77899999998</v>
      </c>
      <c r="GE193" s="235">
        <f t="shared" si="555"/>
        <v>-302480.8587500006</v>
      </c>
      <c r="GF193" s="173">
        <f t="shared" si="555"/>
        <v>45841.712</v>
      </c>
      <c r="GG193" s="241">
        <f t="shared" si="555"/>
        <v>-14738.56</v>
      </c>
      <c r="GH193" s="241">
        <f t="shared" si="555"/>
        <v>-15599.169000000002</v>
      </c>
      <c r="GI193" s="241">
        <f t="shared" si="555"/>
        <v>-32288.845000000001</v>
      </c>
      <c r="GJ193" s="241">
        <f t="shared" si="555"/>
        <v>91350.042000000001</v>
      </c>
      <c r="GK193" s="199">
        <f t="shared" si="555"/>
        <v>74565.180000000008</v>
      </c>
      <c r="GL193" s="173">
        <f t="shared" si="555"/>
        <v>-2379.6309999999999</v>
      </c>
      <c r="GM193" s="241">
        <f t="shared" si="555"/>
        <v>5508.8919999999998</v>
      </c>
      <c r="GN193" s="241">
        <f t="shared" si="555"/>
        <v>24435.995999999999</v>
      </c>
      <c r="GO193" s="497">
        <f t="shared" si="555"/>
        <v>-5904.1940000000004</v>
      </c>
      <c r="GP193" s="199">
        <f t="shared" si="555"/>
        <v>21661.063000000002</v>
      </c>
      <c r="GQ193" s="173">
        <f t="shared" si="555"/>
        <v>299156.7855</v>
      </c>
      <c r="GR193" s="241">
        <f t="shared" si="555"/>
        <v>17206.779000000002</v>
      </c>
      <c r="GS193" s="241">
        <f t="shared" si="555"/>
        <v>-316888.74800000002</v>
      </c>
      <c r="GT193" s="241">
        <f t="shared" si="555"/>
        <v>-6952.2610000000004</v>
      </c>
      <c r="GU193" s="497">
        <f t="shared" si="555"/>
        <v>-2345.9499999999998</v>
      </c>
      <c r="GV193" s="199">
        <f t="shared" si="555"/>
        <v>-9823.3945000000094</v>
      </c>
      <c r="GW193" s="173">
        <f t="shared" si="555"/>
        <v>-3661.31</v>
      </c>
      <c r="GX193" s="241">
        <f t="shared" si="555"/>
        <v>-4222.9369999999763</v>
      </c>
      <c r="GY193" s="241">
        <f t="shared" si="555"/>
        <v>-3801.3739999999998</v>
      </c>
      <c r="GZ193" s="241"/>
      <c r="HA193" s="241">
        <f t="shared" si="555"/>
        <v>-69004.133999999991</v>
      </c>
      <c r="HB193" s="497">
        <f t="shared" ref="HB193:JI193" si="557">HB185-HB140</f>
        <v>19656.332999999999</v>
      </c>
      <c r="HC193" s="199">
        <f t="shared" si="557"/>
        <v>-61188.776000000013</v>
      </c>
      <c r="HD193" s="235">
        <f t="shared" si="557"/>
        <v>25214.072499999835</v>
      </c>
      <c r="HE193" s="173">
        <f t="shared" si="557"/>
        <v>10716.322000000015</v>
      </c>
      <c r="HF193" s="241">
        <f t="shared" si="557"/>
        <v>-2151.4640000000004</v>
      </c>
      <c r="HG193" s="241">
        <f t="shared" si="557"/>
        <v>-18312.403999999999</v>
      </c>
      <c r="HH193" s="241">
        <f t="shared" si="557"/>
        <v>-13340.996999999999</v>
      </c>
      <c r="HI193" s="199">
        <f t="shared" si="557"/>
        <v>-23088.542999999991</v>
      </c>
      <c r="HJ193" s="173">
        <f t="shared" si="557"/>
        <v>-12707.475999999999</v>
      </c>
      <c r="HK193" s="241">
        <f t="shared" si="557"/>
        <v>-2737.7020000000002</v>
      </c>
      <c r="HL193" s="241">
        <f t="shared" si="557"/>
        <v>-9053.643</v>
      </c>
      <c r="HM193" s="241">
        <f t="shared" si="557"/>
        <v>-1319.4119999999966</v>
      </c>
      <c r="HN193" s="497">
        <f t="shared" si="557"/>
        <v>-7724.2089999999998</v>
      </c>
      <c r="HO193" s="199">
        <f t="shared" si="557"/>
        <v>-33542.44200000001</v>
      </c>
      <c r="HP193" s="173">
        <f t="shared" si="557"/>
        <v>-53831.681999999993</v>
      </c>
      <c r="HQ193" s="241">
        <f t="shared" si="557"/>
        <v>18021.388000000006</v>
      </c>
      <c r="HR193" s="241">
        <f t="shared" si="557"/>
        <v>84006.759000000005</v>
      </c>
      <c r="HS193" s="241">
        <f t="shared" si="557"/>
        <v>-12683.198</v>
      </c>
      <c r="HT193" s="497">
        <f t="shared" si="557"/>
        <v>-36064.335999999996</v>
      </c>
      <c r="HU193" s="199">
        <f t="shared" si="557"/>
        <v>-551.06899999998859</v>
      </c>
      <c r="HV193" s="173">
        <f t="shared" si="557"/>
        <v>38921.360000000001</v>
      </c>
      <c r="HW193" s="241">
        <f t="shared" si="557"/>
        <v>-19158.374</v>
      </c>
      <c r="HX193" s="241">
        <f t="shared" si="557"/>
        <v>44075.192000000003</v>
      </c>
      <c r="HY193" s="199">
        <f t="shared" si="557"/>
        <v>63838.178</v>
      </c>
      <c r="HZ193" s="173">
        <f t="shared" si="557"/>
        <v>-1997.1840000000002</v>
      </c>
      <c r="IA193" s="241">
        <f>IA185-IA140</f>
        <v>-10.029999999999999</v>
      </c>
      <c r="IB193" s="497">
        <f>IB185-IB140</f>
        <v>-89661.139999999956</v>
      </c>
      <c r="IC193" s="199">
        <f t="shared" si="557"/>
        <v>-91668.353999999963</v>
      </c>
      <c r="ID193" s="235">
        <f t="shared" si="557"/>
        <v>-85012.229999999923</v>
      </c>
      <c r="IE193" s="173">
        <f t="shared" si="557"/>
        <v>73060.448999999993</v>
      </c>
      <c r="IF193" s="497">
        <f t="shared" si="557"/>
        <v>-7811.7080000000014</v>
      </c>
      <c r="IG193" s="199">
        <f t="shared" si="557"/>
        <v>65248.740999999995</v>
      </c>
      <c r="IH193" s="173">
        <f t="shared" si="557"/>
        <v>-48098.256000000001</v>
      </c>
      <c r="II193" s="241">
        <f t="shared" si="557"/>
        <v>-2254.4490000000001</v>
      </c>
      <c r="IJ193" s="241">
        <f t="shared" si="557"/>
        <v>-6259.8919999999998</v>
      </c>
      <c r="IK193" s="241">
        <f t="shared" si="557"/>
        <v>-70425.433999999994</v>
      </c>
      <c r="IL193" s="497">
        <f t="shared" si="557"/>
        <v>-952.27599999999984</v>
      </c>
      <c r="IM193" s="199">
        <f t="shared" si="557"/>
        <v>-127990.307</v>
      </c>
      <c r="IN193" s="173">
        <f t="shared" si="557"/>
        <v>62632.100000000006</v>
      </c>
      <c r="IO193" s="241">
        <f t="shared" si="557"/>
        <v>-316054.011</v>
      </c>
      <c r="IP193" s="497">
        <f t="shared" si="557"/>
        <v>307334.87100000004</v>
      </c>
      <c r="IQ193" s="199">
        <f t="shared" si="557"/>
        <v>53912.959999999963</v>
      </c>
      <c r="IR193" s="173">
        <f t="shared" si="557"/>
        <v>-32574.771000000001</v>
      </c>
      <c r="IS193" s="241">
        <f t="shared" si="557"/>
        <v>-19293.2</v>
      </c>
      <c r="IT193" s="241">
        <f t="shared" si="557"/>
        <v>-2518.2409999999995</v>
      </c>
      <c r="IU193" s="241">
        <f t="shared" si="557"/>
        <v>-1216.9859999999999</v>
      </c>
      <c r="IV193" s="497">
        <f t="shared" si="557"/>
        <v>-38379.008000000002</v>
      </c>
      <c r="IW193" s="199">
        <f t="shared" si="557"/>
        <v>-93982.205999999991</v>
      </c>
      <c r="IX193" s="173">
        <f t="shared" si="557"/>
        <v>-4830.5529999999999</v>
      </c>
      <c r="IY193" s="241">
        <f t="shared" si="557"/>
        <v>-254788.65099999998</v>
      </c>
      <c r="IZ193" s="241">
        <f t="shared" si="557"/>
        <v>238138.74327000004</v>
      </c>
      <c r="JA193" s="241">
        <f t="shared" si="557"/>
        <v>-77328.35500000001</v>
      </c>
      <c r="JB193" s="497">
        <f t="shared" si="557"/>
        <v>-50168.059000000008</v>
      </c>
      <c r="JC193" s="199">
        <f t="shared" si="557"/>
        <v>-148976.87473000004</v>
      </c>
      <c r="JD193" s="235">
        <f t="shared" si="557"/>
        <v>-251787.68672999984</v>
      </c>
      <c r="JE193" s="173">
        <f t="shared" si="557"/>
        <v>-7497.8450000000003</v>
      </c>
      <c r="JF193" s="241">
        <f t="shared" si="557"/>
        <v>-16142.731999999998</v>
      </c>
      <c r="JG193" s="241">
        <f t="shared" si="557"/>
        <v>-19042.023999999998</v>
      </c>
      <c r="JH193" s="241">
        <f t="shared" si="557"/>
        <v>-33081.614000000001</v>
      </c>
      <c r="JI193" s="497">
        <f t="shared" si="557"/>
        <v>-5303.6320000000005</v>
      </c>
      <c r="JJ193" s="199">
        <f t="shared" ref="JJ193:LG193" si="558">JJ185-JJ140</f>
        <v>-81067.847000000009</v>
      </c>
      <c r="JK193" s="434">
        <f t="shared" si="558"/>
        <v>0</v>
      </c>
      <c r="JL193" s="435">
        <f t="shared" si="558"/>
        <v>0</v>
      </c>
      <c r="JM193" s="435">
        <f t="shared" si="558"/>
        <v>0</v>
      </c>
      <c r="JN193" s="435">
        <f t="shared" si="558"/>
        <v>0</v>
      </c>
      <c r="JO193" s="436">
        <f t="shared" si="558"/>
        <v>0</v>
      </c>
      <c r="JP193" s="149">
        <f t="shared" si="558"/>
        <v>0</v>
      </c>
      <c r="JQ193" s="434">
        <f t="shared" si="558"/>
        <v>0</v>
      </c>
      <c r="JR193" s="435">
        <f t="shared" si="558"/>
        <v>0</v>
      </c>
      <c r="JS193" s="435">
        <f t="shared" si="558"/>
        <v>0</v>
      </c>
      <c r="JT193" s="435">
        <f t="shared" si="558"/>
        <v>0</v>
      </c>
      <c r="JU193" s="436">
        <f t="shared" si="558"/>
        <v>0</v>
      </c>
      <c r="JV193" s="149">
        <f t="shared" si="558"/>
        <v>0</v>
      </c>
      <c r="JW193" s="434">
        <f t="shared" si="558"/>
        <v>0</v>
      </c>
      <c r="JX193" s="435">
        <f t="shared" si="558"/>
        <v>0</v>
      </c>
      <c r="JY193" s="435">
        <f t="shared" si="558"/>
        <v>0</v>
      </c>
      <c r="JZ193" s="435">
        <f t="shared" si="558"/>
        <v>0</v>
      </c>
      <c r="KA193" s="435"/>
      <c r="KB193" s="436">
        <f t="shared" si="558"/>
        <v>0</v>
      </c>
      <c r="KC193" s="149">
        <f t="shared" si="558"/>
        <v>0</v>
      </c>
      <c r="KD193" s="149">
        <f t="shared" si="558"/>
        <v>-482662.47100000002</v>
      </c>
      <c r="KE193" s="434">
        <f t="shared" si="558"/>
        <v>0</v>
      </c>
      <c r="KF193" s="435">
        <f t="shared" si="558"/>
        <v>0</v>
      </c>
      <c r="KG193" s="435">
        <f t="shared" si="558"/>
        <v>0</v>
      </c>
      <c r="KH193" s="435">
        <f t="shared" si="558"/>
        <v>0</v>
      </c>
      <c r="KI193" s="436">
        <f t="shared" si="558"/>
        <v>0</v>
      </c>
      <c r="KJ193" s="149">
        <f t="shared" si="558"/>
        <v>0</v>
      </c>
      <c r="KK193" s="434">
        <f t="shared" si="558"/>
        <v>0</v>
      </c>
      <c r="KL193" s="435">
        <f t="shared" si="558"/>
        <v>0</v>
      </c>
      <c r="KM193" s="435">
        <f t="shared" si="558"/>
        <v>0</v>
      </c>
      <c r="KN193" s="435">
        <f t="shared" si="558"/>
        <v>0</v>
      </c>
      <c r="KO193" s="436">
        <f t="shared" si="558"/>
        <v>0</v>
      </c>
      <c r="KP193" s="149">
        <f t="shared" si="558"/>
        <v>0</v>
      </c>
      <c r="KQ193" s="434">
        <f t="shared" si="558"/>
        <v>0</v>
      </c>
      <c r="KR193" s="435">
        <f t="shared" si="558"/>
        <v>0</v>
      </c>
      <c r="KS193" s="435">
        <f t="shared" si="558"/>
        <v>0</v>
      </c>
      <c r="KT193" s="435">
        <f t="shared" si="558"/>
        <v>0</v>
      </c>
      <c r="KU193" s="436">
        <f t="shared" si="558"/>
        <v>0</v>
      </c>
      <c r="KV193" s="149">
        <f t="shared" si="558"/>
        <v>0</v>
      </c>
      <c r="KW193" s="434">
        <f t="shared" si="558"/>
        <v>0</v>
      </c>
      <c r="KX193" s="435">
        <f t="shared" si="558"/>
        <v>0</v>
      </c>
      <c r="KY193" s="435">
        <f t="shared" si="558"/>
        <v>0</v>
      </c>
      <c r="KZ193" s="435">
        <f t="shared" si="558"/>
        <v>0</v>
      </c>
      <c r="LA193" s="436">
        <f t="shared" si="558"/>
        <v>0</v>
      </c>
      <c r="LB193" s="149">
        <f t="shared" si="558"/>
        <v>0</v>
      </c>
      <c r="LC193" s="434">
        <f t="shared" si="558"/>
        <v>0</v>
      </c>
      <c r="LD193" s="435">
        <f t="shared" si="558"/>
        <v>0</v>
      </c>
      <c r="LE193" s="436">
        <f t="shared" si="558"/>
        <v>0</v>
      </c>
      <c r="LF193" s="149">
        <f t="shared" si="558"/>
        <v>0</v>
      </c>
      <c r="LG193" s="149">
        <f t="shared" si="558"/>
        <v>426362.41700000002</v>
      </c>
    </row>
    <row r="194" spans="2:322">
      <c r="B194" s="363" t="s">
        <v>373</v>
      </c>
      <c r="C194" s="174">
        <v>-461207.02600000001</v>
      </c>
      <c r="D194" s="174">
        <v>-461207.02600000001</v>
      </c>
      <c r="AB194" s="174">
        <v>-461207.02600000001</v>
      </c>
      <c r="AC194" s="207"/>
      <c r="AD194" s="207"/>
      <c r="AE194" s="207"/>
      <c r="AF194" s="207"/>
      <c r="AG194" s="207"/>
      <c r="AH194" s="207"/>
      <c r="AI194" s="207"/>
      <c r="AJ194" s="207"/>
      <c r="AK194" s="207"/>
      <c r="AL194" s="207"/>
      <c r="AM194" s="207"/>
      <c r="AN194" s="207"/>
      <c r="AO194" s="207"/>
      <c r="AP194" s="207"/>
      <c r="AQ194" s="207"/>
      <c r="AR194" s="207"/>
      <c r="AS194" s="207"/>
      <c r="AT194" s="207"/>
      <c r="AU194" s="207"/>
      <c r="AV194" s="207"/>
      <c r="AW194" s="207"/>
      <c r="AX194" s="207"/>
      <c r="AY194" s="207"/>
      <c r="AZ194" s="207"/>
      <c r="BA194" s="201"/>
      <c r="BB194" s="201"/>
      <c r="BC194" s="201"/>
      <c r="BD194" s="201"/>
      <c r="BE194" s="201"/>
      <c r="BF194" s="201"/>
      <c r="BG194" s="201"/>
      <c r="BH194" s="201"/>
      <c r="BI194" s="201"/>
      <c r="BJ194" s="201"/>
      <c r="BK194" s="201"/>
      <c r="BL194" s="201"/>
      <c r="BM194" s="201"/>
      <c r="BN194" s="201"/>
      <c r="BO194" s="201"/>
      <c r="BP194" s="201"/>
      <c r="BQ194" s="201"/>
      <c r="BR194" s="201"/>
      <c r="BS194" s="201"/>
      <c r="BT194" s="201"/>
      <c r="BU194" s="201"/>
      <c r="BV194" s="201"/>
      <c r="BW194" s="201"/>
      <c r="BX194" s="201"/>
      <c r="BY194" s="201"/>
      <c r="BZ194" s="201"/>
      <c r="CA194" s="201"/>
      <c r="CB194" s="201"/>
      <c r="CC194" s="201"/>
      <c r="CD194" s="201"/>
      <c r="CE194" s="201"/>
      <c r="CF194" s="201"/>
      <c r="CG194" s="201"/>
      <c r="CH194" s="201"/>
      <c r="CI194" s="201"/>
      <c r="CJ194" s="201"/>
      <c r="CK194" s="201"/>
      <c r="CL194" s="201"/>
      <c r="CM194" s="201"/>
      <c r="CN194" s="201"/>
      <c r="CO194" s="201"/>
      <c r="CP194" s="201"/>
      <c r="CQ194" s="201"/>
      <c r="CR194" s="201"/>
      <c r="CS194" s="201"/>
      <c r="CT194" s="201"/>
      <c r="CU194" s="201"/>
      <c r="CV194" s="201"/>
      <c r="CW194" s="201"/>
      <c r="CX194" s="201"/>
      <c r="CY194" s="201"/>
      <c r="CZ194" s="201"/>
      <c r="DA194" s="201"/>
      <c r="DB194" s="201"/>
      <c r="DC194" s="201"/>
      <c r="DD194" s="201"/>
      <c r="DE194" s="201"/>
      <c r="DF194" s="201"/>
      <c r="DG194" s="201"/>
      <c r="DH194" s="201"/>
      <c r="DI194" s="201"/>
      <c r="DJ194" s="201"/>
      <c r="DK194" s="201"/>
      <c r="DL194" s="201"/>
      <c r="DM194" s="201"/>
      <c r="DN194" s="201"/>
      <c r="DO194" s="201"/>
      <c r="DP194" s="201"/>
      <c r="DQ194" s="201"/>
      <c r="DR194" s="201"/>
      <c r="DS194" s="201"/>
      <c r="DT194" s="201"/>
      <c r="DU194" s="201"/>
      <c r="DV194" s="201"/>
      <c r="DW194" s="201"/>
      <c r="DX194" s="201"/>
      <c r="DY194" s="201"/>
      <c r="DZ194" s="201"/>
      <c r="EA194" s="201"/>
      <c r="EB194" s="201"/>
      <c r="EC194" s="201"/>
      <c r="ED194" s="201"/>
      <c r="EE194" s="201"/>
      <c r="EF194" s="201"/>
      <c r="EG194" s="201"/>
      <c r="EH194" s="201"/>
      <c r="EI194" s="201"/>
      <c r="EJ194" s="201"/>
      <c r="EK194" s="201"/>
      <c r="EL194" s="201"/>
      <c r="EM194" s="201"/>
      <c r="EN194" s="201"/>
      <c r="EO194" s="201"/>
      <c r="EP194" s="201"/>
      <c r="EQ194" s="201"/>
      <c r="ER194" s="201"/>
      <c r="ES194" s="201"/>
      <c r="ET194" s="201"/>
      <c r="EU194" s="201"/>
      <c r="EV194" s="201"/>
      <c r="EW194" s="201"/>
      <c r="EX194" s="201"/>
      <c r="EY194" s="201"/>
      <c r="EZ194" s="201"/>
      <c r="FA194" s="201"/>
      <c r="FB194" s="201"/>
      <c r="FC194" s="201"/>
      <c r="FD194" s="201"/>
      <c r="FE194" s="201"/>
      <c r="FF194" s="201"/>
      <c r="FG194" s="201"/>
      <c r="FH194" s="201"/>
      <c r="FI194" s="201"/>
      <c r="FJ194" s="201"/>
      <c r="FK194" s="201"/>
      <c r="FL194" s="201"/>
      <c r="FM194" s="201"/>
      <c r="FN194" s="201"/>
      <c r="FO194" s="201"/>
      <c r="FP194" s="201"/>
      <c r="FQ194" s="201"/>
      <c r="FR194" s="201"/>
      <c r="FS194" s="201"/>
      <c r="FT194" s="201"/>
      <c r="FU194" s="201"/>
      <c r="FV194" s="201"/>
      <c r="FW194" s="201"/>
      <c r="FX194" s="201"/>
      <c r="FY194" s="201"/>
      <c r="FZ194" s="201"/>
      <c r="GA194" s="201"/>
      <c r="GB194" s="201"/>
      <c r="GC194" s="201"/>
      <c r="GD194" s="201"/>
      <c r="GE194" s="201"/>
      <c r="GF194" s="201"/>
      <c r="GG194" s="201"/>
      <c r="GH194" s="201"/>
      <c r="GI194" s="201"/>
      <c r="GJ194" s="201"/>
      <c r="GK194" s="201"/>
      <c r="GL194" s="201"/>
      <c r="GM194" s="201"/>
      <c r="GN194" s="201"/>
      <c r="GO194" s="201"/>
      <c r="GP194" s="201"/>
      <c r="GQ194" s="201"/>
      <c r="GR194" s="201"/>
      <c r="GS194" s="201"/>
      <c r="GT194" s="201"/>
      <c r="GU194" s="201"/>
      <c r="GV194" s="201"/>
      <c r="GW194" s="201"/>
      <c r="GX194" s="201"/>
      <c r="GY194" s="201"/>
      <c r="GZ194" s="201"/>
      <c r="HA194" s="201"/>
      <c r="HB194" s="201"/>
      <c r="HC194" s="201"/>
      <c r="HD194" s="201"/>
      <c r="HE194" s="201"/>
      <c r="HF194" s="201"/>
      <c r="HG194" s="201"/>
      <c r="HH194" s="201"/>
      <c r="HI194" s="201"/>
      <c r="HJ194" s="201"/>
      <c r="HK194" s="201"/>
      <c r="HL194" s="201"/>
      <c r="HM194" s="201"/>
      <c r="HN194" s="201"/>
      <c r="HO194" s="201"/>
      <c r="HP194" s="201"/>
      <c r="HQ194" s="201"/>
      <c r="HR194" s="201"/>
      <c r="HS194" s="201"/>
      <c r="HT194" s="201"/>
      <c r="HU194" s="201"/>
      <c r="HV194" s="201"/>
      <c r="HW194" s="201"/>
      <c r="HX194" s="201"/>
      <c r="HY194" s="201"/>
      <c r="HZ194" s="201"/>
      <c r="IA194" s="201"/>
      <c r="IB194" s="201"/>
      <c r="IC194" s="201"/>
      <c r="ID194" s="201"/>
      <c r="IE194" s="201"/>
      <c r="IF194" s="201"/>
      <c r="IG194" s="201"/>
      <c r="IH194" s="201"/>
      <c r="II194" s="201"/>
      <c r="IJ194" s="201"/>
      <c r="IK194" s="201"/>
      <c r="IL194" s="201"/>
      <c r="IM194" s="201"/>
      <c r="IN194" s="201"/>
      <c r="IO194" s="201"/>
      <c r="IP194" s="201"/>
      <c r="IQ194" s="201"/>
      <c r="IR194" s="201"/>
      <c r="IS194" s="201"/>
      <c r="IT194" s="201"/>
      <c r="IU194" s="201"/>
      <c r="IV194" s="201"/>
      <c r="IW194" s="201"/>
      <c r="IX194" s="201"/>
      <c r="IY194" s="201"/>
      <c r="IZ194" s="201"/>
      <c r="JA194" s="201"/>
      <c r="JB194" s="201"/>
      <c r="JC194" s="201"/>
      <c r="JD194" s="201"/>
      <c r="JE194" s="201"/>
      <c r="JF194" s="201"/>
      <c r="JG194" s="201"/>
      <c r="JH194" s="201"/>
      <c r="JI194" s="201"/>
      <c r="JJ194" s="201"/>
      <c r="JK194" s="201"/>
      <c r="JL194" s="201"/>
      <c r="JM194" s="201"/>
      <c r="JN194" s="201"/>
      <c r="JO194" s="201"/>
      <c r="JP194" s="201"/>
      <c r="JQ194" s="201"/>
      <c r="JR194" s="201"/>
      <c r="JS194" s="201"/>
      <c r="JT194" s="201"/>
      <c r="JU194" s="201"/>
      <c r="JV194" s="201"/>
      <c r="JW194" s="201"/>
      <c r="JX194" s="201"/>
      <c r="JY194" s="201"/>
      <c r="JZ194" s="201"/>
      <c r="KA194" s="201"/>
      <c r="KB194" s="201"/>
      <c r="KC194" s="201"/>
      <c r="KD194" s="201"/>
      <c r="KE194" s="201"/>
      <c r="KF194" s="201"/>
      <c r="KG194" s="201"/>
      <c r="KH194" s="201"/>
      <c r="KI194" s="201"/>
      <c r="KJ194" s="201"/>
      <c r="KK194" s="201"/>
      <c r="KL194" s="201"/>
      <c r="KM194" s="201"/>
      <c r="KN194" s="201"/>
      <c r="KO194" s="201"/>
      <c r="KP194" s="201"/>
      <c r="KQ194" s="201"/>
      <c r="KR194" s="201"/>
      <c r="KS194" s="201"/>
      <c r="KT194" s="201"/>
      <c r="KU194" s="201"/>
      <c r="KV194" s="201"/>
      <c r="KW194" s="201"/>
      <c r="KX194" s="201"/>
      <c r="KY194" s="201"/>
      <c r="KZ194" s="201"/>
      <c r="LA194" s="201"/>
      <c r="LB194" s="201"/>
      <c r="LC194" s="201"/>
      <c r="LD194" s="201"/>
      <c r="LE194" s="201"/>
      <c r="LF194" s="201"/>
      <c r="LG194" s="201"/>
    </row>
    <row r="195" spans="2:322">
      <c r="B195" s="364" t="s">
        <v>168</v>
      </c>
      <c r="C195" s="175">
        <f>C194+C193</f>
        <v>-370997.30499999999</v>
      </c>
      <c r="D195" s="442">
        <f>+C194+D193</f>
        <v>-370997.30499999999</v>
      </c>
      <c r="E195" s="175">
        <f>D195+E193</f>
        <v>-375528.51500000001</v>
      </c>
      <c r="F195" s="175">
        <f>E195+F193</f>
        <v>-421425.80100000004</v>
      </c>
      <c r="G195" s="175">
        <f>F195+G193</f>
        <v>-436428.13500000001</v>
      </c>
      <c r="H195" s="175">
        <f>G195+H193</f>
        <v>-436442.29499999998</v>
      </c>
      <c r="I195" s="175">
        <f>H195+I193</f>
        <v>-488152.337</v>
      </c>
      <c r="J195" s="175">
        <f>D195+J193</f>
        <v>-488152.337</v>
      </c>
      <c r="K195" s="175">
        <f>J195+K193</f>
        <v>-477927.08</v>
      </c>
      <c r="L195" s="175"/>
      <c r="M195" s="175">
        <f>K195+M193</f>
        <v>-541947.79500000004</v>
      </c>
      <c r="N195" s="175">
        <f>M195+N193</f>
        <v>-551148.196</v>
      </c>
      <c r="O195" s="175">
        <f>+J195+O193</f>
        <v>-555611.66700000002</v>
      </c>
      <c r="P195" s="175">
        <f>O195+P193</f>
        <v>-549385.98</v>
      </c>
      <c r="Q195" s="175">
        <f>P195+Q193</f>
        <v>-551507.34600000002</v>
      </c>
      <c r="R195" s="175">
        <f>Q195+R193</f>
        <v>-583565.71700000006</v>
      </c>
      <c r="S195" s="175">
        <f>R195+S193</f>
        <v>-587183.3870000001</v>
      </c>
      <c r="T195" s="175">
        <f>S195+T193</f>
        <v>-722354.85000000009</v>
      </c>
      <c r="U195" s="175">
        <f>+O195+U193</f>
        <v>-722354.85</v>
      </c>
      <c r="V195" s="175">
        <f>U195+V193</f>
        <v>-584328.56599999999</v>
      </c>
      <c r="W195" s="175">
        <f>V195+W193</f>
        <v>-580008.13699999999</v>
      </c>
      <c r="X195" s="175">
        <f>W195+X193</f>
        <v>-674347.60800000001</v>
      </c>
      <c r="Y195" s="175">
        <f>X195+Y193</f>
        <v>-672495.61699999997</v>
      </c>
      <c r="Z195" s="175">
        <f>Y195+Z193</f>
        <v>-805959.73499999999</v>
      </c>
      <c r="AA195" s="175">
        <f>+U195+AA193</f>
        <v>-805959.73499999987</v>
      </c>
      <c r="AB195" s="175">
        <f>+C194+AB193</f>
        <v>-805959.73499999987</v>
      </c>
      <c r="AC195" s="175">
        <f>AB195+AC193</f>
        <v>-697031.8879999998</v>
      </c>
      <c r="AD195" s="175">
        <f>AC195+AD193</f>
        <v>-710214.47099999979</v>
      </c>
      <c r="AE195" s="175">
        <f>AD195+AE193</f>
        <v>-599560.27299999981</v>
      </c>
      <c r="AF195" s="175">
        <f>AE195+AF193</f>
        <v>-573637.27199999976</v>
      </c>
      <c r="AG195" s="175">
        <f>AF195+AG193</f>
        <v>-633215.75699999975</v>
      </c>
      <c r="AH195" s="175">
        <f>AB195+AH193</f>
        <v>-633215.75699999998</v>
      </c>
      <c r="AI195" s="175">
        <f>AH195+AI193</f>
        <v>-633160.33699999994</v>
      </c>
      <c r="AJ195" s="175">
        <f>AI195+AJ193</f>
        <v>-410226.16199999995</v>
      </c>
      <c r="AK195" s="175">
        <f>AJ195+AK193</f>
        <v>-414164.20699999994</v>
      </c>
      <c r="AL195" s="175">
        <f>AK195+AL193</f>
        <v>-213595.67699999994</v>
      </c>
      <c r="AM195" s="175">
        <f>AL195+AM193</f>
        <v>-339244.96799999994</v>
      </c>
      <c r="AN195" s="175">
        <f>AH195+AN193</f>
        <v>-339244.96799999994</v>
      </c>
      <c r="AO195" s="175">
        <f>AN195+AO193</f>
        <v>-388109.34099999996</v>
      </c>
      <c r="AP195" s="175">
        <f>AO195+AP193</f>
        <v>-396445.17699999997</v>
      </c>
      <c r="AQ195" s="175">
        <f>AP195+AQ193</f>
        <v>-397256.57399999996</v>
      </c>
      <c r="AR195" s="175">
        <f>AQ195+AR193</f>
        <v>-363728.26199999999</v>
      </c>
      <c r="AS195" s="175">
        <f>AR195+AS193</f>
        <v>-582363.80200000003</v>
      </c>
      <c r="AT195" s="175">
        <f>AN195+AT193</f>
        <v>-582363.80199999991</v>
      </c>
      <c r="AU195" s="175">
        <f>AT195+AU193</f>
        <v>-491234.07899999991</v>
      </c>
      <c r="AV195" s="175">
        <f>AU195+AV193</f>
        <v>-493376.9599999999</v>
      </c>
      <c r="AW195" s="175">
        <f>AV195+AW193</f>
        <v>-501778.08299999993</v>
      </c>
      <c r="AX195" s="175">
        <f>AW195+AX193</f>
        <v>-509240.14699999994</v>
      </c>
      <c r="AY195" s="175">
        <f>AX195+AY193</f>
        <v>-649893.69799999997</v>
      </c>
      <c r="AZ195" s="175">
        <f>AT195+AZ193</f>
        <v>-649893.69799999986</v>
      </c>
      <c r="BA195" s="175">
        <f>AB195+BA193</f>
        <v>-649893.69799999986</v>
      </c>
      <c r="BB195" s="175">
        <f>BA195+BB193</f>
        <v>-145092.6509999999</v>
      </c>
      <c r="BC195" s="175">
        <f>BB195+BC193</f>
        <v>-809336.94199999981</v>
      </c>
      <c r="BD195" s="175">
        <f>BC195+BD193</f>
        <v>-771675.55999999982</v>
      </c>
      <c r="BE195" s="175">
        <f>BD195+BE193</f>
        <v>-623073.88599999982</v>
      </c>
      <c r="BF195" s="175">
        <f>BE195+BF193</f>
        <v>-638894.00999999978</v>
      </c>
      <c r="BG195" s="175">
        <f>BA195+BG193</f>
        <v>-638894.00999999989</v>
      </c>
      <c r="BH195" s="175">
        <f>BG195+BH193</f>
        <v>-858976.04899999988</v>
      </c>
      <c r="BI195" s="175">
        <f>BH195+BI193</f>
        <v>-600726.30999999982</v>
      </c>
      <c r="BJ195" s="175">
        <f>BI195+BJ193</f>
        <v>-605611.14399999985</v>
      </c>
      <c r="BK195" s="175">
        <f>BJ195+BK193</f>
        <v>-616392.27099999983</v>
      </c>
      <c r="BL195" s="175">
        <f>BK195+BL193</f>
        <v>-591131.10399999982</v>
      </c>
      <c r="BM195" s="175">
        <f>BG195+BM193</f>
        <v>-591131.10399999993</v>
      </c>
      <c r="BN195" s="175">
        <f>BM195+BN193</f>
        <v>-560599.97899999993</v>
      </c>
      <c r="BO195" s="175">
        <f>BN195+BO193</f>
        <v>-565540.21899999992</v>
      </c>
      <c r="BP195" s="175">
        <f>BO195+BP193</f>
        <v>-570395.60099999991</v>
      </c>
      <c r="BQ195" s="175">
        <f>BP195+BQ193</f>
        <v>-588222.55799999996</v>
      </c>
      <c r="BR195" s="175">
        <f>BM195+BR193</f>
        <v>-588222.55799999996</v>
      </c>
      <c r="BS195" s="175">
        <f>BR195+BS193</f>
        <v>-593194.21499999997</v>
      </c>
      <c r="BT195" s="175">
        <f>BS195+BT193</f>
        <v>-593985.63799999992</v>
      </c>
      <c r="BU195" s="175">
        <f>BT195+BU193</f>
        <v>-644121.68799999997</v>
      </c>
      <c r="BV195" s="175">
        <f>BU195+BV193</f>
        <v>-652237.87099999993</v>
      </c>
      <c r="BW195" s="175">
        <f>BV195+BW193</f>
        <v>-743144.73599999992</v>
      </c>
      <c r="BX195" s="175">
        <f>BR195+BX193</f>
        <v>-743144.73600000003</v>
      </c>
      <c r="BY195" s="175">
        <f>BX195+BY193</f>
        <v>-766106.25699999998</v>
      </c>
      <c r="BZ195" s="175">
        <f>BY195+BZ193</f>
        <v>-709092.24800000002</v>
      </c>
      <c r="CA195" s="175">
        <f>BX195+CA193</f>
        <v>-709092.24800000002</v>
      </c>
      <c r="CB195" s="175">
        <f>BA195+CB193</f>
        <v>-709092.24799999944</v>
      </c>
      <c r="CC195" s="175">
        <f>CB195+CC193</f>
        <v>-711859.7569999994</v>
      </c>
      <c r="CD195" s="175">
        <f>CC195+CD193</f>
        <v>-720001.41299999936</v>
      </c>
      <c r="CE195" s="175">
        <f>CD195+CE193</f>
        <v>-788666.25499999942</v>
      </c>
      <c r="CF195" s="175">
        <f>CB195+CF193</f>
        <v>-788666.25499999942</v>
      </c>
      <c r="CG195" s="175">
        <f>CF195+CG193</f>
        <v>-641741.37899999949</v>
      </c>
      <c r="CH195" s="175">
        <f>CG195+CH193</f>
        <v>-602068.73899999948</v>
      </c>
      <c r="CI195" s="175">
        <f>CH195+CI193</f>
        <v>-603178.09199999948</v>
      </c>
      <c r="CJ195" s="175">
        <f>CI195+CJ193</f>
        <v>-600382.61399999948</v>
      </c>
      <c r="CK195" s="175">
        <f>CF195+CK193</f>
        <v>-600382.61399999936</v>
      </c>
      <c r="CL195" s="175">
        <f>CK195+CL193</f>
        <v>-668998.84199999936</v>
      </c>
      <c r="CM195" s="175">
        <f>CL195+CM193</f>
        <v>-710176.91199999931</v>
      </c>
      <c r="CN195" s="175">
        <f>CM195+CN193</f>
        <v>-712544.76299999934</v>
      </c>
      <c r="CO195" s="175">
        <f>CN195+CO193</f>
        <v>-768173.83899999934</v>
      </c>
      <c r="CP195" s="175">
        <f>CO195+CP193</f>
        <v>-761167.43899999931</v>
      </c>
      <c r="CQ195" s="175">
        <f>CK195+CQ193</f>
        <v>-761167.43899999943</v>
      </c>
      <c r="CR195" s="175">
        <f>CQ195+CR193</f>
        <v>-602220.55699999945</v>
      </c>
      <c r="CS195" s="175">
        <f>CR195+CS193</f>
        <v>-624302.86499999941</v>
      </c>
      <c r="CT195" s="175">
        <f>CS195+CT193</f>
        <v>-554847.78099999938</v>
      </c>
      <c r="CU195" s="175">
        <f>CT195+CU193</f>
        <v>-560035.19599999941</v>
      </c>
      <c r="CV195" s="175">
        <f>CU195+CV193</f>
        <v>-560937.53899999941</v>
      </c>
      <c r="CW195" s="175">
        <f>CQ195+CW193</f>
        <v>-560937.53899999941</v>
      </c>
      <c r="CX195" s="175">
        <f>CW195+CX193</f>
        <v>-566564.99399999937</v>
      </c>
      <c r="CY195" s="175">
        <f>CX195+CY193</f>
        <v>-576315.09699999937</v>
      </c>
      <c r="CZ195" s="175">
        <f>CY195+CZ193</f>
        <v>-577198.64099999936</v>
      </c>
      <c r="DA195" s="175">
        <f>CZ195+DA193</f>
        <v>-723493.30699999933</v>
      </c>
      <c r="DB195" s="175">
        <f>CW195+DB193</f>
        <v>-723493.30699999945</v>
      </c>
      <c r="DC195" s="175">
        <f>CB195+DC193</f>
        <v>-723493.3069999998</v>
      </c>
      <c r="DD195" s="175">
        <f>DC195+DD193</f>
        <v>-596349.92999999982</v>
      </c>
      <c r="DE195" s="175">
        <f>DD195+DE193</f>
        <v>-672729.3879999998</v>
      </c>
      <c r="DF195" s="175">
        <f>DE195+DF193</f>
        <v>-675898.02199999976</v>
      </c>
      <c r="DG195" s="175">
        <f>DF195+DG193</f>
        <v>-669768.44399999978</v>
      </c>
      <c r="DH195" s="175">
        <f>DG195+DH193</f>
        <v>-669873.35799999977</v>
      </c>
      <c r="DI195" s="175">
        <f>DC195+DI193</f>
        <v>-669873.35799999977</v>
      </c>
      <c r="DJ195" s="175">
        <f>DI195+DJ193</f>
        <v>-705789.19199999981</v>
      </c>
      <c r="DK195" s="175">
        <f>DJ195+DK193</f>
        <v>-712067.29999999981</v>
      </c>
      <c r="DL195" s="175">
        <f>DK195+DL193</f>
        <v>-715719.57199999981</v>
      </c>
      <c r="DM195" s="175">
        <f>DL195+DM193</f>
        <v>-719590.48199999984</v>
      </c>
      <c r="DN195" s="175">
        <f>DM195+DN193</f>
        <v>-767108.07099999988</v>
      </c>
      <c r="DO195" s="175">
        <f>DI195+DO193</f>
        <v>-767108.07099999976</v>
      </c>
      <c r="DP195" s="175">
        <f>DO195+DP193</f>
        <v>-780635.32499999972</v>
      </c>
      <c r="DQ195" s="175">
        <f>DP195+DQ193</f>
        <v>-982691.36099999968</v>
      </c>
      <c r="DR195" s="175">
        <f>DQ195+DR193</f>
        <v>-835544.08899999969</v>
      </c>
      <c r="DS195" s="175">
        <f>DR195+DS193</f>
        <v>-849879.91399999964</v>
      </c>
      <c r="DT195" s="175">
        <f>DS195+DT193</f>
        <v>-880649.79099999962</v>
      </c>
      <c r="DU195" s="175">
        <f>DO195+DU193</f>
        <v>-880649.79099999974</v>
      </c>
      <c r="DV195" s="175">
        <f>DU195+DV193</f>
        <v>-854419.0279999997</v>
      </c>
      <c r="DW195" s="175">
        <f>DV195+DW193</f>
        <v>-863244.92299999972</v>
      </c>
      <c r="DX195" s="175">
        <f>DW195+DX193</f>
        <v>-874589.69499999972</v>
      </c>
      <c r="DY195" s="175">
        <f>DX195+DY193</f>
        <v>-878891.32899999968</v>
      </c>
      <c r="DZ195" s="175">
        <f>DY195+DZ193</f>
        <v>-890201.36999999965</v>
      </c>
      <c r="EA195" s="175">
        <f>DU195+EA193</f>
        <v>-890201.36999999976</v>
      </c>
      <c r="EB195" s="175">
        <f>DC195+EB193</f>
        <v>-890201.36999999988</v>
      </c>
      <c r="EC195" s="175">
        <f>EB195+EC193</f>
        <v>-975815.37699999986</v>
      </c>
      <c r="ED195" s="175">
        <f>EC195+ED193</f>
        <v>-867530.21499999985</v>
      </c>
      <c r="EE195" s="175">
        <f>ED195+EE193</f>
        <v>-952094.85699999973</v>
      </c>
      <c r="EF195" s="175">
        <f>EE195+EF193</f>
        <v>-932357.7019999997</v>
      </c>
      <c r="EG195" s="175">
        <f>EF195+EG193</f>
        <v>-937552.24899999972</v>
      </c>
      <c r="EH195" s="175">
        <f>EB195+EH193</f>
        <v>-937552.24899999984</v>
      </c>
      <c r="EI195" s="175">
        <f>EH195+EI193</f>
        <v>-942460.24899999984</v>
      </c>
      <c r="EJ195" s="175">
        <f>EI195+EJ193</f>
        <v>-958967.41299999983</v>
      </c>
      <c r="EK195" s="175">
        <f>EJ195+EK193</f>
        <v>-967782.69999999984</v>
      </c>
      <c r="EL195" s="175">
        <f>EK195+EL193</f>
        <v>-968485.29999999981</v>
      </c>
      <c r="EM195" s="175">
        <f>EL195+EM193</f>
        <v>-999311.27199999976</v>
      </c>
      <c r="EN195" s="175">
        <f>EH195+EN193</f>
        <v>-999311.27199999988</v>
      </c>
      <c r="EO195" s="175">
        <f>EN195+EO193</f>
        <v>-1019551.9139999999</v>
      </c>
      <c r="EP195" s="175">
        <f>EO195+EP193</f>
        <v>-1004955.4119999999</v>
      </c>
      <c r="EQ195" s="175">
        <f>EP195+EQ193</f>
        <v>-1006308.1099999999</v>
      </c>
      <c r="ER195" s="175">
        <f>EQ195+ER193</f>
        <v>-1014516.5389999999</v>
      </c>
      <c r="ES195" s="175">
        <f>ER195+ES193</f>
        <v>-1019379.4809999999</v>
      </c>
      <c r="ET195" s="175">
        <f>EN195+ET193</f>
        <v>-1019379.4809999999</v>
      </c>
      <c r="EU195" s="175">
        <f t="shared" ref="EU195:FA195" si="559">ET195+EU193</f>
        <v>-1028939.0759999999</v>
      </c>
      <c r="EV195" s="175">
        <f t="shared" si="559"/>
        <v>-1040332.0109999999</v>
      </c>
      <c r="EW195" s="175">
        <f t="shared" si="559"/>
        <v>-1041495.9879999999</v>
      </c>
      <c r="EX195" s="175">
        <f t="shared" si="559"/>
        <v>-1043288.9889999999</v>
      </c>
      <c r="EY195" s="175">
        <f t="shared" si="559"/>
        <v>-851433.45499999996</v>
      </c>
      <c r="EZ195" s="175">
        <f t="shared" si="559"/>
        <v>-982918.35299999989</v>
      </c>
      <c r="FA195" s="175">
        <f t="shared" si="559"/>
        <v>-1120505.7769999998</v>
      </c>
      <c r="FB195" s="175">
        <f>ET195+FB193</f>
        <v>-1120505.777</v>
      </c>
      <c r="FC195" s="175">
        <f>EB195+FC193</f>
        <v>-1120505.7769999998</v>
      </c>
      <c r="FD195" s="175">
        <f>FC195+FD193</f>
        <v>-1180902.1339999998</v>
      </c>
      <c r="FE195" s="175">
        <f>FD195+FE193</f>
        <v>-1134539.3869999999</v>
      </c>
      <c r="FF195" s="175">
        <f>FE195+FF193</f>
        <v>-1159546.3269999998</v>
      </c>
      <c r="FG195" s="175">
        <f>FC195+FG193</f>
        <v>-1159546.3269999998</v>
      </c>
      <c r="FH195" s="175">
        <f>FG195+FH193</f>
        <v>-1201568.9389999998</v>
      </c>
      <c r="FI195" s="175">
        <f>FH195+FI193</f>
        <v>-886471.99974999973</v>
      </c>
      <c r="FJ195" s="175">
        <f>FI195+FJ193</f>
        <v>-1186471.9997499997</v>
      </c>
      <c r="FK195" s="175">
        <f>FJ195+FK193</f>
        <v>-1005318.1527499998</v>
      </c>
      <c r="FL195" s="175">
        <f>FK195+FL193</f>
        <v>-1019471.5767499998</v>
      </c>
      <c r="FM195" s="175">
        <f>FG195+FM193</f>
        <v>-1019471.5767499999</v>
      </c>
      <c r="FN195" s="175">
        <f>FM195+FN193</f>
        <v>-1264511.0327499998</v>
      </c>
      <c r="FO195" s="175">
        <f>FN195+FO193</f>
        <v>-1272143.9017499997</v>
      </c>
      <c r="FP195" s="175">
        <f>FO195+FP193</f>
        <v>-1247300.2797499998</v>
      </c>
      <c r="FQ195" s="175">
        <f>FP195+FQ193</f>
        <v>-1259574.8527499998</v>
      </c>
      <c r="FR195" s="175">
        <f>FM195+FR193</f>
        <v>-1259574.8527499998</v>
      </c>
      <c r="FS195" s="175">
        <f>FR195+FS193</f>
        <v>-1299322.1297499998</v>
      </c>
      <c r="FT195" s="175">
        <f>FS195+FT193</f>
        <v>-1256220.2457499998</v>
      </c>
      <c r="FU195" s="175">
        <f>FT195+FU193</f>
        <v>-1263322.1067499998</v>
      </c>
      <c r="FV195" s="175">
        <f>FU195+FV193</f>
        <v>-1334381.3637499998</v>
      </c>
      <c r="FW195" s="175">
        <f>FV195+FW193</f>
        <v>-1337058.8567499998</v>
      </c>
      <c r="FX195" s="175">
        <f>FR195+FX193</f>
        <v>-1337058.8567499998</v>
      </c>
      <c r="FY195" s="175">
        <f>FX195+FY193</f>
        <v>-1340432.9897499997</v>
      </c>
      <c r="FZ195" s="175">
        <f>FY195+FZ193</f>
        <v>-1342247.5887499996</v>
      </c>
      <c r="GA195" s="175">
        <f>FZ195+GA193</f>
        <v>-1327955.0487499996</v>
      </c>
      <c r="GB195" s="175">
        <f>GA195+GB193</f>
        <v>-1466588.6287499997</v>
      </c>
      <c r="GC195" s="175">
        <f>GB195+GC193</f>
        <v>-1422986.6357499997</v>
      </c>
      <c r="GD195" s="175">
        <f>FX195+GD193</f>
        <v>-1422986.6357499999</v>
      </c>
      <c r="GE195" s="175">
        <f>FC195+GE193</f>
        <v>-1422986.6357500004</v>
      </c>
      <c r="GF195" s="175">
        <f>GE195+GF193</f>
        <v>-1377144.9237500003</v>
      </c>
      <c r="GG195" s="175">
        <f>GF195+GG193</f>
        <v>-1391883.4837500004</v>
      </c>
      <c r="GH195" s="175">
        <f>GG195+GH193</f>
        <v>-1407482.6527500004</v>
      </c>
      <c r="GI195" s="175">
        <f>GH195+GI193</f>
        <v>-1439771.4977500003</v>
      </c>
      <c r="GJ195" s="175">
        <f>GI195+GJ193</f>
        <v>-1348421.4557500004</v>
      </c>
      <c r="GK195" s="175">
        <f>GE195+GK193</f>
        <v>-1348421.4557500004</v>
      </c>
      <c r="GL195" s="175">
        <f>GK195+GL193</f>
        <v>-1350801.0867500005</v>
      </c>
      <c r="GM195" s="175">
        <f>GL195+GM193</f>
        <v>-1345292.1947500005</v>
      </c>
      <c r="GN195" s="175">
        <f>GM195+GN193</f>
        <v>-1320856.1987500004</v>
      </c>
      <c r="GO195" s="175">
        <f>GN195+GO193</f>
        <v>-1326760.3927500003</v>
      </c>
      <c r="GP195" s="175">
        <f>GK195+GP193</f>
        <v>-1326760.3927500003</v>
      </c>
      <c r="GQ195" s="175">
        <f>GP195+GQ193</f>
        <v>-1027603.6072500004</v>
      </c>
      <c r="GR195" s="175">
        <f>GQ195+GR193</f>
        <v>-1010396.8282500004</v>
      </c>
      <c r="GS195" s="175">
        <f>GR195+GS193</f>
        <v>-1327285.5762500004</v>
      </c>
      <c r="GT195" s="175">
        <f>GS195+GT193</f>
        <v>-1334237.8372500003</v>
      </c>
      <c r="GU195" s="175">
        <f>GT195+GU193</f>
        <v>-1336583.7872500003</v>
      </c>
      <c r="GV195" s="175">
        <f>GP195+GV193</f>
        <v>-1336583.7872500003</v>
      </c>
      <c r="GW195" s="175">
        <f>GV195+GW193</f>
        <v>-1340245.0972500003</v>
      </c>
      <c r="GX195" s="175">
        <f>GW195+GX193</f>
        <v>-1344468.0342500003</v>
      </c>
      <c r="GY195" s="175">
        <f>GX195+GY193</f>
        <v>-1348269.4082500003</v>
      </c>
      <c r="GZ195" s="175"/>
      <c r="HA195" s="175">
        <f>GY195+HA193</f>
        <v>-1417273.5422500004</v>
      </c>
      <c r="HB195" s="175">
        <f>HA195+HB193</f>
        <v>-1397617.2092500003</v>
      </c>
      <c r="HC195" s="175">
        <f>GV195+HC193</f>
        <v>-1397772.5632500004</v>
      </c>
      <c r="HD195" s="175">
        <f>GE195+HD193</f>
        <v>-1397772.5632500006</v>
      </c>
      <c r="HE195" s="175">
        <f>HD195+HE193</f>
        <v>-1387056.2412500007</v>
      </c>
      <c r="HF195" s="175">
        <f>HE195+HF193</f>
        <v>-1389207.7052500006</v>
      </c>
      <c r="HG195" s="175">
        <f>HF195+HG193</f>
        <v>-1407520.1092500007</v>
      </c>
      <c r="HH195" s="175">
        <f>HG195+HH193</f>
        <v>-1420861.1062500007</v>
      </c>
      <c r="HI195" s="175">
        <f>HD195+HI193</f>
        <v>-1420861.1062500007</v>
      </c>
      <c r="HJ195" s="175">
        <f>HI195+HJ193</f>
        <v>-1433568.5822500007</v>
      </c>
      <c r="HK195" s="175">
        <f>HJ195+HK193</f>
        <v>-1436306.2842500007</v>
      </c>
      <c r="HL195" s="175">
        <f>HK195+HL193</f>
        <v>-1445359.9272500006</v>
      </c>
      <c r="HM195" s="175">
        <f>HL195+HM193</f>
        <v>-1446679.3392500007</v>
      </c>
      <c r="HN195" s="175">
        <f>HM195+HN193</f>
        <v>-1454403.5482500007</v>
      </c>
      <c r="HO195" s="175">
        <f>HI195+HO193</f>
        <v>-1454403.5482500007</v>
      </c>
      <c r="HP195" s="175">
        <f>HO195+HP193</f>
        <v>-1508235.2302500007</v>
      </c>
      <c r="HQ195" s="175">
        <f>HP195+HQ193</f>
        <v>-1490213.8422500007</v>
      </c>
      <c r="HR195" s="175">
        <f>HQ195+HR193</f>
        <v>-1406207.0832500006</v>
      </c>
      <c r="HS195" s="175">
        <f>HR195+HS193</f>
        <v>-1418890.2812500007</v>
      </c>
      <c r="HT195" s="175">
        <f>HS195+HT193</f>
        <v>-1454954.6172500006</v>
      </c>
      <c r="HU195" s="175">
        <f>HO195+HU193</f>
        <v>-1454954.6172500006</v>
      </c>
      <c r="HV195" s="175">
        <f>HU195+HV193</f>
        <v>-1416033.2572500005</v>
      </c>
      <c r="HW195" s="175">
        <f>HV195+HW193</f>
        <v>-1435191.6312500006</v>
      </c>
      <c r="HX195" s="175">
        <f>HW195+HX193</f>
        <v>-1391116.4392500005</v>
      </c>
      <c r="HY195" s="175">
        <f>HU195+HY193</f>
        <v>-1391116.4392500005</v>
      </c>
      <c r="HZ195" s="175">
        <f>HY195+HZ193</f>
        <v>-1393113.6232500004</v>
      </c>
      <c r="IA195" s="175">
        <f>HZ195+IA193</f>
        <v>-1393123.6532500004</v>
      </c>
      <c r="IB195" s="175">
        <f>IA195+IB193</f>
        <v>-1482784.7932500003</v>
      </c>
      <c r="IC195" s="175">
        <f>HY195+IC193</f>
        <v>-1482784.7932500006</v>
      </c>
      <c r="ID195" s="175">
        <f>HD195+ID193</f>
        <v>-1482784.7932500006</v>
      </c>
      <c r="IE195" s="175">
        <f>ID195+IE193</f>
        <v>-1409724.3442500005</v>
      </c>
      <c r="IF195" s="175">
        <f>IE195+IF193</f>
        <v>-1417536.0522500006</v>
      </c>
      <c r="IG195" s="175">
        <f>ID195+IG193</f>
        <v>-1417536.0522500006</v>
      </c>
      <c r="IH195" s="175">
        <f>IG195+IH193</f>
        <v>-1465634.3082500007</v>
      </c>
      <c r="II195" s="175">
        <f>IH195+II193</f>
        <v>-1467888.7572500007</v>
      </c>
      <c r="IJ195" s="175">
        <f>II195+IJ193</f>
        <v>-1474148.6492500007</v>
      </c>
      <c r="IK195" s="175">
        <f>IJ195+IK193</f>
        <v>-1544574.0832500006</v>
      </c>
      <c r="IL195" s="175">
        <f>IK195+IL193</f>
        <v>-1545526.3592500007</v>
      </c>
      <c r="IM195" s="175">
        <f>IG195+IM193</f>
        <v>-1545526.3592500007</v>
      </c>
      <c r="IN195" s="175">
        <f>IM195+IN193</f>
        <v>-1482894.2592500006</v>
      </c>
      <c r="IO195" s="175">
        <f>IN195+IO193</f>
        <v>-1798948.2702500005</v>
      </c>
      <c r="IP195" s="175">
        <f>IO195+IP193</f>
        <v>-1491613.3992500005</v>
      </c>
      <c r="IQ195" s="175">
        <f>IM195+IQ193</f>
        <v>-1491613.3992500007</v>
      </c>
      <c r="IR195" s="175">
        <f>IQ195+IR193</f>
        <v>-1524188.1702500007</v>
      </c>
      <c r="IS195" s="175">
        <f>IR195+IS193</f>
        <v>-1543481.3702500006</v>
      </c>
      <c r="IT195" s="175">
        <f>IS195+IT193</f>
        <v>-1545999.6112500005</v>
      </c>
      <c r="IU195" s="175">
        <f>IT195+IU193</f>
        <v>-1547216.5972500006</v>
      </c>
      <c r="IV195" s="175">
        <f>IU195+IV193</f>
        <v>-1585595.6052500005</v>
      </c>
      <c r="IW195" s="175">
        <f>IQ195+IW193</f>
        <v>-1585595.6052500007</v>
      </c>
      <c r="IX195" s="175">
        <f>IW195+IX193</f>
        <v>-1590426.1582500008</v>
      </c>
      <c r="IY195" s="175">
        <f>IX195+IY193</f>
        <v>-1845214.8092500009</v>
      </c>
      <c r="IZ195" s="175">
        <f>IY195+IZ193</f>
        <v>-1607076.0659800009</v>
      </c>
      <c r="JA195" s="175">
        <f>IZ195+JA193</f>
        <v>-1684404.4209800009</v>
      </c>
      <c r="JB195" s="175">
        <f>JA195+JB193</f>
        <v>-1734572.4799800008</v>
      </c>
      <c r="JC195" s="175">
        <f>IW195+JC193</f>
        <v>-1734572.4799800008</v>
      </c>
      <c r="JD195" s="175">
        <f>ID195+JD193</f>
        <v>-1734572.4799800003</v>
      </c>
      <c r="JE195" s="175">
        <f>JD195+JE193</f>
        <v>-1742070.3249800003</v>
      </c>
      <c r="JF195" s="175">
        <f t="shared" ref="JF195:LE195" si="560">JE195+JF193</f>
        <v>-1758213.0569800003</v>
      </c>
      <c r="JG195" s="175">
        <f t="shared" si="560"/>
        <v>-1777255.0809800003</v>
      </c>
      <c r="JH195" s="175">
        <f t="shared" si="560"/>
        <v>-1810336.6949800004</v>
      </c>
      <c r="JI195" s="175">
        <f t="shared" si="560"/>
        <v>-1815640.3269800004</v>
      </c>
      <c r="JJ195" s="175">
        <f>JD195+JJ193</f>
        <v>-1815640.3269800004</v>
      </c>
      <c r="JK195" s="175">
        <f t="shared" si="560"/>
        <v>-1815640.3269800004</v>
      </c>
      <c r="JL195" s="175">
        <f t="shared" si="560"/>
        <v>-1815640.3269800004</v>
      </c>
      <c r="JM195" s="175">
        <f t="shared" si="560"/>
        <v>-1815640.3269800004</v>
      </c>
      <c r="JN195" s="175">
        <f t="shared" si="560"/>
        <v>-1815640.3269800004</v>
      </c>
      <c r="JO195" s="175">
        <f t="shared" si="560"/>
        <v>-1815640.3269800004</v>
      </c>
      <c r="JP195" s="175">
        <f>JJ195+JP193</f>
        <v>-1815640.3269800004</v>
      </c>
      <c r="JQ195" s="175">
        <f>JP195+JQ193</f>
        <v>-1815640.3269800004</v>
      </c>
      <c r="JR195" s="175">
        <f t="shared" si="560"/>
        <v>-1815640.3269800004</v>
      </c>
      <c r="JS195" s="175">
        <f t="shared" si="560"/>
        <v>-1815640.3269800004</v>
      </c>
      <c r="JT195" s="175">
        <f t="shared" si="560"/>
        <v>-1815640.3269800004</v>
      </c>
      <c r="JU195" s="175">
        <f t="shared" si="560"/>
        <v>-1815640.3269800004</v>
      </c>
      <c r="JV195" s="175">
        <f>JP195+JV193</f>
        <v>-1815640.3269800004</v>
      </c>
      <c r="JW195" s="175">
        <f t="shared" si="560"/>
        <v>-1815640.3269800004</v>
      </c>
      <c r="JX195" s="175">
        <f t="shared" si="560"/>
        <v>-1815640.3269800004</v>
      </c>
      <c r="JY195" s="175">
        <f t="shared" si="560"/>
        <v>-1815640.3269800004</v>
      </c>
      <c r="JZ195" s="175">
        <f t="shared" si="560"/>
        <v>-1815640.3269800004</v>
      </c>
      <c r="KA195" s="175"/>
      <c r="KB195" s="175">
        <f>JZ195+KB193</f>
        <v>-1815640.3269800004</v>
      </c>
      <c r="KC195" s="175">
        <f>JV195+KC193</f>
        <v>-1815640.3269800004</v>
      </c>
      <c r="KD195" s="175">
        <f>JD195+KD193</f>
        <v>-2217234.9509800002</v>
      </c>
      <c r="KE195" s="175">
        <f t="shared" si="560"/>
        <v>-2217234.9509800002</v>
      </c>
      <c r="KF195" s="175">
        <f t="shared" si="560"/>
        <v>-2217234.9509800002</v>
      </c>
      <c r="KG195" s="175">
        <f t="shared" si="560"/>
        <v>-2217234.9509800002</v>
      </c>
      <c r="KH195" s="175">
        <f t="shared" si="560"/>
        <v>-2217234.9509800002</v>
      </c>
      <c r="KI195" s="175">
        <f t="shared" si="560"/>
        <v>-2217234.9509800002</v>
      </c>
      <c r="KJ195" s="175">
        <f>KD195+KJ193</f>
        <v>-2217234.9509800002</v>
      </c>
      <c r="KK195" s="175">
        <f t="shared" si="560"/>
        <v>-2217234.9509800002</v>
      </c>
      <c r="KL195" s="175">
        <f t="shared" si="560"/>
        <v>-2217234.9509800002</v>
      </c>
      <c r="KM195" s="175">
        <f t="shared" si="560"/>
        <v>-2217234.9509800002</v>
      </c>
      <c r="KN195" s="175">
        <f t="shared" si="560"/>
        <v>-2217234.9509800002</v>
      </c>
      <c r="KO195" s="175">
        <f t="shared" si="560"/>
        <v>-2217234.9509800002</v>
      </c>
      <c r="KP195" s="175">
        <f>KJ195+KP193</f>
        <v>-2217234.9509800002</v>
      </c>
      <c r="KQ195" s="175">
        <f t="shared" si="560"/>
        <v>-2217234.9509800002</v>
      </c>
      <c r="KR195" s="175">
        <f t="shared" si="560"/>
        <v>-2217234.9509800002</v>
      </c>
      <c r="KS195" s="175">
        <f t="shared" si="560"/>
        <v>-2217234.9509800002</v>
      </c>
      <c r="KT195" s="175">
        <f t="shared" si="560"/>
        <v>-2217234.9509800002</v>
      </c>
      <c r="KU195" s="175">
        <f t="shared" si="560"/>
        <v>-2217234.9509800002</v>
      </c>
      <c r="KV195" s="175">
        <f>KP195+KV193</f>
        <v>-2217234.9509800002</v>
      </c>
      <c r="KW195" s="175">
        <f t="shared" si="560"/>
        <v>-2217234.9509800002</v>
      </c>
      <c r="KX195" s="175">
        <f t="shared" si="560"/>
        <v>-2217234.9509800002</v>
      </c>
      <c r="KY195" s="175">
        <f t="shared" si="560"/>
        <v>-2217234.9509800002</v>
      </c>
      <c r="KZ195" s="175">
        <f t="shared" si="560"/>
        <v>-2217234.9509800002</v>
      </c>
      <c r="LA195" s="175">
        <f t="shared" si="560"/>
        <v>-2217234.9509800002</v>
      </c>
      <c r="LB195" s="175">
        <f>KV195+LB193</f>
        <v>-2217234.9509800002</v>
      </c>
      <c r="LC195" s="175">
        <f t="shared" si="560"/>
        <v>-2217234.9509800002</v>
      </c>
      <c r="LD195" s="175">
        <f t="shared" si="560"/>
        <v>-2217234.9509800002</v>
      </c>
      <c r="LE195" s="175">
        <f t="shared" si="560"/>
        <v>-2217234.9509800002</v>
      </c>
      <c r="LF195" s="175">
        <f>LB195+LF193</f>
        <v>-2217234.9509800002</v>
      </c>
      <c r="LG195" s="175">
        <f>KD195+LG193</f>
        <v>-1790872.5339800003</v>
      </c>
    </row>
    <row r="196" spans="2:322" ht="15.75" thickBot="1"/>
    <row r="197" spans="2:322" ht="16.5" thickBot="1">
      <c r="B197" s="977" t="s">
        <v>178</v>
      </c>
      <c r="C197" s="978"/>
      <c r="D197" s="978"/>
      <c r="E197" s="978"/>
      <c r="F197" s="978"/>
      <c r="G197" s="978"/>
      <c r="H197" s="978"/>
      <c r="I197" s="978"/>
      <c r="J197" s="978"/>
      <c r="K197" s="978"/>
      <c r="L197" s="978"/>
      <c r="M197" s="978"/>
      <c r="N197" s="978"/>
      <c r="O197" s="978"/>
      <c r="P197" s="978"/>
      <c r="Q197" s="978"/>
      <c r="R197" s="978"/>
      <c r="S197" s="978"/>
      <c r="T197" s="978"/>
      <c r="U197" s="978"/>
      <c r="V197" s="978"/>
      <c r="W197" s="978"/>
      <c r="X197" s="978"/>
      <c r="Y197" s="978"/>
      <c r="Z197" s="978"/>
      <c r="AA197" s="978"/>
      <c r="AB197" s="978"/>
      <c r="AC197" s="978"/>
      <c r="AD197" s="978"/>
      <c r="AE197" s="978"/>
      <c r="AF197" s="978"/>
      <c r="AG197" s="978"/>
      <c r="AH197" s="978"/>
      <c r="AI197" s="978"/>
      <c r="AJ197" s="978"/>
      <c r="AK197" s="978"/>
      <c r="AL197" s="978"/>
      <c r="AM197" s="978"/>
      <c r="AN197" s="978"/>
      <c r="AO197" s="978"/>
      <c r="AP197" s="978"/>
      <c r="AQ197" s="978"/>
      <c r="AR197" s="978"/>
      <c r="AS197" s="978"/>
      <c r="AT197" s="978"/>
      <c r="AU197" s="978"/>
      <c r="AV197" s="978"/>
      <c r="AW197" s="978"/>
      <c r="AX197" s="978"/>
      <c r="AY197" s="978"/>
      <c r="AZ197" s="978"/>
      <c r="BA197" s="978"/>
      <c r="BB197" s="978"/>
      <c r="BC197" s="978"/>
      <c r="BD197" s="978"/>
      <c r="BE197" s="978"/>
      <c r="BF197" s="978"/>
      <c r="BG197" s="978"/>
      <c r="BH197" s="978"/>
      <c r="BI197" s="978"/>
      <c r="BJ197" s="978"/>
      <c r="BK197" s="978"/>
      <c r="BL197" s="978"/>
      <c r="BM197" s="978"/>
      <c r="BN197" s="978"/>
      <c r="BO197" s="978"/>
      <c r="BP197" s="978"/>
      <c r="BQ197" s="978"/>
      <c r="BR197" s="978"/>
      <c r="BS197" s="978"/>
      <c r="BT197" s="978"/>
      <c r="BU197" s="978"/>
      <c r="BV197" s="978"/>
      <c r="BW197" s="978"/>
      <c r="BX197" s="978"/>
      <c r="BY197" s="978"/>
      <c r="BZ197" s="978"/>
      <c r="CA197" s="978"/>
      <c r="CB197" s="978"/>
      <c r="CC197" s="978"/>
      <c r="CD197" s="978"/>
      <c r="CE197" s="978"/>
      <c r="CF197" s="978"/>
      <c r="CG197" s="978"/>
      <c r="CH197" s="978"/>
      <c r="CI197" s="978"/>
      <c r="CJ197" s="978"/>
      <c r="CK197" s="978"/>
      <c r="CL197" s="978"/>
      <c r="CM197" s="978"/>
      <c r="CN197" s="978"/>
      <c r="CO197" s="978"/>
      <c r="CP197" s="978"/>
      <c r="CQ197" s="978"/>
      <c r="CR197" s="978"/>
      <c r="CS197" s="978"/>
      <c r="CT197" s="978"/>
      <c r="CU197" s="978"/>
      <c r="CV197" s="978"/>
      <c r="CW197" s="978"/>
      <c r="CX197" s="978"/>
      <c r="CY197" s="978"/>
      <c r="CZ197" s="978"/>
      <c r="DA197" s="978"/>
      <c r="DB197" s="978"/>
      <c r="DC197" s="978"/>
      <c r="DD197" s="978"/>
      <c r="DE197" s="978"/>
      <c r="DF197" s="978"/>
      <c r="DG197" s="978"/>
      <c r="DH197" s="978"/>
      <c r="DI197" s="978"/>
      <c r="DJ197" s="978"/>
      <c r="DK197" s="978"/>
      <c r="DL197" s="978"/>
      <c r="DM197" s="978"/>
      <c r="DN197" s="978"/>
      <c r="DO197" s="978"/>
      <c r="DP197" s="978"/>
      <c r="DQ197" s="978"/>
      <c r="DR197" s="978"/>
      <c r="DS197" s="978"/>
      <c r="DT197" s="978"/>
      <c r="DU197" s="978"/>
      <c r="DV197" s="978"/>
      <c r="DW197" s="978"/>
      <c r="DX197" s="978"/>
      <c r="DY197" s="978"/>
      <c r="DZ197" s="978"/>
      <c r="EA197" s="978"/>
      <c r="EB197" s="978"/>
      <c r="EC197" s="978"/>
      <c r="ED197" s="978"/>
      <c r="EE197" s="978"/>
      <c r="EF197" s="978"/>
      <c r="EG197" s="978"/>
      <c r="EH197" s="978"/>
      <c r="EI197" s="978"/>
      <c r="EJ197" s="978"/>
      <c r="EK197" s="978"/>
      <c r="EL197" s="978"/>
      <c r="EM197" s="978"/>
      <c r="EN197" s="978"/>
      <c r="EO197" s="978"/>
      <c r="EP197" s="978"/>
      <c r="EQ197" s="978"/>
      <c r="ER197" s="978"/>
      <c r="ES197" s="978"/>
      <c r="ET197" s="978"/>
      <c r="EU197" s="978"/>
      <c r="EV197" s="978"/>
      <c r="EW197" s="978"/>
      <c r="EX197" s="978"/>
      <c r="EY197" s="978"/>
      <c r="EZ197" s="978"/>
      <c r="FA197" s="978"/>
      <c r="FB197" s="978"/>
      <c r="FC197" s="978"/>
      <c r="FD197" s="978"/>
      <c r="FE197" s="978"/>
      <c r="FF197" s="978"/>
      <c r="FG197" s="978"/>
      <c r="FH197" s="978"/>
      <c r="FI197" s="978"/>
      <c r="FJ197" s="978"/>
      <c r="FK197" s="978"/>
      <c r="FL197" s="978"/>
      <c r="FM197" s="978"/>
      <c r="FN197" s="978"/>
      <c r="FO197" s="978"/>
      <c r="FP197" s="978"/>
      <c r="FQ197" s="978"/>
      <c r="FR197" s="978"/>
      <c r="FS197" s="978"/>
      <c r="FT197" s="978"/>
      <c r="FU197" s="978"/>
      <c r="FV197" s="978"/>
      <c r="FW197" s="978"/>
      <c r="FX197" s="978"/>
      <c r="FY197" s="978"/>
      <c r="FZ197" s="978"/>
      <c r="GA197" s="978"/>
      <c r="GB197" s="978"/>
      <c r="GC197" s="978"/>
      <c r="GD197" s="978"/>
      <c r="GE197" s="978"/>
      <c r="GF197" s="978"/>
      <c r="GG197" s="978"/>
      <c r="GH197" s="978"/>
      <c r="GI197" s="978"/>
      <c r="GJ197" s="978"/>
      <c r="GK197" s="978"/>
      <c r="GL197" s="978"/>
      <c r="GM197" s="978"/>
      <c r="GN197" s="978"/>
      <c r="GO197" s="978"/>
      <c r="GP197" s="978"/>
      <c r="GQ197" s="978"/>
      <c r="GR197" s="978"/>
      <c r="GS197" s="978"/>
      <c r="GT197" s="978"/>
      <c r="GU197" s="978"/>
      <c r="GV197" s="978"/>
      <c r="GW197" s="978"/>
      <c r="GX197" s="978"/>
      <c r="GY197" s="978"/>
      <c r="GZ197" s="978"/>
      <c r="HA197" s="978"/>
      <c r="HB197" s="978"/>
      <c r="HC197" s="978"/>
      <c r="HD197" s="978"/>
      <c r="HE197" s="978"/>
      <c r="HF197" s="978"/>
      <c r="HG197" s="978"/>
      <c r="HH197" s="978"/>
      <c r="HI197" s="978"/>
      <c r="HJ197" s="978"/>
      <c r="HK197" s="978"/>
      <c r="HL197" s="978"/>
      <c r="HM197" s="978"/>
      <c r="HN197" s="978"/>
      <c r="HO197" s="978"/>
      <c r="HP197" s="978"/>
      <c r="HQ197" s="978"/>
      <c r="HR197" s="978"/>
      <c r="HS197" s="978"/>
      <c r="HT197" s="978"/>
      <c r="HU197" s="978"/>
      <c r="HV197" s="978"/>
      <c r="HW197" s="978"/>
      <c r="HX197" s="978"/>
      <c r="HY197" s="978"/>
      <c r="HZ197" s="978"/>
      <c r="IA197" s="978"/>
      <c r="IB197" s="978"/>
      <c r="IC197" s="978"/>
      <c r="ID197" s="978"/>
      <c r="IE197" s="978"/>
      <c r="IF197" s="978"/>
      <c r="IG197" s="978"/>
      <c r="IH197" s="978"/>
      <c r="II197" s="978"/>
      <c r="IJ197" s="978"/>
      <c r="IK197" s="978"/>
      <c r="IL197" s="978"/>
      <c r="IM197" s="978"/>
      <c r="IN197" s="978"/>
      <c r="IO197" s="978"/>
      <c r="IP197" s="978"/>
      <c r="IQ197" s="978"/>
      <c r="IR197" s="978"/>
      <c r="IS197" s="978"/>
      <c r="IT197" s="978"/>
      <c r="IU197" s="978"/>
      <c r="IV197" s="978"/>
      <c r="IW197" s="978"/>
      <c r="IX197" s="978"/>
      <c r="IY197" s="978"/>
      <c r="IZ197" s="978"/>
      <c r="JA197" s="978"/>
      <c r="JB197" s="978"/>
      <c r="JC197" s="978"/>
      <c r="JD197" s="978"/>
      <c r="JE197" s="978"/>
      <c r="JF197" s="978"/>
      <c r="JG197" s="978"/>
      <c r="JH197" s="978"/>
      <c r="JI197" s="978"/>
      <c r="JJ197" s="978"/>
      <c r="JK197" s="978"/>
      <c r="JL197" s="978"/>
      <c r="JM197" s="978"/>
      <c r="JN197" s="978"/>
      <c r="JO197" s="978"/>
      <c r="JP197" s="978"/>
      <c r="JQ197" s="978"/>
      <c r="JR197" s="978"/>
      <c r="JS197" s="978"/>
      <c r="JT197" s="978"/>
      <c r="JU197" s="978"/>
      <c r="JV197" s="978"/>
      <c r="JW197" s="978"/>
      <c r="JX197" s="978"/>
      <c r="JY197" s="978"/>
      <c r="JZ197" s="978"/>
      <c r="KA197" s="978"/>
      <c r="KB197" s="978"/>
      <c r="KC197" s="978"/>
      <c r="KD197" s="978"/>
      <c r="KE197" s="978"/>
      <c r="KF197" s="978"/>
      <c r="KG197" s="978"/>
      <c r="KH197" s="978"/>
      <c r="KI197" s="978"/>
      <c r="KJ197" s="978"/>
      <c r="KK197" s="978"/>
      <c r="KL197" s="978"/>
      <c r="KM197" s="978"/>
      <c r="KN197" s="978"/>
      <c r="KO197" s="978"/>
      <c r="KP197" s="978"/>
      <c r="KQ197" s="978"/>
      <c r="KR197" s="978"/>
      <c r="KS197" s="978"/>
      <c r="KT197" s="978"/>
      <c r="KU197" s="978"/>
      <c r="KV197" s="978"/>
      <c r="KW197" s="978"/>
      <c r="KX197" s="978"/>
      <c r="KY197" s="978"/>
      <c r="KZ197" s="978"/>
      <c r="LA197" s="978"/>
      <c r="LB197" s="978"/>
      <c r="LC197" s="978"/>
      <c r="LD197" s="978"/>
      <c r="LE197" s="978"/>
      <c r="LF197" s="978"/>
      <c r="LG197" s="979"/>
    </row>
    <row r="198" spans="2:322">
      <c r="B198" s="92" t="s">
        <v>77</v>
      </c>
      <c r="C198" s="92">
        <f>SUM(C199:C202)</f>
        <v>0</v>
      </c>
      <c r="D198" s="171">
        <f t="shared" ref="D198:AA198" si="561">SUM(D199:D202)</f>
        <v>0</v>
      </c>
      <c r="E198" s="171">
        <f t="shared" si="561"/>
        <v>0</v>
      </c>
      <c r="F198" s="171">
        <f t="shared" si="561"/>
        <v>0</v>
      </c>
      <c r="G198" s="171">
        <f t="shared" si="561"/>
        <v>0</v>
      </c>
      <c r="H198" s="171">
        <f t="shared" si="561"/>
        <v>0</v>
      </c>
      <c r="I198" s="171">
        <f t="shared" si="561"/>
        <v>25</v>
      </c>
      <c r="J198" s="171">
        <f t="shared" si="561"/>
        <v>25</v>
      </c>
      <c r="K198" s="171">
        <f t="shared" si="561"/>
        <v>0</v>
      </c>
      <c r="L198" s="171">
        <f t="shared" si="561"/>
        <v>0</v>
      </c>
      <c r="M198" s="171">
        <f t="shared" si="561"/>
        <v>5.43</v>
      </c>
      <c r="N198" s="171">
        <f t="shared" si="561"/>
        <v>0</v>
      </c>
      <c r="O198" s="171">
        <f t="shared" si="561"/>
        <v>5.43</v>
      </c>
      <c r="P198" s="171">
        <f t="shared" si="561"/>
        <v>0</v>
      </c>
      <c r="Q198" s="171">
        <f t="shared" si="561"/>
        <v>0</v>
      </c>
      <c r="R198" s="171">
        <f t="shared" si="561"/>
        <v>11227.34</v>
      </c>
      <c r="S198" s="171">
        <f t="shared" si="561"/>
        <v>0</v>
      </c>
      <c r="T198" s="171">
        <f t="shared" si="561"/>
        <v>0</v>
      </c>
      <c r="U198" s="171">
        <f t="shared" si="561"/>
        <v>11227.34</v>
      </c>
      <c r="V198" s="171">
        <f t="shared" si="561"/>
        <v>0</v>
      </c>
      <c r="W198" s="171">
        <f t="shared" si="561"/>
        <v>0</v>
      </c>
      <c r="X198" s="171">
        <f t="shared" si="561"/>
        <v>8230</v>
      </c>
      <c r="Y198" s="171">
        <f t="shared" si="561"/>
        <v>0</v>
      </c>
      <c r="Z198" s="171">
        <f t="shared" si="561"/>
        <v>0</v>
      </c>
      <c r="AA198" s="171">
        <f t="shared" si="561"/>
        <v>8230</v>
      </c>
      <c r="AB198" s="233">
        <f t="shared" ref="AB198:AM198" si="562">SUM(AB199:AB202)</f>
        <v>19487.77</v>
      </c>
      <c r="AC198" s="171">
        <f t="shared" si="562"/>
        <v>0</v>
      </c>
      <c r="AD198" s="240">
        <f t="shared" si="562"/>
        <v>0</v>
      </c>
      <c r="AE198" s="240">
        <f t="shared" si="562"/>
        <v>0</v>
      </c>
      <c r="AF198" s="240">
        <f t="shared" si="562"/>
        <v>0</v>
      </c>
      <c r="AG198" s="498">
        <f t="shared" si="562"/>
        <v>0</v>
      </c>
      <c r="AH198" s="197">
        <f t="shared" si="562"/>
        <v>0</v>
      </c>
      <c r="AI198" s="171">
        <f t="shared" si="562"/>
        <v>0</v>
      </c>
      <c r="AJ198" s="240">
        <f t="shared" si="562"/>
        <v>0</v>
      </c>
      <c r="AK198" s="240">
        <f t="shared" si="562"/>
        <v>0</v>
      </c>
      <c r="AL198" s="240">
        <f t="shared" si="562"/>
        <v>0</v>
      </c>
      <c r="AM198" s="498">
        <f t="shared" si="562"/>
        <v>0</v>
      </c>
      <c r="AN198" s="197">
        <f t="shared" ref="AN198:AZ198" si="563">SUM(AN199:AN202)</f>
        <v>0</v>
      </c>
      <c r="AO198" s="171">
        <f t="shared" si="563"/>
        <v>0</v>
      </c>
      <c r="AP198" s="240">
        <f t="shared" si="563"/>
        <v>0</v>
      </c>
      <c r="AQ198" s="240">
        <f t="shared" si="563"/>
        <v>0</v>
      </c>
      <c r="AR198" s="240">
        <f t="shared" si="563"/>
        <v>0</v>
      </c>
      <c r="AS198" s="498">
        <f t="shared" si="563"/>
        <v>0</v>
      </c>
      <c r="AT198" s="197">
        <f t="shared" si="563"/>
        <v>0</v>
      </c>
      <c r="AU198" s="171">
        <f t="shared" si="563"/>
        <v>0</v>
      </c>
      <c r="AV198" s="240">
        <f t="shared" si="563"/>
        <v>0</v>
      </c>
      <c r="AW198" s="240">
        <f t="shared" si="563"/>
        <v>0</v>
      </c>
      <c r="AX198" s="240">
        <f t="shared" si="563"/>
        <v>0</v>
      </c>
      <c r="AY198" s="498">
        <f t="shared" si="563"/>
        <v>0</v>
      </c>
      <c r="AZ198" s="197">
        <f t="shared" si="563"/>
        <v>0</v>
      </c>
      <c r="BA198" s="233">
        <f t="shared" ref="BA198:LG198" si="564">SUM(BA199:BA203)</f>
        <v>0</v>
      </c>
      <c r="BB198" s="171">
        <f t="shared" si="564"/>
        <v>0</v>
      </c>
      <c r="BC198" s="240">
        <f t="shared" si="564"/>
        <v>0</v>
      </c>
      <c r="BD198" s="240">
        <f t="shared" si="564"/>
        <v>0</v>
      </c>
      <c r="BE198" s="240">
        <f t="shared" si="564"/>
        <v>0</v>
      </c>
      <c r="BF198" s="498">
        <f t="shared" si="564"/>
        <v>-878.73</v>
      </c>
      <c r="BG198" s="197">
        <f t="shared" si="564"/>
        <v>-878.73</v>
      </c>
      <c r="BH198" s="171">
        <f t="shared" si="564"/>
        <v>0</v>
      </c>
      <c r="BI198" s="240">
        <f t="shared" si="564"/>
        <v>0</v>
      </c>
      <c r="BJ198" s="240">
        <f t="shared" si="564"/>
        <v>0</v>
      </c>
      <c r="BK198" s="240">
        <f t="shared" si="564"/>
        <v>0</v>
      </c>
      <c r="BL198" s="498">
        <f t="shared" si="564"/>
        <v>0</v>
      </c>
      <c r="BM198" s="197">
        <f t="shared" si="564"/>
        <v>0</v>
      </c>
      <c r="BN198" s="171">
        <f t="shared" si="564"/>
        <v>0</v>
      </c>
      <c r="BO198" s="240">
        <f t="shared" si="564"/>
        <v>0</v>
      </c>
      <c r="BP198" s="240">
        <f t="shared" si="564"/>
        <v>0</v>
      </c>
      <c r="BQ198" s="498">
        <f t="shared" si="564"/>
        <v>0</v>
      </c>
      <c r="BR198" s="197">
        <f t="shared" si="564"/>
        <v>0</v>
      </c>
      <c r="BS198" s="171">
        <f t="shared" si="564"/>
        <v>0</v>
      </c>
      <c r="BT198" s="240">
        <f t="shared" si="564"/>
        <v>0</v>
      </c>
      <c r="BU198" s="240">
        <f t="shared" si="564"/>
        <v>0</v>
      </c>
      <c r="BV198" s="240">
        <f t="shared" si="564"/>
        <v>0</v>
      </c>
      <c r="BW198" s="498">
        <f t="shared" si="564"/>
        <v>0</v>
      </c>
      <c r="BX198" s="197">
        <f t="shared" si="564"/>
        <v>0</v>
      </c>
      <c r="BY198" s="171">
        <f>SUM(BY199:BY203)</f>
        <v>0</v>
      </c>
      <c r="BZ198" s="240">
        <f>SUM(BZ199:BZ203)</f>
        <v>0</v>
      </c>
      <c r="CA198" s="197">
        <f t="shared" si="564"/>
        <v>0</v>
      </c>
      <c r="CB198" s="233">
        <f t="shared" si="564"/>
        <v>-878.73</v>
      </c>
      <c r="CC198" s="171">
        <f t="shared" si="564"/>
        <v>0</v>
      </c>
      <c r="CD198" s="240">
        <f t="shared" si="564"/>
        <v>5.68</v>
      </c>
      <c r="CE198" s="240">
        <f t="shared" si="564"/>
        <v>0</v>
      </c>
      <c r="CF198" s="197">
        <f t="shared" si="564"/>
        <v>5.68</v>
      </c>
      <c r="CG198" s="171">
        <f t="shared" si="564"/>
        <v>0</v>
      </c>
      <c r="CH198" s="240">
        <f t="shared" si="564"/>
        <v>0</v>
      </c>
      <c r="CI198" s="240">
        <f t="shared" si="564"/>
        <v>0</v>
      </c>
      <c r="CJ198" s="498">
        <f t="shared" si="564"/>
        <v>0</v>
      </c>
      <c r="CK198" s="197">
        <f t="shared" si="564"/>
        <v>0</v>
      </c>
      <c r="CL198" s="171">
        <f t="shared" si="564"/>
        <v>0</v>
      </c>
      <c r="CM198" s="240">
        <f t="shared" si="564"/>
        <v>0</v>
      </c>
      <c r="CN198" s="240">
        <f t="shared" si="564"/>
        <v>0</v>
      </c>
      <c r="CO198" s="240">
        <f t="shared" si="564"/>
        <v>0</v>
      </c>
      <c r="CP198" s="498">
        <f t="shared" si="564"/>
        <v>0</v>
      </c>
      <c r="CQ198" s="197">
        <f t="shared" si="564"/>
        <v>0</v>
      </c>
      <c r="CR198" s="171">
        <f t="shared" si="564"/>
        <v>0</v>
      </c>
      <c r="CS198" s="240">
        <f t="shared" si="564"/>
        <v>0</v>
      </c>
      <c r="CT198" s="240">
        <f t="shared" si="564"/>
        <v>0</v>
      </c>
      <c r="CU198" s="240">
        <f t="shared" si="564"/>
        <v>0</v>
      </c>
      <c r="CV198" s="498">
        <f t="shared" si="564"/>
        <v>0</v>
      </c>
      <c r="CW198" s="197">
        <f t="shared" si="564"/>
        <v>0</v>
      </c>
      <c r="CX198" s="171">
        <f t="shared" si="564"/>
        <v>0</v>
      </c>
      <c r="CY198" s="240">
        <f>SUM(CY199:CY203)</f>
        <v>0</v>
      </c>
      <c r="CZ198" s="240">
        <f t="shared" si="564"/>
        <v>0</v>
      </c>
      <c r="DA198" s="498">
        <f t="shared" si="564"/>
        <v>0</v>
      </c>
      <c r="DB198" s="197">
        <f t="shared" si="564"/>
        <v>0</v>
      </c>
      <c r="DC198" s="233">
        <f t="shared" si="564"/>
        <v>5.68</v>
      </c>
      <c r="DD198" s="171">
        <f t="shared" si="564"/>
        <v>0</v>
      </c>
      <c r="DE198" s="240">
        <f t="shared" si="564"/>
        <v>0</v>
      </c>
      <c r="DF198" s="240">
        <f t="shared" si="564"/>
        <v>0</v>
      </c>
      <c r="DG198" s="240">
        <f t="shared" si="564"/>
        <v>0</v>
      </c>
      <c r="DH198" s="240">
        <f t="shared" si="564"/>
        <v>0</v>
      </c>
      <c r="DI198" s="197">
        <f t="shared" si="564"/>
        <v>0</v>
      </c>
      <c r="DJ198" s="171">
        <f t="shared" si="564"/>
        <v>0</v>
      </c>
      <c r="DK198" s="240">
        <f t="shared" si="564"/>
        <v>0</v>
      </c>
      <c r="DL198" s="240">
        <f t="shared" si="564"/>
        <v>0</v>
      </c>
      <c r="DM198" s="240">
        <f t="shared" si="564"/>
        <v>0</v>
      </c>
      <c r="DN198" s="498">
        <f t="shared" si="564"/>
        <v>0</v>
      </c>
      <c r="DO198" s="197">
        <f t="shared" si="564"/>
        <v>0</v>
      </c>
      <c r="DP198" s="171">
        <f t="shared" si="564"/>
        <v>0</v>
      </c>
      <c r="DQ198" s="240">
        <f t="shared" si="564"/>
        <v>0</v>
      </c>
      <c r="DR198" s="240">
        <f t="shared" si="564"/>
        <v>-31236.06</v>
      </c>
      <c r="DS198" s="240">
        <f t="shared" si="564"/>
        <v>0</v>
      </c>
      <c r="DT198" s="498">
        <f t="shared" si="564"/>
        <v>0</v>
      </c>
      <c r="DU198" s="197">
        <f t="shared" si="564"/>
        <v>-31236.06</v>
      </c>
      <c r="DV198" s="171">
        <f t="shared" si="564"/>
        <v>0</v>
      </c>
      <c r="DW198" s="240">
        <f t="shared" si="564"/>
        <v>0</v>
      </c>
      <c r="DX198" s="240">
        <f t="shared" si="564"/>
        <v>30238.52</v>
      </c>
      <c r="DY198" s="240">
        <f t="shared" si="564"/>
        <v>0</v>
      </c>
      <c r="DZ198" s="498">
        <f t="shared" si="564"/>
        <v>0</v>
      </c>
      <c r="EA198" s="197">
        <f t="shared" si="564"/>
        <v>30238.52</v>
      </c>
      <c r="EB198" s="233">
        <f t="shared" si="564"/>
        <v>-997.54000000000087</v>
      </c>
      <c r="EC198" s="171">
        <f t="shared" si="564"/>
        <v>0</v>
      </c>
      <c r="ED198" s="240">
        <f t="shared" si="564"/>
        <v>0</v>
      </c>
      <c r="EE198" s="240">
        <f t="shared" si="564"/>
        <v>0</v>
      </c>
      <c r="EF198" s="240">
        <f t="shared" si="564"/>
        <v>0</v>
      </c>
      <c r="EG198" s="498">
        <f t="shared" si="564"/>
        <v>0</v>
      </c>
      <c r="EH198" s="197">
        <f t="shared" si="564"/>
        <v>0</v>
      </c>
      <c r="EI198" s="171">
        <f t="shared" si="564"/>
        <v>0</v>
      </c>
      <c r="EJ198" s="240">
        <f t="shared" si="564"/>
        <v>0</v>
      </c>
      <c r="EK198" s="240">
        <f t="shared" si="564"/>
        <v>0</v>
      </c>
      <c r="EL198" s="240">
        <f t="shared" si="564"/>
        <v>0</v>
      </c>
      <c r="EM198" s="498">
        <f t="shared" si="564"/>
        <v>0</v>
      </c>
      <c r="EN198" s="197">
        <f t="shared" si="564"/>
        <v>0</v>
      </c>
      <c r="EO198" s="171">
        <f t="shared" si="564"/>
        <v>0</v>
      </c>
      <c r="EP198" s="240">
        <f t="shared" si="564"/>
        <v>0</v>
      </c>
      <c r="EQ198" s="240">
        <f t="shared" si="564"/>
        <v>0</v>
      </c>
      <c r="ER198" s="240">
        <f t="shared" si="564"/>
        <v>0</v>
      </c>
      <c r="ES198" s="498">
        <f t="shared" si="564"/>
        <v>0</v>
      </c>
      <c r="ET198" s="197">
        <f t="shared" si="564"/>
        <v>0</v>
      </c>
      <c r="EU198" s="171">
        <f t="shared" si="564"/>
        <v>0</v>
      </c>
      <c r="EV198" s="240">
        <f t="shared" si="564"/>
        <v>0</v>
      </c>
      <c r="EW198" s="240">
        <f t="shared" si="564"/>
        <v>0</v>
      </c>
      <c r="EX198" s="240">
        <f t="shared" si="564"/>
        <v>0</v>
      </c>
      <c r="EY198" s="240">
        <f t="shared" si="564"/>
        <v>0</v>
      </c>
      <c r="EZ198" s="240">
        <f>SUM(EZ199:EZ203)</f>
        <v>0</v>
      </c>
      <c r="FA198" s="498">
        <f t="shared" si="564"/>
        <v>0</v>
      </c>
      <c r="FB198" s="197">
        <f t="shared" si="564"/>
        <v>0</v>
      </c>
      <c r="FC198" s="233">
        <f t="shared" si="564"/>
        <v>0</v>
      </c>
      <c r="FD198" s="171">
        <f t="shared" si="564"/>
        <v>0</v>
      </c>
      <c r="FE198" s="240">
        <f t="shared" si="564"/>
        <v>0</v>
      </c>
      <c r="FF198" s="498">
        <f t="shared" si="564"/>
        <v>5.57</v>
      </c>
      <c r="FG198" s="197">
        <f t="shared" si="564"/>
        <v>5.57</v>
      </c>
      <c r="FH198" s="171">
        <f t="shared" si="564"/>
        <v>0</v>
      </c>
      <c r="FI198" s="240">
        <f t="shared" si="564"/>
        <v>-40595.399188092015</v>
      </c>
      <c r="FJ198" s="240">
        <f t="shared" si="564"/>
        <v>0</v>
      </c>
      <c r="FK198" s="240">
        <f t="shared" si="564"/>
        <v>0</v>
      </c>
      <c r="FL198" s="498">
        <f t="shared" si="564"/>
        <v>41781.979999999996</v>
      </c>
      <c r="FM198" s="197">
        <f t="shared" si="564"/>
        <v>1186.5808119079811</v>
      </c>
      <c r="FN198" s="171">
        <f t="shared" si="564"/>
        <v>0</v>
      </c>
      <c r="FO198" s="240">
        <f t="shared" si="564"/>
        <v>0</v>
      </c>
      <c r="FP198" s="240">
        <f t="shared" si="564"/>
        <v>0</v>
      </c>
      <c r="FQ198" s="240">
        <f t="shared" si="564"/>
        <v>0</v>
      </c>
      <c r="FR198" s="197">
        <f t="shared" si="564"/>
        <v>0</v>
      </c>
      <c r="FS198" s="171">
        <f t="shared" si="564"/>
        <v>0</v>
      </c>
      <c r="FT198" s="240">
        <f t="shared" si="564"/>
        <v>0</v>
      </c>
      <c r="FU198" s="240">
        <f t="shared" si="564"/>
        <v>0</v>
      </c>
      <c r="FV198" s="240">
        <f t="shared" si="564"/>
        <v>0</v>
      </c>
      <c r="FW198" s="498">
        <f t="shared" si="564"/>
        <v>0</v>
      </c>
      <c r="FX198" s="197">
        <f t="shared" si="564"/>
        <v>0</v>
      </c>
      <c r="FY198" s="171">
        <f t="shared" ref="FY198:GD198" si="565">SUM(FY199:FY203)</f>
        <v>0</v>
      </c>
      <c r="FZ198" s="240">
        <f t="shared" si="565"/>
        <v>0</v>
      </c>
      <c r="GA198" s="240">
        <f t="shared" si="565"/>
        <v>0</v>
      </c>
      <c r="GB198" s="240">
        <f t="shared" si="565"/>
        <v>0</v>
      </c>
      <c r="GC198" s="498">
        <f t="shared" si="565"/>
        <v>0</v>
      </c>
      <c r="GD198" s="197">
        <f t="shared" si="565"/>
        <v>0</v>
      </c>
      <c r="GE198" s="233">
        <f t="shared" si="564"/>
        <v>1192.1508119079811</v>
      </c>
      <c r="GF198" s="171">
        <f t="shared" si="564"/>
        <v>0</v>
      </c>
      <c r="GG198" s="240">
        <f t="shared" si="564"/>
        <v>0</v>
      </c>
      <c r="GH198" s="240">
        <f t="shared" si="564"/>
        <v>0</v>
      </c>
      <c r="GI198" s="240">
        <f t="shared" si="564"/>
        <v>0</v>
      </c>
      <c r="GJ198" s="240">
        <f t="shared" si="564"/>
        <v>0</v>
      </c>
      <c r="GK198" s="197">
        <f t="shared" si="564"/>
        <v>0</v>
      </c>
      <c r="GL198" s="171">
        <f t="shared" si="564"/>
        <v>0</v>
      </c>
      <c r="GM198" s="240">
        <f t="shared" si="564"/>
        <v>0</v>
      </c>
      <c r="GN198" s="240">
        <f t="shared" si="564"/>
        <v>0</v>
      </c>
      <c r="GO198" s="498">
        <f t="shared" si="564"/>
        <v>0</v>
      </c>
      <c r="GP198" s="197">
        <f t="shared" si="564"/>
        <v>0</v>
      </c>
      <c r="GQ198" s="171">
        <f t="shared" si="564"/>
        <v>0</v>
      </c>
      <c r="GR198" s="240">
        <f t="shared" si="564"/>
        <v>0</v>
      </c>
      <c r="GS198" s="240">
        <f t="shared" si="564"/>
        <v>0</v>
      </c>
      <c r="GT198" s="240">
        <f t="shared" si="564"/>
        <v>0</v>
      </c>
      <c r="GU198" s="498">
        <f t="shared" si="564"/>
        <v>0</v>
      </c>
      <c r="GV198" s="197">
        <f t="shared" si="564"/>
        <v>0</v>
      </c>
      <c r="GW198" s="171">
        <f t="shared" si="564"/>
        <v>0</v>
      </c>
      <c r="GX198" s="240">
        <f t="shared" si="564"/>
        <v>0</v>
      </c>
      <c r="GY198" s="240">
        <f t="shared" si="564"/>
        <v>0</v>
      </c>
      <c r="GZ198" s="240">
        <f>SUM(GZ199:GZ203)</f>
        <v>0</v>
      </c>
      <c r="HA198" s="240">
        <f>SUM(HA199:HA203)</f>
        <v>0</v>
      </c>
      <c r="HB198" s="498">
        <f t="shared" si="564"/>
        <v>0</v>
      </c>
      <c r="HC198" s="197">
        <f t="shared" si="564"/>
        <v>0</v>
      </c>
      <c r="HD198" s="233">
        <f t="shared" si="564"/>
        <v>0</v>
      </c>
      <c r="HE198" s="171">
        <f t="shared" si="564"/>
        <v>0</v>
      </c>
      <c r="HF198" s="240">
        <f t="shared" si="564"/>
        <v>0</v>
      </c>
      <c r="HG198" s="240">
        <f t="shared" si="564"/>
        <v>0</v>
      </c>
      <c r="HH198" s="240">
        <f t="shared" si="564"/>
        <v>0</v>
      </c>
      <c r="HI198" s="197">
        <f t="shared" si="564"/>
        <v>0</v>
      </c>
      <c r="HJ198" s="171">
        <f t="shared" si="564"/>
        <v>0</v>
      </c>
      <c r="HK198" s="240">
        <f t="shared" si="564"/>
        <v>0</v>
      </c>
      <c r="HL198" s="240">
        <f t="shared" si="564"/>
        <v>0</v>
      </c>
      <c r="HM198" s="240">
        <f t="shared" si="564"/>
        <v>0</v>
      </c>
      <c r="HN198" s="498">
        <f t="shared" si="564"/>
        <v>0</v>
      </c>
      <c r="HO198" s="197">
        <f t="shared" si="564"/>
        <v>0</v>
      </c>
      <c r="HP198" s="171">
        <f t="shared" si="564"/>
        <v>0</v>
      </c>
      <c r="HQ198" s="240">
        <f t="shared" si="564"/>
        <v>0</v>
      </c>
      <c r="HR198" s="240">
        <f t="shared" si="564"/>
        <v>0</v>
      </c>
      <c r="HS198" s="240">
        <f t="shared" si="564"/>
        <v>0</v>
      </c>
      <c r="HT198" s="498">
        <f t="shared" si="564"/>
        <v>140</v>
      </c>
      <c r="HU198" s="197">
        <f t="shared" si="564"/>
        <v>140</v>
      </c>
      <c r="HV198" s="171">
        <f t="shared" si="564"/>
        <v>53693.760000000002</v>
      </c>
      <c r="HW198" s="240">
        <f t="shared" si="564"/>
        <v>0</v>
      </c>
      <c r="HX198" s="240">
        <f t="shared" si="564"/>
        <v>0</v>
      </c>
      <c r="HY198" s="197">
        <f t="shared" si="564"/>
        <v>53693.760000000002</v>
      </c>
      <c r="HZ198" s="171">
        <f t="shared" si="564"/>
        <v>0</v>
      </c>
      <c r="IA198" s="240">
        <f>SUM(IA199:IA203)</f>
        <v>0</v>
      </c>
      <c r="IB198" s="498">
        <f>SUM(IB199:IB203)</f>
        <v>0</v>
      </c>
      <c r="IC198" s="197">
        <f t="shared" si="564"/>
        <v>0</v>
      </c>
      <c r="ID198" s="233">
        <f t="shared" si="564"/>
        <v>53833.760000000002</v>
      </c>
      <c r="IE198" s="171">
        <f t="shared" si="564"/>
        <v>0</v>
      </c>
      <c r="IF198" s="498">
        <f t="shared" si="564"/>
        <v>5.47</v>
      </c>
      <c r="IG198" s="197">
        <f t="shared" si="564"/>
        <v>5.47</v>
      </c>
      <c r="IH198" s="171">
        <f t="shared" si="564"/>
        <v>0</v>
      </c>
      <c r="II198" s="240">
        <f t="shared" si="564"/>
        <v>0</v>
      </c>
      <c r="IJ198" s="240">
        <f t="shared" si="564"/>
        <v>0</v>
      </c>
      <c r="IK198" s="240">
        <f t="shared" si="564"/>
        <v>0</v>
      </c>
      <c r="IL198" s="498">
        <f t="shared" si="564"/>
        <v>0</v>
      </c>
      <c r="IM198" s="197">
        <f t="shared" si="564"/>
        <v>0</v>
      </c>
      <c r="IN198" s="171">
        <f t="shared" si="564"/>
        <v>0</v>
      </c>
      <c r="IO198" s="240">
        <f t="shared" si="564"/>
        <v>0</v>
      </c>
      <c r="IP198" s="498">
        <f t="shared" si="564"/>
        <v>160025</v>
      </c>
      <c r="IQ198" s="197">
        <f t="shared" si="564"/>
        <v>160025</v>
      </c>
      <c r="IR198" s="171">
        <f t="shared" si="564"/>
        <v>0</v>
      </c>
      <c r="IS198" s="240">
        <f t="shared" si="564"/>
        <v>0</v>
      </c>
      <c r="IT198" s="240">
        <f t="shared" si="564"/>
        <v>0</v>
      </c>
      <c r="IU198" s="240">
        <f t="shared" si="564"/>
        <v>195402.5</v>
      </c>
      <c r="IV198" s="498">
        <f t="shared" si="564"/>
        <v>0</v>
      </c>
      <c r="IW198" s="197">
        <f t="shared" si="564"/>
        <v>195402.5</v>
      </c>
      <c r="IX198" s="171">
        <f t="shared" si="564"/>
        <v>0</v>
      </c>
      <c r="IY198" s="240">
        <f t="shared" si="564"/>
        <v>0</v>
      </c>
      <c r="IZ198" s="240">
        <f t="shared" si="564"/>
        <v>0</v>
      </c>
      <c r="JA198" s="240">
        <f t="shared" si="564"/>
        <v>0</v>
      </c>
      <c r="JB198" s="498">
        <f t="shared" si="564"/>
        <v>0</v>
      </c>
      <c r="JC198" s="197">
        <f t="shared" si="564"/>
        <v>0</v>
      </c>
      <c r="JD198" s="233">
        <f t="shared" si="564"/>
        <v>355432.97</v>
      </c>
      <c r="JE198" s="171">
        <f t="shared" si="564"/>
        <v>0</v>
      </c>
      <c r="JF198" s="240">
        <f t="shared" si="564"/>
        <v>0</v>
      </c>
      <c r="JG198" s="240">
        <f t="shared" si="564"/>
        <v>0</v>
      </c>
      <c r="JH198" s="240">
        <f t="shared" si="564"/>
        <v>0</v>
      </c>
      <c r="JI198" s="498">
        <f t="shared" si="564"/>
        <v>0</v>
      </c>
      <c r="JJ198" s="197">
        <f t="shared" si="564"/>
        <v>0</v>
      </c>
      <c r="JK198" s="428">
        <f t="shared" si="564"/>
        <v>0</v>
      </c>
      <c r="JL198" s="429">
        <f t="shared" si="564"/>
        <v>0</v>
      </c>
      <c r="JM198" s="429">
        <f t="shared" si="564"/>
        <v>0</v>
      </c>
      <c r="JN198" s="429">
        <f t="shared" si="564"/>
        <v>0</v>
      </c>
      <c r="JO198" s="430">
        <f t="shared" si="564"/>
        <v>0</v>
      </c>
      <c r="JP198" s="147">
        <f t="shared" si="564"/>
        <v>0</v>
      </c>
      <c r="JQ198" s="428">
        <f t="shared" si="564"/>
        <v>0</v>
      </c>
      <c r="JR198" s="429">
        <f t="shared" si="564"/>
        <v>0</v>
      </c>
      <c r="JS198" s="429">
        <f t="shared" si="564"/>
        <v>0</v>
      </c>
      <c r="JT198" s="429">
        <f t="shared" si="564"/>
        <v>0</v>
      </c>
      <c r="JU198" s="430">
        <f t="shared" si="564"/>
        <v>0</v>
      </c>
      <c r="JV198" s="147">
        <f t="shared" si="564"/>
        <v>0</v>
      </c>
      <c r="JW198" s="428">
        <f t="shared" si="564"/>
        <v>0</v>
      </c>
      <c r="JX198" s="429">
        <f t="shared" si="564"/>
        <v>0</v>
      </c>
      <c r="JY198" s="429">
        <f t="shared" si="564"/>
        <v>0</v>
      </c>
      <c r="JZ198" s="429">
        <f t="shared" si="564"/>
        <v>0</v>
      </c>
      <c r="KA198" s="429"/>
      <c r="KB198" s="430">
        <f t="shared" si="564"/>
        <v>0</v>
      </c>
      <c r="KC198" s="147">
        <f t="shared" si="564"/>
        <v>0</v>
      </c>
      <c r="KD198" s="147" t="e">
        <f t="shared" si="564"/>
        <v>#REF!</v>
      </c>
      <c r="KE198" s="428">
        <f t="shared" si="564"/>
        <v>0</v>
      </c>
      <c r="KF198" s="429">
        <f t="shared" si="564"/>
        <v>0</v>
      </c>
      <c r="KG198" s="429">
        <f t="shared" si="564"/>
        <v>0</v>
      </c>
      <c r="KH198" s="429">
        <f t="shared" si="564"/>
        <v>0</v>
      </c>
      <c r="KI198" s="430">
        <f t="shared" si="564"/>
        <v>0</v>
      </c>
      <c r="KJ198" s="147">
        <f t="shared" si="564"/>
        <v>0</v>
      </c>
      <c r="KK198" s="428">
        <f t="shared" si="564"/>
        <v>0</v>
      </c>
      <c r="KL198" s="429">
        <f t="shared" si="564"/>
        <v>0</v>
      </c>
      <c r="KM198" s="429">
        <f t="shared" si="564"/>
        <v>0</v>
      </c>
      <c r="KN198" s="429">
        <f t="shared" si="564"/>
        <v>0</v>
      </c>
      <c r="KO198" s="430">
        <f t="shared" si="564"/>
        <v>0</v>
      </c>
      <c r="KP198" s="147">
        <f t="shared" si="564"/>
        <v>0</v>
      </c>
      <c r="KQ198" s="428">
        <f t="shared" si="564"/>
        <v>0</v>
      </c>
      <c r="KR198" s="429">
        <f t="shared" ref="KR198:LE198" si="566">SUM(KR199:KR203)</f>
        <v>0</v>
      </c>
      <c r="KS198" s="429">
        <f t="shared" si="566"/>
        <v>0</v>
      </c>
      <c r="KT198" s="429">
        <f t="shared" si="566"/>
        <v>0</v>
      </c>
      <c r="KU198" s="430">
        <f t="shared" si="566"/>
        <v>0</v>
      </c>
      <c r="KV198" s="147">
        <f t="shared" si="566"/>
        <v>0</v>
      </c>
      <c r="KW198" s="428">
        <f t="shared" si="566"/>
        <v>0</v>
      </c>
      <c r="KX198" s="429">
        <f t="shared" si="566"/>
        <v>0</v>
      </c>
      <c r="KY198" s="429">
        <f t="shared" si="566"/>
        <v>0</v>
      </c>
      <c r="KZ198" s="429">
        <f t="shared" si="566"/>
        <v>0</v>
      </c>
      <c r="LA198" s="430">
        <f t="shared" si="566"/>
        <v>0</v>
      </c>
      <c r="LB198" s="147">
        <f t="shared" si="566"/>
        <v>0</v>
      </c>
      <c r="LC198" s="428">
        <f t="shared" si="566"/>
        <v>0</v>
      </c>
      <c r="LD198" s="429">
        <f t="shared" si="566"/>
        <v>0</v>
      </c>
      <c r="LE198" s="430">
        <f t="shared" si="566"/>
        <v>0</v>
      </c>
      <c r="LF198" s="147">
        <f>SUM(LF199:LF203)</f>
        <v>0</v>
      </c>
      <c r="LG198" s="147">
        <f t="shared" si="564"/>
        <v>0</v>
      </c>
    </row>
    <row r="199" spans="2:322" s="1" customFormat="1">
      <c r="B199" s="96" t="s">
        <v>98</v>
      </c>
      <c r="C199" s="96"/>
      <c r="D199" s="202"/>
      <c r="E199" s="203"/>
      <c r="F199" s="205"/>
      <c r="G199" s="205"/>
      <c r="H199" s="205"/>
      <c r="I199" s="204"/>
      <c r="J199" s="202">
        <f>SUM(E199:I199)</f>
        <v>0</v>
      </c>
      <c r="K199" s="203"/>
      <c r="L199" s="205"/>
      <c r="M199" s="205"/>
      <c r="N199" s="204"/>
      <c r="O199" s="202">
        <f>SUM(K199:N199)</f>
        <v>0</v>
      </c>
      <c r="P199" s="203"/>
      <c r="Q199" s="177"/>
      <c r="R199" s="205"/>
      <c r="S199" s="205"/>
      <c r="T199" s="204"/>
      <c r="U199" s="202">
        <f>SUM(P199:T199)</f>
        <v>0</v>
      </c>
      <c r="V199" s="203"/>
      <c r="W199" s="205"/>
      <c r="X199" s="205"/>
      <c r="Y199" s="205"/>
      <c r="Z199" s="204"/>
      <c r="AA199" s="202">
        <f>SUM(V199:Z199)</f>
        <v>0</v>
      </c>
      <c r="AB199" s="208">
        <f>AA199+U199+O199+J199+D199</f>
        <v>0</v>
      </c>
      <c r="AC199" s="202"/>
      <c r="AD199" s="244"/>
      <c r="AE199" s="244"/>
      <c r="AF199" s="244"/>
      <c r="AG199" s="245"/>
      <c r="AH199" s="208">
        <f>SUM(AC199:AG199)</f>
        <v>0</v>
      </c>
      <c r="AI199" s="203"/>
      <c r="AJ199" s="205"/>
      <c r="AK199" s="205"/>
      <c r="AL199" s="205"/>
      <c r="AM199" s="204"/>
      <c r="AN199" s="208">
        <f>SUM(AI199:AM199)</f>
        <v>0</v>
      </c>
      <c r="AO199" s="203"/>
      <c r="AP199" s="205"/>
      <c r="AQ199" s="205"/>
      <c r="AR199" s="205"/>
      <c r="AS199" s="204"/>
      <c r="AT199" s="208">
        <f>SUM(AO199:AS199)</f>
        <v>0</v>
      </c>
      <c r="AU199" s="203"/>
      <c r="AV199" s="205"/>
      <c r="AW199" s="205"/>
      <c r="AX199" s="205"/>
      <c r="AY199" s="204"/>
      <c r="AZ199" s="208">
        <f>SUM(AU199:AY199)</f>
        <v>0</v>
      </c>
      <c r="BA199" s="208">
        <f>AZ199+AT199+AN199+AH199</f>
        <v>0</v>
      </c>
      <c r="BB199" s="202"/>
      <c r="BC199" s="244"/>
      <c r="BD199" s="244"/>
      <c r="BE199" s="244"/>
      <c r="BF199" s="245"/>
      <c r="BG199" s="208">
        <f>SUM(BB199:BF199)</f>
        <v>0</v>
      </c>
      <c r="BH199" s="203"/>
      <c r="BI199" s="205"/>
      <c r="BJ199" s="205"/>
      <c r="BK199" s="205"/>
      <c r="BL199" s="204"/>
      <c r="BM199" s="208">
        <f>SUM(BH199:BL199)</f>
        <v>0</v>
      </c>
      <c r="BN199" s="203"/>
      <c r="BO199" s="205"/>
      <c r="BP199" s="205"/>
      <c r="BQ199" s="204"/>
      <c r="BR199" s="208">
        <f>SUM(BN199:BQ199)</f>
        <v>0</v>
      </c>
      <c r="BS199" s="203"/>
      <c r="BT199" s="205"/>
      <c r="BU199" s="205"/>
      <c r="BV199" s="205"/>
      <c r="BW199" s="204"/>
      <c r="BX199" s="208">
        <f>SUM(BS199:BW199)</f>
        <v>0</v>
      </c>
      <c r="BY199" s="203"/>
      <c r="BZ199" s="205"/>
      <c r="CA199" s="208">
        <f>SUM(BY199:BZ199)</f>
        <v>0</v>
      </c>
      <c r="CB199" s="208">
        <f>CA199+BX199+BR199+BM199+BG199</f>
        <v>0</v>
      </c>
      <c r="CC199" s="203"/>
      <c r="CD199" s="205"/>
      <c r="CE199" s="205"/>
      <c r="CF199" s="208">
        <f>SUM(CC199:CE199)</f>
        <v>0</v>
      </c>
      <c r="CG199" s="203"/>
      <c r="CH199" s="205"/>
      <c r="CI199" s="205"/>
      <c r="CJ199" s="204"/>
      <c r="CK199" s="208">
        <f>SUM(CG199:CJ199)</f>
        <v>0</v>
      </c>
      <c r="CL199" s="203"/>
      <c r="CM199" s="205"/>
      <c r="CN199" s="205"/>
      <c r="CO199" s="205"/>
      <c r="CP199" s="204"/>
      <c r="CQ199" s="208"/>
      <c r="CR199" s="203"/>
      <c r="CS199" s="205"/>
      <c r="CT199" s="205"/>
      <c r="CU199" s="205"/>
      <c r="CV199" s="204"/>
      <c r="CW199" s="208">
        <f>SUM(CR199:CV199)</f>
        <v>0</v>
      </c>
      <c r="CX199" s="203"/>
      <c r="CY199" s="205"/>
      <c r="CZ199" s="205"/>
      <c r="DA199" s="204"/>
      <c r="DB199" s="208"/>
      <c r="DC199" s="208">
        <f>DB199+CW199+CQ199+CK199+CF199</f>
        <v>0</v>
      </c>
      <c r="DD199" s="203"/>
      <c r="DE199" s="205"/>
      <c r="DF199" s="205"/>
      <c r="DG199" s="205"/>
      <c r="DH199" s="205"/>
      <c r="DI199" s="208">
        <f>SUM(DD199:DH199)</f>
        <v>0</v>
      </c>
      <c r="DJ199" s="203"/>
      <c r="DK199" s="205"/>
      <c r="DL199" s="205"/>
      <c r="DM199" s="205"/>
      <c r="DN199" s="204"/>
      <c r="DO199" s="208">
        <f>SUM(DJ199:DN199)</f>
        <v>0</v>
      </c>
      <c r="DP199" s="203"/>
      <c r="DQ199" s="205"/>
      <c r="DR199" s="205"/>
      <c r="DS199" s="205"/>
      <c r="DT199" s="204"/>
      <c r="DU199" s="208">
        <f>SUM(DP199:DT199)</f>
        <v>0</v>
      </c>
      <c r="DV199" s="203"/>
      <c r="DW199" s="205"/>
      <c r="DX199" s="205">
        <v>30238.52</v>
      </c>
      <c r="DY199" s="205"/>
      <c r="DZ199" s="204"/>
      <c r="EA199" s="208">
        <f>SUM(DV199:DZ199)</f>
        <v>30238.52</v>
      </c>
      <c r="EB199" s="208">
        <f>DI199+DO199+DU199+EA199</f>
        <v>30238.52</v>
      </c>
      <c r="EC199" s="203"/>
      <c r="ED199" s="205"/>
      <c r="EE199" s="205"/>
      <c r="EF199" s="205"/>
      <c r="EG199" s="204"/>
      <c r="EH199" s="208">
        <f>SUM(EC199:EG199)</f>
        <v>0</v>
      </c>
      <c r="EI199" s="203"/>
      <c r="EJ199" s="205"/>
      <c r="EK199" s="205"/>
      <c r="EL199" s="205"/>
      <c r="EM199" s="204"/>
      <c r="EN199" s="208">
        <f>SUM(EI199:EM199)</f>
        <v>0</v>
      </c>
      <c r="EO199" s="203"/>
      <c r="EP199" s="205"/>
      <c r="EQ199" s="205"/>
      <c r="ER199" s="205"/>
      <c r="ES199" s="204"/>
      <c r="ET199" s="208">
        <f>SUM(EO199:ES199)</f>
        <v>0</v>
      </c>
      <c r="EU199" s="203"/>
      <c r="EV199" s="205"/>
      <c r="EW199" s="205"/>
      <c r="EX199" s="205"/>
      <c r="EY199" s="205"/>
      <c r="EZ199" s="205"/>
      <c r="FA199" s="204"/>
      <c r="FB199" s="208">
        <f>SUM(EU199:FA199)</f>
        <v>0</v>
      </c>
      <c r="FC199" s="208">
        <f>FB199+ET199+EN199+EH199</f>
        <v>0</v>
      </c>
      <c r="FD199" s="203"/>
      <c r="FE199" s="205"/>
      <c r="FF199" s="204"/>
      <c r="FG199" s="208">
        <f>SUM(FD199:FF199)</f>
        <v>0</v>
      </c>
      <c r="FH199" s="203"/>
      <c r="FI199" s="205"/>
      <c r="FJ199" s="205"/>
      <c r="FK199" s="205"/>
      <c r="FL199" s="204">
        <f>3478.53+6116.18+26038.21+6149.06</f>
        <v>41781.979999999996</v>
      </c>
      <c r="FM199" s="208">
        <f>SUM(FH199:FL199)</f>
        <v>41781.979999999996</v>
      </c>
      <c r="FN199" s="203"/>
      <c r="FO199" s="205"/>
      <c r="FP199" s="205"/>
      <c r="FQ199" s="205"/>
      <c r="FR199" s="208">
        <f>SUM(FN199:FQ199)</f>
        <v>0</v>
      </c>
      <c r="FS199" s="203"/>
      <c r="FT199" s="205"/>
      <c r="FU199" s="205"/>
      <c r="FV199" s="205"/>
      <c r="FW199" s="204"/>
      <c r="FX199" s="208">
        <f>SUM(FS199:FW199)</f>
        <v>0</v>
      </c>
      <c r="FY199" s="203"/>
      <c r="FZ199" s="205"/>
      <c r="GA199" s="205"/>
      <c r="GB199" s="205"/>
      <c r="GC199" s="204"/>
      <c r="GD199" s="208">
        <f>SUM(FY199:GC199)</f>
        <v>0</v>
      </c>
      <c r="GE199" s="208">
        <f>FG199+FM199+FR199+FX199+GD199</f>
        <v>41781.979999999996</v>
      </c>
      <c r="GF199" s="203"/>
      <c r="GG199" s="205"/>
      <c r="GH199" s="205"/>
      <c r="GI199" s="205"/>
      <c r="GJ199" s="205"/>
      <c r="GK199" s="208">
        <f>SUM(GF199:GJ199)</f>
        <v>0</v>
      </c>
      <c r="GL199" s="203"/>
      <c r="GM199" s="205"/>
      <c r="GN199" s="205"/>
      <c r="GO199" s="204"/>
      <c r="GP199" s="208">
        <f>SUM(GL199:GO199)</f>
        <v>0</v>
      </c>
      <c r="GQ199" s="203"/>
      <c r="GR199" s="205"/>
      <c r="GS199" s="205"/>
      <c r="GT199" s="205"/>
      <c r="GU199" s="204"/>
      <c r="GV199" s="208">
        <f>SUM(GQ199:GU199)</f>
        <v>0</v>
      </c>
      <c r="GW199" s="202"/>
      <c r="GX199" s="244"/>
      <c r="GY199" s="244"/>
      <c r="GZ199" s="244"/>
      <c r="HA199" s="244"/>
      <c r="HB199" s="245"/>
      <c r="HC199" s="208">
        <f>SUM(GW199:HB199)</f>
        <v>0</v>
      </c>
      <c r="HD199" s="208">
        <f>GK199+GP199+GV199+HC199</f>
        <v>0</v>
      </c>
      <c r="HE199" s="203"/>
      <c r="HF199" s="205"/>
      <c r="HG199" s="205"/>
      <c r="HH199" s="205"/>
      <c r="HI199" s="208">
        <f>SUM(HE199:HH199)</f>
        <v>0</v>
      </c>
      <c r="HJ199" s="203"/>
      <c r="HK199" s="205"/>
      <c r="HL199" s="205"/>
      <c r="HM199" s="205"/>
      <c r="HN199" s="204"/>
      <c r="HO199" s="208">
        <f>SUM(HJ199:HN199)</f>
        <v>0</v>
      </c>
      <c r="HP199" s="203"/>
      <c r="HQ199" s="205"/>
      <c r="HR199" s="205"/>
      <c r="HS199" s="205"/>
      <c r="HT199" s="204"/>
      <c r="HU199" s="208">
        <f>SUM(HP199:HT199)</f>
        <v>0</v>
      </c>
      <c r="HV199" s="203">
        <f>5250.99+4329.75+6621.22+5687.23+11053.28+7624.32+13126.97</f>
        <v>53693.760000000002</v>
      </c>
      <c r="HW199" s="205"/>
      <c r="HX199" s="205"/>
      <c r="HY199" s="208">
        <f t="shared" ref="HY199:HY201" si="567">SUM(HV199:HX199)</f>
        <v>53693.760000000002</v>
      </c>
      <c r="HZ199" s="203"/>
      <c r="IA199" s="205"/>
      <c r="IB199" s="204"/>
      <c r="IC199" s="208">
        <f t="shared" ref="IC199:IC201" si="568">SUM(HZ199:IB199)</f>
        <v>0</v>
      </c>
      <c r="ID199" s="208">
        <f>HI199+HO199+HU199+HY199+IC199</f>
        <v>53693.760000000002</v>
      </c>
      <c r="IE199" s="203"/>
      <c r="IF199" s="204"/>
      <c r="IG199" s="208">
        <f>SUM(IE199:IF199)</f>
        <v>0</v>
      </c>
      <c r="IH199" s="203"/>
      <c r="II199" s="205"/>
      <c r="IJ199" s="205"/>
      <c r="IK199" s="205"/>
      <c r="IL199" s="204"/>
      <c r="IM199" s="208">
        <f>SUM(IH199:IL199)</f>
        <v>0</v>
      </c>
      <c r="IN199" s="203"/>
      <c r="IO199" s="205"/>
      <c r="IP199" s="204"/>
      <c r="IQ199" s="208">
        <f>SUM(IN199:IP199)</f>
        <v>0</v>
      </c>
      <c r="IR199" s="203"/>
      <c r="IS199" s="205"/>
      <c r="IT199" s="205"/>
      <c r="IU199" s="205">
        <f>15935.31+8514.52+10630.18+14305.96+12187.63+13249.96+12022.01+12564.29+8585.88+5634.96+10192.04+14381.98+9804.21+9655.88+15453.18+10921.88+11362.63</f>
        <v>195402.5</v>
      </c>
      <c r="IV199" s="204"/>
      <c r="IW199" s="208">
        <f>SUM(IR199:IV199)</f>
        <v>195402.5</v>
      </c>
      <c r="IX199" s="202"/>
      <c r="IY199" s="244"/>
      <c r="IZ199" s="244"/>
      <c r="JA199" s="244"/>
      <c r="JB199" s="245"/>
      <c r="JC199" s="208">
        <f>SUM(IX199:JB199)</f>
        <v>0</v>
      </c>
      <c r="JD199" s="208">
        <f>JC199+IW199+IQ199+IM199+IG199</f>
        <v>195402.5</v>
      </c>
      <c r="JE199" s="202"/>
      <c r="JF199" s="244"/>
      <c r="JG199" s="244"/>
      <c r="JH199" s="244"/>
      <c r="JI199" s="245"/>
      <c r="JJ199" s="208">
        <f>SUM(JE199:JI199)</f>
        <v>0</v>
      </c>
      <c r="JK199" s="203"/>
      <c r="JL199" s="205"/>
      <c r="JM199" s="205"/>
      <c r="JN199" s="205"/>
      <c r="JO199" s="204"/>
      <c r="JP199" s="208">
        <f>SUM(JK199:JO199)</f>
        <v>0</v>
      </c>
      <c r="JQ199" s="203"/>
      <c r="JR199" s="205"/>
      <c r="JS199" s="205"/>
      <c r="JT199" s="205"/>
      <c r="JU199" s="204"/>
      <c r="JV199" s="208">
        <f>SUM(JQ199:JU199)</f>
        <v>0</v>
      </c>
      <c r="JW199" s="203"/>
      <c r="JX199" s="205"/>
      <c r="JY199" s="205"/>
      <c r="JZ199" s="205"/>
      <c r="KA199" s="205"/>
      <c r="KB199" s="204"/>
      <c r="KC199" s="208">
        <f>SUM(JW199:KB199)</f>
        <v>0</v>
      </c>
      <c r="KD199" s="208" t="e">
        <f>Etranger!#REF!</f>
        <v>#REF!</v>
      </c>
      <c r="KE199" s="203"/>
      <c r="KF199" s="205"/>
      <c r="KG199" s="205"/>
      <c r="KH199" s="205"/>
      <c r="KI199" s="204"/>
      <c r="KJ199" s="208">
        <f>SUM(KE199:KI199)</f>
        <v>0</v>
      </c>
      <c r="KK199" s="203"/>
      <c r="KL199" s="205"/>
      <c r="KM199" s="205"/>
      <c r="KN199" s="205"/>
      <c r="KO199" s="204"/>
      <c r="KP199" s="208">
        <f>SUM(KK199:KO199)</f>
        <v>0</v>
      </c>
      <c r="KQ199" s="202"/>
      <c r="KR199" s="244"/>
      <c r="KS199" s="244"/>
      <c r="KT199" s="244"/>
      <c r="KU199" s="245"/>
      <c r="KV199" s="208">
        <f>SUM(KQ199:KU199)</f>
        <v>0</v>
      </c>
      <c r="KW199" s="202"/>
      <c r="KX199" s="244"/>
      <c r="KY199" s="244"/>
      <c r="KZ199" s="244"/>
      <c r="LA199" s="245"/>
      <c r="LB199" s="308">
        <f>SUM(KW199:LA199)</f>
        <v>0</v>
      </c>
      <c r="LC199" s="202"/>
      <c r="LD199" s="244"/>
      <c r="LE199" s="245"/>
      <c r="LF199" s="208">
        <f>SUM(LC199:LE199)</f>
        <v>0</v>
      </c>
      <c r="LG199" s="208">
        <f>KJ199+KP199+KV199+LB199+LF199</f>
        <v>0</v>
      </c>
      <c r="LJ199" s="206"/>
    </row>
    <row r="200" spans="2:322">
      <c r="B200" s="93" t="s">
        <v>78</v>
      </c>
      <c r="C200" s="93"/>
      <c r="D200" s="181"/>
      <c r="E200" s="167"/>
      <c r="F200" s="177"/>
      <c r="G200" s="177"/>
      <c r="H200" s="177"/>
      <c r="I200" s="178"/>
      <c r="J200" s="202">
        <f>SUM(E200:I200)</f>
        <v>0</v>
      </c>
      <c r="K200" s="167"/>
      <c r="L200" s="177"/>
      <c r="M200" s="177"/>
      <c r="N200" s="178"/>
      <c r="O200" s="202">
        <f>SUM(K200:N200)</f>
        <v>0</v>
      </c>
      <c r="P200" s="167"/>
      <c r="Q200" s="177"/>
      <c r="R200" s="177">
        <v>11227.34</v>
      </c>
      <c r="S200" s="177"/>
      <c r="T200" s="178"/>
      <c r="U200" s="202">
        <f>SUM(P200:T200)</f>
        <v>11227.34</v>
      </c>
      <c r="V200" s="167"/>
      <c r="W200" s="177"/>
      <c r="X200" s="177">
        <v>8230</v>
      </c>
      <c r="Y200" s="177"/>
      <c r="Z200" s="178"/>
      <c r="AA200" s="202">
        <f>SUM(V200:Z200)</f>
        <v>8230</v>
      </c>
      <c r="AB200" s="208">
        <f>AA200+U200+O200+J200+D200</f>
        <v>19457.34</v>
      </c>
      <c r="AC200" s="202"/>
      <c r="AD200" s="244"/>
      <c r="AE200" s="244"/>
      <c r="AF200" s="244"/>
      <c r="AG200" s="245"/>
      <c r="AH200" s="208">
        <f>SUM(AC200:AG200)</f>
        <v>0</v>
      </c>
      <c r="AI200" s="203"/>
      <c r="AJ200" s="205"/>
      <c r="AK200" s="205"/>
      <c r="AL200" s="205"/>
      <c r="AM200" s="204"/>
      <c r="AN200" s="208">
        <f>SUM(AI200:AM200)</f>
        <v>0</v>
      </c>
      <c r="AO200" s="203"/>
      <c r="AP200" s="205"/>
      <c r="AQ200" s="205"/>
      <c r="AR200" s="205"/>
      <c r="AS200" s="204"/>
      <c r="AT200" s="208">
        <f>SUM(AO200:AS200)</f>
        <v>0</v>
      </c>
      <c r="AU200" s="203"/>
      <c r="AV200" s="205"/>
      <c r="AW200" s="205"/>
      <c r="AX200" s="205"/>
      <c r="AY200" s="204"/>
      <c r="AZ200" s="208">
        <f>SUM(AU200:AY200)</f>
        <v>0</v>
      </c>
      <c r="BA200" s="208">
        <f>AZ200+AT200+AN200+AH200</f>
        <v>0</v>
      </c>
      <c r="BB200" s="202"/>
      <c r="BC200" s="244"/>
      <c r="BD200" s="244"/>
      <c r="BE200" s="244"/>
      <c r="BF200" s="245"/>
      <c r="BG200" s="208">
        <f>SUM(BB200:BF200)</f>
        <v>0</v>
      </c>
      <c r="BH200" s="203"/>
      <c r="BI200" s="205"/>
      <c r="BJ200" s="205"/>
      <c r="BK200" s="205"/>
      <c r="BL200" s="204"/>
      <c r="BM200" s="208">
        <f>SUM(BH200:BL200)</f>
        <v>0</v>
      </c>
      <c r="BN200" s="203"/>
      <c r="BO200" s="205"/>
      <c r="BP200" s="205"/>
      <c r="BQ200" s="204"/>
      <c r="BR200" s="208">
        <f>SUM(BN200:BQ200)</f>
        <v>0</v>
      </c>
      <c r="BS200" s="203"/>
      <c r="BT200" s="205"/>
      <c r="BU200" s="205"/>
      <c r="BV200" s="205"/>
      <c r="BW200" s="204"/>
      <c r="BX200" s="208">
        <f>SUM(BS200:BW200)</f>
        <v>0</v>
      </c>
      <c r="BY200" s="203"/>
      <c r="BZ200" s="205"/>
      <c r="CA200" s="208">
        <f>SUM(BY200:BZ200)</f>
        <v>0</v>
      </c>
      <c r="CB200" s="208">
        <f>CA200+BX200+BR200+BM200+BG200</f>
        <v>0</v>
      </c>
      <c r="CC200" s="242"/>
      <c r="CD200" s="224"/>
      <c r="CE200" s="224"/>
      <c r="CF200" s="208">
        <f>SUM(CC200:CE200)</f>
        <v>0</v>
      </c>
      <c r="CG200" s="242"/>
      <c r="CH200" s="224"/>
      <c r="CI200" s="224"/>
      <c r="CJ200" s="243"/>
      <c r="CK200" s="208">
        <f>SUM(CG200:CJ200)</f>
        <v>0</v>
      </c>
      <c r="CL200" s="203"/>
      <c r="CM200" s="205"/>
      <c r="CN200" s="205"/>
      <c r="CO200" s="205"/>
      <c r="CP200" s="204"/>
      <c r="CQ200" s="168"/>
      <c r="CR200" s="242"/>
      <c r="CS200" s="224"/>
      <c r="CT200" s="224"/>
      <c r="CU200" s="224"/>
      <c r="CV200" s="243"/>
      <c r="CW200" s="208">
        <f>SUM(CR200:CV200)</f>
        <v>0</v>
      </c>
      <c r="CX200" s="242"/>
      <c r="CY200" s="224"/>
      <c r="CZ200" s="224"/>
      <c r="DA200" s="243"/>
      <c r="DB200" s="168"/>
      <c r="DC200" s="208">
        <f>DB200+CW200+CQ200+CK200+CF200</f>
        <v>0</v>
      </c>
      <c r="DD200" s="203"/>
      <c r="DE200" s="205"/>
      <c r="DF200" s="205"/>
      <c r="DG200" s="205"/>
      <c r="DH200" s="205"/>
      <c r="DI200" s="208">
        <f>SUM(DD200:DH200)</f>
        <v>0</v>
      </c>
      <c r="DJ200" s="203"/>
      <c r="DK200" s="205"/>
      <c r="DL200" s="205"/>
      <c r="DM200" s="205"/>
      <c r="DN200" s="204"/>
      <c r="DO200" s="208">
        <f>SUM(DJ200:DN200)</f>
        <v>0</v>
      </c>
      <c r="DP200" s="203"/>
      <c r="DQ200" s="205"/>
      <c r="DR200" s="205"/>
      <c r="DS200" s="205"/>
      <c r="DT200" s="204"/>
      <c r="DU200" s="208">
        <f>SUM(DP200:DT200)</f>
        <v>0</v>
      </c>
      <c r="DV200" s="203"/>
      <c r="DW200" s="205"/>
      <c r="DX200" s="205"/>
      <c r="DY200" s="205"/>
      <c r="DZ200" s="204"/>
      <c r="EA200" s="208">
        <f>SUM(DV200:DZ200)</f>
        <v>0</v>
      </c>
      <c r="EB200" s="208">
        <f>DI200+DO200+DU200+EA200</f>
        <v>0</v>
      </c>
      <c r="EC200" s="203"/>
      <c r="ED200" s="205"/>
      <c r="EE200" s="205"/>
      <c r="EF200" s="205"/>
      <c r="EG200" s="204"/>
      <c r="EH200" s="208">
        <f>SUM(EC200:EG200)</f>
        <v>0</v>
      </c>
      <c r="EI200" s="203"/>
      <c r="EJ200" s="205"/>
      <c r="EK200" s="205"/>
      <c r="EL200" s="205"/>
      <c r="EM200" s="204"/>
      <c r="EN200" s="208">
        <f>SUM(EI200:EM200)</f>
        <v>0</v>
      </c>
      <c r="EO200" s="203"/>
      <c r="EP200" s="205"/>
      <c r="EQ200" s="205"/>
      <c r="ER200" s="205"/>
      <c r="ES200" s="204"/>
      <c r="ET200" s="208">
        <f>SUM(EO200:ES200)</f>
        <v>0</v>
      </c>
      <c r="EU200" s="203"/>
      <c r="EV200" s="205"/>
      <c r="EW200" s="205"/>
      <c r="EX200" s="205"/>
      <c r="EY200" s="205"/>
      <c r="EZ200" s="205"/>
      <c r="FA200" s="204"/>
      <c r="FB200" s="208">
        <f>SUM(EU200:FA200)</f>
        <v>0</v>
      </c>
      <c r="FC200" s="208">
        <f>FB200+ET200+EN200+EH200</f>
        <v>0</v>
      </c>
      <c r="FD200" s="203"/>
      <c r="FE200" s="205"/>
      <c r="FF200" s="204"/>
      <c r="FG200" s="208">
        <f>SUM(FD200:FF200)</f>
        <v>0</v>
      </c>
      <c r="FH200" s="203"/>
      <c r="FI200" s="205"/>
      <c r="FJ200" s="205"/>
      <c r="FK200" s="205"/>
      <c r="FL200" s="204"/>
      <c r="FM200" s="208">
        <f>SUM(FH200:FL200)</f>
        <v>0</v>
      </c>
      <c r="FN200" s="203"/>
      <c r="FO200" s="205"/>
      <c r="FP200" s="205"/>
      <c r="FQ200" s="205"/>
      <c r="FR200" s="208">
        <f>SUM(FN200:FQ200)</f>
        <v>0</v>
      </c>
      <c r="FS200" s="203"/>
      <c r="FT200" s="205"/>
      <c r="FU200" s="205"/>
      <c r="FV200" s="205"/>
      <c r="FW200" s="204"/>
      <c r="FX200" s="208">
        <f>SUM(FS200:FW200)</f>
        <v>0</v>
      </c>
      <c r="FY200" s="203"/>
      <c r="FZ200" s="205"/>
      <c r="GA200" s="205"/>
      <c r="GB200" s="205"/>
      <c r="GC200" s="204"/>
      <c r="GD200" s="208">
        <f>SUM(FY200:GC200)</f>
        <v>0</v>
      </c>
      <c r="GE200" s="208">
        <f>FG200+FM200+FR200+FX200+GD200</f>
        <v>0</v>
      </c>
      <c r="GF200" s="203"/>
      <c r="GG200" s="205"/>
      <c r="GH200" s="205"/>
      <c r="GI200" s="205"/>
      <c r="GJ200" s="205"/>
      <c r="GK200" s="208">
        <f>SUM(GF200:GJ200)</f>
        <v>0</v>
      </c>
      <c r="GL200" s="203"/>
      <c r="GM200" s="205"/>
      <c r="GN200" s="205"/>
      <c r="GO200" s="204"/>
      <c r="GP200" s="208">
        <f>SUM(GL200:GO200)</f>
        <v>0</v>
      </c>
      <c r="GQ200" s="203"/>
      <c r="GR200" s="205"/>
      <c r="GS200" s="205"/>
      <c r="GT200" s="205"/>
      <c r="GU200" s="204"/>
      <c r="GV200" s="208">
        <f>SUM(GQ200:GU200)</f>
        <v>0</v>
      </c>
      <c r="GW200" s="202"/>
      <c r="GX200" s="244"/>
      <c r="GY200" s="244"/>
      <c r="GZ200" s="244"/>
      <c r="HA200" s="244"/>
      <c r="HB200" s="245"/>
      <c r="HC200" s="208">
        <f>SUM(GW200:HB200)</f>
        <v>0</v>
      </c>
      <c r="HD200" s="208">
        <f>GK200+GP200+GV200+HC200</f>
        <v>0</v>
      </c>
      <c r="HE200" s="203"/>
      <c r="HF200" s="205"/>
      <c r="HG200" s="205"/>
      <c r="HH200" s="205"/>
      <c r="HI200" s="208">
        <f>SUM(HE200:HH200)</f>
        <v>0</v>
      </c>
      <c r="HJ200" s="203"/>
      <c r="HK200" s="205"/>
      <c r="HL200" s="205"/>
      <c r="HM200" s="205"/>
      <c r="HN200" s="204"/>
      <c r="HO200" s="208">
        <f>SUM(HJ200:HN200)</f>
        <v>0</v>
      </c>
      <c r="HP200" s="203"/>
      <c r="HQ200" s="205"/>
      <c r="HR200" s="205"/>
      <c r="HS200" s="205"/>
      <c r="HT200" s="204"/>
      <c r="HU200" s="208">
        <f>SUM(HP200:HT200)</f>
        <v>0</v>
      </c>
      <c r="HV200" s="203"/>
      <c r="HW200" s="205"/>
      <c r="HX200" s="205"/>
      <c r="HY200" s="208">
        <f t="shared" si="567"/>
        <v>0</v>
      </c>
      <c r="HZ200" s="203"/>
      <c r="IA200" s="205"/>
      <c r="IB200" s="204"/>
      <c r="IC200" s="208">
        <f t="shared" si="568"/>
        <v>0</v>
      </c>
      <c r="ID200" s="208">
        <f>HI200+HO200+HU200+HY200+IC200</f>
        <v>0</v>
      </c>
      <c r="IE200" s="203"/>
      <c r="IF200" s="204"/>
      <c r="IG200" s="208">
        <f>SUM(IE200:IF200)</f>
        <v>0</v>
      </c>
      <c r="IH200" s="203"/>
      <c r="II200" s="205"/>
      <c r="IJ200" s="205"/>
      <c r="IK200" s="205"/>
      <c r="IL200" s="204"/>
      <c r="IM200" s="208">
        <f>SUM(IH200:IL200)</f>
        <v>0</v>
      </c>
      <c r="IN200" s="203"/>
      <c r="IO200" s="205"/>
      <c r="IP200" s="204"/>
      <c r="IQ200" s="208">
        <f>SUM(IN200:IP200)</f>
        <v>0</v>
      </c>
      <c r="IR200" s="203"/>
      <c r="IS200" s="205"/>
      <c r="IT200" s="205"/>
      <c r="IU200" s="205"/>
      <c r="IV200" s="204"/>
      <c r="IW200" s="208">
        <f>SUM(IR200:IV200)</f>
        <v>0</v>
      </c>
      <c r="IX200" s="202"/>
      <c r="IY200" s="244"/>
      <c r="IZ200" s="244"/>
      <c r="JA200" s="244"/>
      <c r="JB200" s="245"/>
      <c r="JC200" s="208">
        <f>SUM(IX200:JB200)</f>
        <v>0</v>
      </c>
      <c r="JD200" s="208">
        <f t="shared" ref="JD200:JD202" si="569">JC200+IW200+IQ200+IM200+IG200</f>
        <v>0</v>
      </c>
      <c r="JE200" s="202"/>
      <c r="JF200" s="244"/>
      <c r="JG200" s="244"/>
      <c r="JH200" s="244"/>
      <c r="JI200" s="245"/>
      <c r="JJ200" s="208">
        <f>SUM(JE200:JI200)</f>
        <v>0</v>
      </c>
      <c r="JK200" s="203"/>
      <c r="JL200" s="205"/>
      <c r="JM200" s="205"/>
      <c r="JN200" s="205"/>
      <c r="JO200" s="204"/>
      <c r="JP200" s="208">
        <f>SUM(JK200:JO200)</f>
        <v>0</v>
      </c>
      <c r="JQ200" s="203"/>
      <c r="JR200" s="205"/>
      <c r="JS200" s="205"/>
      <c r="JT200" s="205"/>
      <c r="JU200" s="204"/>
      <c r="JV200" s="208">
        <f>SUM(JQ200:JU200)</f>
        <v>0</v>
      </c>
      <c r="JW200" s="203"/>
      <c r="JX200" s="205"/>
      <c r="JY200" s="205"/>
      <c r="JZ200" s="205"/>
      <c r="KA200" s="205"/>
      <c r="KB200" s="204"/>
      <c r="KC200" s="208">
        <f>SUM(JW200:KB200)</f>
        <v>0</v>
      </c>
      <c r="KD200" s="208">
        <f>JJ200+JP200+JV200+KC200</f>
        <v>0</v>
      </c>
      <c r="KE200" s="203"/>
      <c r="KF200" s="205"/>
      <c r="KG200" s="205"/>
      <c r="KH200" s="205"/>
      <c r="KI200" s="204"/>
      <c r="KJ200" s="208">
        <f>SUM(KE200:KI200)</f>
        <v>0</v>
      </c>
      <c r="KK200" s="203"/>
      <c r="KL200" s="205"/>
      <c r="KM200" s="205"/>
      <c r="KN200" s="205"/>
      <c r="KO200" s="204"/>
      <c r="KP200" s="208">
        <f>SUM(KK200:KO200)</f>
        <v>0</v>
      </c>
      <c r="KQ200" s="202"/>
      <c r="KR200" s="244"/>
      <c r="KS200" s="244"/>
      <c r="KT200" s="244"/>
      <c r="KU200" s="245"/>
      <c r="KV200" s="208">
        <f>SUM(KQ200:KU200)</f>
        <v>0</v>
      </c>
      <c r="KW200" s="202"/>
      <c r="KX200" s="244"/>
      <c r="KY200" s="244"/>
      <c r="KZ200" s="244"/>
      <c r="LA200" s="245"/>
      <c r="LB200" s="308">
        <f>SUM(KW200:LA200)</f>
        <v>0</v>
      </c>
      <c r="LC200" s="202"/>
      <c r="LD200" s="244"/>
      <c r="LE200" s="245"/>
      <c r="LF200" s="208">
        <f>SUM(LC200:LE200)</f>
        <v>0</v>
      </c>
      <c r="LG200" s="208">
        <f>KJ200+KP200+KV200+LB200+LF200</f>
        <v>0</v>
      </c>
    </row>
    <row r="201" spans="2:322">
      <c r="B201" s="93" t="s">
        <v>175</v>
      </c>
      <c r="C201" s="93"/>
      <c r="D201" s="181"/>
      <c r="E201" s="167"/>
      <c r="F201" s="177"/>
      <c r="G201" s="177"/>
      <c r="H201" s="177"/>
      <c r="I201" s="178"/>
      <c r="J201" s="202">
        <f>SUM(E201:I201)</f>
        <v>0</v>
      </c>
      <c r="K201" s="167"/>
      <c r="L201" s="177"/>
      <c r="M201" s="177"/>
      <c r="N201" s="178"/>
      <c r="O201" s="202">
        <f>SUM(K201:N201)</f>
        <v>0</v>
      </c>
      <c r="P201" s="167"/>
      <c r="Q201" s="177"/>
      <c r="R201" s="177"/>
      <c r="S201" s="177"/>
      <c r="T201" s="178"/>
      <c r="U201" s="202">
        <f>SUM(P201:T201)</f>
        <v>0</v>
      </c>
      <c r="V201" s="167"/>
      <c r="W201" s="177"/>
      <c r="X201" s="177"/>
      <c r="Y201" s="177"/>
      <c r="Z201" s="178"/>
      <c r="AA201" s="202">
        <f>SUM(V201:Z201)</f>
        <v>0</v>
      </c>
      <c r="AB201" s="208">
        <f>AA201+U201+O201+J201+D201</f>
        <v>0</v>
      </c>
      <c r="AC201" s="202"/>
      <c r="AD201" s="244"/>
      <c r="AE201" s="244"/>
      <c r="AF201" s="244"/>
      <c r="AG201" s="245"/>
      <c r="AH201" s="208">
        <f>SUM(AC201:AG201)</f>
        <v>0</v>
      </c>
      <c r="AI201" s="203"/>
      <c r="AJ201" s="205"/>
      <c r="AK201" s="205"/>
      <c r="AL201" s="205"/>
      <c r="AM201" s="204"/>
      <c r="AN201" s="208">
        <f>SUM(AI201:AM201)</f>
        <v>0</v>
      </c>
      <c r="AO201" s="203"/>
      <c r="AP201" s="205"/>
      <c r="AQ201" s="205"/>
      <c r="AR201" s="205"/>
      <c r="AS201" s="204"/>
      <c r="AT201" s="208">
        <f>SUM(AO201:AS201)</f>
        <v>0</v>
      </c>
      <c r="AU201" s="203"/>
      <c r="AV201" s="205"/>
      <c r="AW201" s="205"/>
      <c r="AX201" s="205"/>
      <c r="AY201" s="204">
        <v>0</v>
      </c>
      <c r="AZ201" s="208">
        <f>SUM(AU201:AY201)</f>
        <v>0</v>
      </c>
      <c r="BA201" s="208">
        <f>AZ201+AT201+AN201+AH201</f>
        <v>0</v>
      </c>
      <c r="BB201" s="202"/>
      <c r="BC201" s="244"/>
      <c r="BD201" s="244"/>
      <c r="BE201" s="244"/>
      <c r="BF201" s="245">
        <v>-878.73</v>
      </c>
      <c r="BG201" s="208">
        <f>SUM(BB201:BF201)</f>
        <v>-878.73</v>
      </c>
      <c r="BH201" s="203"/>
      <c r="BI201" s="205"/>
      <c r="BJ201" s="205"/>
      <c r="BK201" s="205"/>
      <c r="BL201" s="204"/>
      <c r="BM201" s="208">
        <f>SUM(BH201:BL201)</f>
        <v>0</v>
      </c>
      <c r="BN201" s="203"/>
      <c r="BO201" s="205"/>
      <c r="BP201" s="205"/>
      <c r="BQ201" s="204"/>
      <c r="BR201" s="208">
        <f>SUM(BN201:BQ201)</f>
        <v>0</v>
      </c>
      <c r="BS201" s="203"/>
      <c r="BT201" s="205"/>
      <c r="BU201" s="205"/>
      <c r="BV201" s="205"/>
      <c r="BW201" s="204"/>
      <c r="BX201" s="208">
        <f>SUM(BS201:BW201)</f>
        <v>0</v>
      </c>
      <c r="BY201" s="203"/>
      <c r="BZ201" s="205"/>
      <c r="CA201" s="208">
        <f>SUM(BY201:BZ201)</f>
        <v>0</v>
      </c>
      <c r="CB201" s="208">
        <f>CA201+BX201+BR201+BM201+BG201</f>
        <v>-878.73</v>
      </c>
      <c r="CC201" s="242"/>
      <c r="CD201" s="224"/>
      <c r="CE201" s="224"/>
      <c r="CF201" s="208">
        <f>SUM(CC201:CE201)</f>
        <v>0</v>
      </c>
      <c r="CG201" s="242"/>
      <c r="CH201" s="224"/>
      <c r="CI201" s="224"/>
      <c r="CJ201" s="243"/>
      <c r="CK201" s="208">
        <f>SUM(CG201:CJ201)</f>
        <v>0</v>
      </c>
      <c r="CL201" s="203"/>
      <c r="CM201" s="205"/>
      <c r="CN201" s="205"/>
      <c r="CO201" s="205"/>
      <c r="CP201" s="204"/>
      <c r="CQ201" s="168"/>
      <c r="CR201" s="242"/>
      <c r="CS201" s="224"/>
      <c r="CT201" s="224"/>
      <c r="CU201" s="224"/>
      <c r="CV201" s="243"/>
      <c r="CW201" s="208">
        <f>SUM(CR201:CV201)</f>
        <v>0</v>
      </c>
      <c r="CX201" s="242"/>
      <c r="CY201" s="224"/>
      <c r="CZ201" s="224"/>
      <c r="DA201" s="243"/>
      <c r="DB201" s="168"/>
      <c r="DC201" s="208">
        <f>DB201+CW201+CQ201+CK201+CF201</f>
        <v>0</v>
      </c>
      <c r="DD201" s="203"/>
      <c r="DE201" s="205"/>
      <c r="DF201" s="205"/>
      <c r="DG201" s="205"/>
      <c r="DH201" s="205"/>
      <c r="DI201" s="208">
        <f>SUM(DD201:DH201)</f>
        <v>0</v>
      </c>
      <c r="DJ201" s="203"/>
      <c r="DK201" s="205"/>
      <c r="DL201" s="205"/>
      <c r="DM201" s="205">
        <f>-DM215/1.13</f>
        <v>0</v>
      </c>
      <c r="DN201" s="204"/>
      <c r="DO201" s="208">
        <f>SUM(DJ201:DN201)</f>
        <v>0</v>
      </c>
      <c r="DP201" s="203"/>
      <c r="DQ201" s="205"/>
      <c r="DR201" s="224">
        <v>-31236.06</v>
      </c>
      <c r="DS201" s="205"/>
      <c r="DT201" s="204"/>
      <c r="DU201" s="208">
        <f>SUM(DP201:DT201)</f>
        <v>-31236.06</v>
      </c>
      <c r="DV201" s="203"/>
      <c r="DW201" s="205"/>
      <c r="DX201" s="205"/>
      <c r="DY201" s="205"/>
      <c r="DZ201" s="204"/>
      <c r="EA201" s="208">
        <f>SUM(DV201:DZ201)</f>
        <v>0</v>
      </c>
      <c r="EB201" s="208">
        <f>DI201+DO201+DU201+EA201</f>
        <v>-31236.06</v>
      </c>
      <c r="EC201" s="203"/>
      <c r="ED201" s="205"/>
      <c r="EE201" s="205"/>
      <c r="EF201" s="205"/>
      <c r="EG201" s="204"/>
      <c r="EH201" s="208">
        <f>SUM(EC201:EG201)</f>
        <v>0</v>
      </c>
      <c r="EI201" s="203"/>
      <c r="EJ201" s="205"/>
      <c r="EK201" s="205"/>
      <c r="EL201" s="205"/>
      <c r="EM201" s="204"/>
      <c r="EN201" s="208">
        <f>SUM(EI201:EM201)</f>
        <v>0</v>
      </c>
      <c r="EO201" s="203"/>
      <c r="EP201" s="205"/>
      <c r="EQ201" s="205"/>
      <c r="ER201" s="205"/>
      <c r="ES201" s="204"/>
      <c r="ET201" s="208">
        <f>SUM(EO201:ES201)</f>
        <v>0</v>
      </c>
      <c r="EU201" s="203"/>
      <c r="EV201" s="205"/>
      <c r="EW201" s="205"/>
      <c r="EX201" s="205"/>
      <c r="EY201" s="205"/>
      <c r="EZ201" s="205"/>
      <c r="FA201" s="204"/>
      <c r="FB201" s="208">
        <f>SUM(EU201:FA201)</f>
        <v>0</v>
      </c>
      <c r="FC201" s="208">
        <f>FB201+ET201+EN201+EH201</f>
        <v>0</v>
      </c>
      <c r="FD201" s="203"/>
      <c r="FE201" s="205"/>
      <c r="FF201" s="204"/>
      <c r="FG201" s="208">
        <f>SUM(FD201:FF201)</f>
        <v>0</v>
      </c>
      <c r="FH201" s="203"/>
      <c r="FI201" s="205">
        <f>-45000/1.1085</f>
        <v>-40595.399188092015</v>
      </c>
      <c r="FJ201" s="205"/>
      <c r="FK201" s="205"/>
      <c r="FL201" s="204"/>
      <c r="FM201" s="208">
        <f>SUM(FH201:FL201)</f>
        <v>-40595.399188092015</v>
      </c>
      <c r="FN201" s="203"/>
      <c r="FO201" s="205"/>
      <c r="FP201" s="205"/>
      <c r="FQ201" s="205"/>
      <c r="FR201" s="208">
        <f>SUM(FN201:FQ201)</f>
        <v>0</v>
      </c>
      <c r="FS201" s="203"/>
      <c r="FT201" s="205"/>
      <c r="FU201" s="205"/>
      <c r="FV201" s="205"/>
      <c r="FW201" s="204"/>
      <c r="FX201" s="208">
        <f>SUM(FS201:FW201)</f>
        <v>0</v>
      </c>
      <c r="FY201" s="203"/>
      <c r="FZ201" s="205"/>
      <c r="GA201" s="205"/>
      <c r="GB201" s="205"/>
      <c r="GC201" s="204"/>
      <c r="GD201" s="208">
        <f>SUM(FY201:GC201)</f>
        <v>0</v>
      </c>
      <c r="GE201" s="208">
        <f>FG201+FM201+FR201+FX201+GD201</f>
        <v>-40595.399188092015</v>
      </c>
      <c r="GF201" s="203"/>
      <c r="GG201" s="205"/>
      <c r="GH201" s="205"/>
      <c r="GI201" s="205"/>
      <c r="GJ201" s="205"/>
      <c r="GK201" s="208">
        <f>SUM(GF201:GJ201)</f>
        <v>0</v>
      </c>
      <c r="GL201" s="203"/>
      <c r="GM201" s="205"/>
      <c r="GN201" s="205"/>
      <c r="GO201" s="204"/>
      <c r="GP201" s="208">
        <f>SUM(GL201:GO201)</f>
        <v>0</v>
      </c>
      <c r="GQ201" s="203"/>
      <c r="GR201" s="205"/>
      <c r="GS201" s="205"/>
      <c r="GT201" s="205"/>
      <c r="GU201" s="204"/>
      <c r="GV201" s="208">
        <f>SUM(GQ201:GU201)</f>
        <v>0</v>
      </c>
      <c r="GW201" s="202"/>
      <c r="GX201" s="244"/>
      <c r="GY201" s="244"/>
      <c r="GZ201" s="244"/>
      <c r="HA201" s="244"/>
      <c r="HB201" s="245"/>
      <c r="HC201" s="208">
        <f>SUM(GW201:HB201)</f>
        <v>0</v>
      </c>
      <c r="HD201" s="208">
        <f>GK201+GP201+GV201+HC201</f>
        <v>0</v>
      </c>
      <c r="HE201" s="203"/>
      <c r="HF201" s="205"/>
      <c r="HG201" s="205"/>
      <c r="HH201" s="205"/>
      <c r="HI201" s="208">
        <f>SUM(HE201:HH201)</f>
        <v>0</v>
      </c>
      <c r="HJ201" s="203"/>
      <c r="HK201" s="205"/>
      <c r="HL201" s="205"/>
      <c r="HM201" s="205"/>
      <c r="HN201" s="204"/>
      <c r="HO201" s="208">
        <f>SUM(HJ201:HN201)</f>
        <v>0</v>
      </c>
      <c r="HP201" s="203"/>
      <c r="HQ201" s="205"/>
      <c r="HR201" s="205"/>
      <c r="HS201" s="205"/>
      <c r="HT201" s="204"/>
      <c r="HU201" s="208">
        <f>SUM(HP201:HT201)</f>
        <v>0</v>
      </c>
      <c r="HV201" s="203"/>
      <c r="HW201" s="205"/>
      <c r="HX201" s="205"/>
      <c r="HY201" s="208">
        <f t="shared" si="567"/>
        <v>0</v>
      </c>
      <c r="HZ201" s="203"/>
      <c r="IA201" s="205"/>
      <c r="IB201" s="204"/>
      <c r="IC201" s="208">
        <f t="shared" si="568"/>
        <v>0</v>
      </c>
      <c r="ID201" s="208">
        <f>HI201+HO201+HU201+HY201+IC201</f>
        <v>0</v>
      </c>
      <c r="IE201" s="203"/>
      <c r="IF201" s="204"/>
      <c r="IG201" s="208">
        <f>SUM(IE201:IF201)</f>
        <v>0</v>
      </c>
      <c r="IH201" s="203"/>
      <c r="II201" s="205"/>
      <c r="IJ201" s="205"/>
      <c r="IK201" s="205"/>
      <c r="IL201" s="204"/>
      <c r="IM201" s="208">
        <f>SUM(IH201:IL201)</f>
        <v>0</v>
      </c>
      <c r="IN201" s="203"/>
      <c r="IO201" s="205"/>
      <c r="IP201" s="204">
        <v>160000</v>
      </c>
      <c r="IQ201" s="208">
        <f>SUM(IN201:IP201)</f>
        <v>160000</v>
      </c>
      <c r="IR201" s="203"/>
      <c r="IS201" s="205"/>
      <c r="IT201" s="205"/>
      <c r="IU201" s="205"/>
      <c r="IV201" s="204"/>
      <c r="IW201" s="208">
        <f>SUM(IR201:IV201)</f>
        <v>0</v>
      </c>
      <c r="IX201" s="202"/>
      <c r="IY201" s="244"/>
      <c r="IZ201" s="244"/>
      <c r="JA201" s="244"/>
      <c r="JB201" s="245"/>
      <c r="JC201" s="208">
        <f>SUM(IX201:JB201)</f>
        <v>0</v>
      </c>
      <c r="JD201" s="208">
        <f t="shared" si="569"/>
        <v>160000</v>
      </c>
      <c r="JE201" s="202"/>
      <c r="JF201" s="244"/>
      <c r="JG201" s="244"/>
      <c r="JH201" s="244"/>
      <c r="JI201" s="245"/>
      <c r="JJ201" s="208">
        <f>SUM(JE201:JI201)</f>
        <v>0</v>
      </c>
      <c r="JK201" s="203"/>
      <c r="JL201" s="205"/>
      <c r="JM201" s="205"/>
      <c r="JN201" s="205"/>
      <c r="JO201" s="204"/>
      <c r="JP201" s="208">
        <f>SUM(JK201:JO201)</f>
        <v>0</v>
      </c>
      <c r="JQ201" s="203"/>
      <c r="JR201" s="205"/>
      <c r="JS201" s="205"/>
      <c r="JT201" s="205"/>
      <c r="JU201" s="204"/>
      <c r="JV201" s="208">
        <f>SUM(JQ201:JU201)</f>
        <v>0</v>
      </c>
      <c r="JW201" s="203"/>
      <c r="JX201" s="205"/>
      <c r="JY201" s="205"/>
      <c r="JZ201" s="205"/>
      <c r="KA201" s="205"/>
      <c r="KB201" s="204"/>
      <c r="KC201" s="208">
        <f>SUM(JW201:KB201)</f>
        <v>0</v>
      </c>
      <c r="KD201" s="208">
        <f>JJ201+JP201+JV201+KC201</f>
        <v>0</v>
      </c>
      <c r="KE201" s="203"/>
      <c r="KF201" s="205"/>
      <c r="KG201" s="205"/>
      <c r="KH201" s="205"/>
      <c r="KI201" s="204"/>
      <c r="KJ201" s="208">
        <f>SUM(KE201:KI201)</f>
        <v>0</v>
      </c>
      <c r="KK201" s="203"/>
      <c r="KL201" s="205"/>
      <c r="KM201" s="205"/>
      <c r="KN201" s="205"/>
      <c r="KO201" s="204"/>
      <c r="KP201" s="208">
        <f>SUM(KK201:KO201)</f>
        <v>0</v>
      </c>
      <c r="KQ201" s="202"/>
      <c r="KR201" s="244"/>
      <c r="KS201" s="244"/>
      <c r="KT201" s="244"/>
      <c r="KU201" s="245"/>
      <c r="KV201" s="208">
        <f>SUM(KQ201:KU201)</f>
        <v>0</v>
      </c>
      <c r="KW201" s="202"/>
      <c r="KX201" s="244"/>
      <c r="KY201" s="244"/>
      <c r="KZ201" s="244"/>
      <c r="LA201" s="245"/>
      <c r="LB201" s="308">
        <f>SUM(KW201:LA201)</f>
        <v>0</v>
      </c>
      <c r="LC201" s="202"/>
      <c r="LD201" s="244"/>
      <c r="LE201" s="245"/>
      <c r="LF201" s="208">
        <f>SUM(LC201:LE201)</f>
        <v>0</v>
      </c>
      <c r="LG201" s="208">
        <f>KJ201+KP201+KV201+LB201+LF201</f>
        <v>0</v>
      </c>
    </row>
    <row r="202" spans="2:322">
      <c r="B202" s="93" t="s">
        <v>115</v>
      </c>
      <c r="C202" s="93"/>
      <c r="D202" s="181"/>
      <c r="E202" s="167"/>
      <c r="F202" s="177"/>
      <c r="G202" s="177"/>
      <c r="H202" s="177"/>
      <c r="I202" s="178">
        <v>25</v>
      </c>
      <c r="J202" s="202">
        <f>SUM(E202:I202)</f>
        <v>25</v>
      </c>
      <c r="K202" s="167"/>
      <c r="L202" s="177"/>
      <c r="M202" s="177">
        <v>5.43</v>
      </c>
      <c r="N202" s="178"/>
      <c r="O202" s="202">
        <f>SUM(K202:N202)</f>
        <v>5.43</v>
      </c>
      <c r="P202" s="167"/>
      <c r="Q202" s="177"/>
      <c r="R202" s="177"/>
      <c r="S202" s="177"/>
      <c r="T202" s="178"/>
      <c r="U202" s="202">
        <f>SUM(P202:T202)</f>
        <v>0</v>
      </c>
      <c r="V202" s="167"/>
      <c r="W202" s="177"/>
      <c r="X202" s="177"/>
      <c r="Y202" s="177"/>
      <c r="Z202" s="178"/>
      <c r="AA202" s="202">
        <f>SUM(V202:Z202)</f>
        <v>0</v>
      </c>
      <c r="AB202" s="208">
        <f>AA202+U202+O202+J202+D202</f>
        <v>30.43</v>
      </c>
      <c r="AC202" s="202"/>
      <c r="AD202" s="244"/>
      <c r="AE202" s="244"/>
      <c r="AF202" s="244"/>
      <c r="AG202" s="245"/>
      <c r="AH202" s="208">
        <f>SUM(AC202:AG202)</f>
        <v>0</v>
      </c>
      <c r="AI202" s="203"/>
      <c r="AJ202" s="205"/>
      <c r="AK202" s="205"/>
      <c r="AL202" s="205"/>
      <c r="AM202" s="204"/>
      <c r="AN202" s="208">
        <f>SUM(AI202:AM202)</f>
        <v>0</v>
      </c>
      <c r="AO202" s="203"/>
      <c r="AP202" s="205"/>
      <c r="AQ202" s="205"/>
      <c r="AR202" s="205"/>
      <c r="AS202" s="204"/>
      <c r="AT202" s="208">
        <f>SUM(AO202:AS202)</f>
        <v>0</v>
      </c>
      <c r="AU202" s="203"/>
      <c r="AV202" s="205"/>
      <c r="AW202" s="205"/>
      <c r="AX202" s="205"/>
      <c r="AY202" s="204"/>
      <c r="AZ202" s="208">
        <f>SUM(AU202:AY202)</f>
        <v>0</v>
      </c>
      <c r="BA202" s="208">
        <f>AZ202+AT202+AN202+AH202</f>
        <v>0</v>
      </c>
      <c r="BB202" s="202"/>
      <c r="BC202" s="244"/>
      <c r="BD202" s="244"/>
      <c r="BE202" s="244"/>
      <c r="BF202" s="245"/>
      <c r="BG202" s="208">
        <f>SUM(BB202:BF202)</f>
        <v>0</v>
      </c>
      <c r="BH202" s="203"/>
      <c r="BI202" s="205"/>
      <c r="BJ202" s="205"/>
      <c r="BK202" s="205"/>
      <c r="BL202" s="204"/>
      <c r="BM202" s="208">
        <f>SUM(BH202:BL202)</f>
        <v>0</v>
      </c>
      <c r="BN202" s="203"/>
      <c r="BO202" s="205"/>
      <c r="BP202" s="205"/>
      <c r="BQ202" s="204"/>
      <c r="BR202" s="208">
        <f>SUM(BN202:BQ202)</f>
        <v>0</v>
      </c>
      <c r="BS202" s="203"/>
      <c r="BT202" s="205"/>
      <c r="BU202" s="205"/>
      <c r="BV202" s="205"/>
      <c r="BW202" s="204"/>
      <c r="BX202" s="208">
        <f>SUM(BS202:BW202)</f>
        <v>0</v>
      </c>
      <c r="BY202" s="203"/>
      <c r="BZ202" s="205"/>
      <c r="CA202" s="208">
        <f>SUM(BY202:BZ202)</f>
        <v>0</v>
      </c>
      <c r="CB202" s="208">
        <f>CA202+BX202+BR202+BM202+BG202</f>
        <v>0</v>
      </c>
      <c r="CC202" s="242"/>
      <c r="CD202" s="224">
        <v>5.68</v>
      </c>
      <c r="CE202" s="224"/>
      <c r="CF202" s="208">
        <f>SUM(CC202:CE202)</f>
        <v>5.68</v>
      </c>
      <c r="CG202" s="242"/>
      <c r="CH202" s="224"/>
      <c r="CI202" s="224"/>
      <c r="CJ202" s="243"/>
      <c r="CK202" s="208">
        <f>SUM(CG202:CJ202)</f>
        <v>0</v>
      </c>
      <c r="CL202" s="203"/>
      <c r="CM202" s="205"/>
      <c r="CN202" s="205"/>
      <c r="CO202" s="205"/>
      <c r="CP202" s="204"/>
      <c r="CQ202" s="168"/>
      <c r="CR202" s="242"/>
      <c r="CS202" s="224"/>
      <c r="CT202" s="224"/>
      <c r="CU202" s="224"/>
      <c r="CV202" s="243"/>
      <c r="CW202" s="208">
        <f>SUM(CR202:CV202)</f>
        <v>0</v>
      </c>
      <c r="CX202" s="242"/>
      <c r="CY202" s="224"/>
      <c r="CZ202" s="224"/>
      <c r="DA202" s="243"/>
      <c r="DB202" s="168"/>
      <c r="DC202" s="208">
        <f>DB202+CW202+CQ202+CK202+CF202</f>
        <v>5.68</v>
      </c>
      <c r="DD202" s="203"/>
      <c r="DE202" s="205"/>
      <c r="DF202" s="205"/>
      <c r="DG202" s="205"/>
      <c r="DH202" s="205"/>
      <c r="DI202" s="208">
        <f>SUM(DD202:DH202)</f>
        <v>0</v>
      </c>
      <c r="DJ202" s="203"/>
      <c r="DK202" s="205"/>
      <c r="DL202" s="205"/>
      <c r="DM202" s="205"/>
      <c r="DN202" s="204"/>
      <c r="DO202" s="208">
        <f>SUM(DJ202:DN202)</f>
        <v>0</v>
      </c>
      <c r="DP202" s="203"/>
      <c r="DQ202" s="205"/>
      <c r="DR202" s="205"/>
      <c r="DS202" s="205"/>
      <c r="DT202" s="204"/>
      <c r="DU202" s="208">
        <f>SUM(DP202:DT202)</f>
        <v>0</v>
      </c>
      <c r="DV202" s="203"/>
      <c r="DW202" s="205"/>
      <c r="DX202" s="205"/>
      <c r="DY202" s="205"/>
      <c r="DZ202" s="204"/>
      <c r="EA202" s="208">
        <f>SUM(DV202:DZ202)</f>
        <v>0</v>
      </c>
      <c r="EB202" s="208">
        <f>DI202+DO202+DU202+EA202</f>
        <v>0</v>
      </c>
      <c r="EC202" s="203"/>
      <c r="ED202" s="205"/>
      <c r="EE202" s="205"/>
      <c r="EF202" s="205"/>
      <c r="EG202" s="204"/>
      <c r="EH202" s="208">
        <f>SUM(EC202:EG202)</f>
        <v>0</v>
      </c>
      <c r="EI202" s="203"/>
      <c r="EJ202" s="205"/>
      <c r="EK202" s="205"/>
      <c r="EL202" s="205"/>
      <c r="EM202" s="204"/>
      <c r="EN202" s="208">
        <f>SUM(EI202:EM202)</f>
        <v>0</v>
      </c>
      <c r="EO202" s="203"/>
      <c r="EP202" s="205"/>
      <c r="EQ202" s="205"/>
      <c r="ER202" s="205"/>
      <c r="ES202" s="204"/>
      <c r="ET202" s="208">
        <f>SUM(EO202:ES202)</f>
        <v>0</v>
      </c>
      <c r="EU202" s="203"/>
      <c r="EV202" s="205"/>
      <c r="EW202" s="205"/>
      <c r="EX202" s="205"/>
      <c r="EY202" s="205"/>
      <c r="EZ202" s="205"/>
      <c r="FA202" s="204"/>
      <c r="FB202" s="208">
        <f>SUM(EU202:FA202)</f>
        <v>0</v>
      </c>
      <c r="FC202" s="208">
        <f>FB202+ET202+EN202+EH202</f>
        <v>0</v>
      </c>
      <c r="FD202" s="203"/>
      <c r="FE202" s="205"/>
      <c r="FF202" s="204">
        <v>5.57</v>
      </c>
      <c r="FG202" s="208">
        <f>SUM(FD202:FF202)</f>
        <v>5.57</v>
      </c>
      <c r="FH202" s="203"/>
      <c r="FI202" s="205"/>
      <c r="FJ202" s="205"/>
      <c r="FK202" s="205"/>
      <c r="FL202" s="204"/>
      <c r="FM202" s="208">
        <f>SUM(FH202:FL202)</f>
        <v>0</v>
      </c>
      <c r="FN202" s="203"/>
      <c r="FO202" s="205"/>
      <c r="FP202" s="205"/>
      <c r="FQ202" s="205"/>
      <c r="FR202" s="208">
        <f>SUM(FN202:FQ202)</f>
        <v>0</v>
      </c>
      <c r="FS202" s="203"/>
      <c r="FT202" s="205"/>
      <c r="FU202" s="205"/>
      <c r="FV202" s="205"/>
      <c r="FW202" s="204"/>
      <c r="FX202" s="208">
        <f>SUM(FS202:FW202)</f>
        <v>0</v>
      </c>
      <c r="FY202" s="203"/>
      <c r="FZ202" s="205"/>
      <c r="GA202" s="205"/>
      <c r="GB202" s="205"/>
      <c r="GC202" s="204"/>
      <c r="GD202" s="208">
        <f>SUM(FY202:GC202)</f>
        <v>0</v>
      </c>
      <c r="GE202" s="208">
        <f>FG202+FM202+FR202+FX202+GD202</f>
        <v>5.57</v>
      </c>
      <c r="GF202" s="203"/>
      <c r="GG202" s="205"/>
      <c r="GH202" s="205"/>
      <c r="GI202" s="205"/>
      <c r="GJ202" s="205"/>
      <c r="GK202" s="208">
        <f>SUM(GF202:GJ202)</f>
        <v>0</v>
      </c>
      <c r="GL202" s="203"/>
      <c r="GM202" s="205"/>
      <c r="GN202" s="205"/>
      <c r="GO202" s="204"/>
      <c r="GP202" s="208">
        <f>SUM(GL202:GO202)</f>
        <v>0</v>
      </c>
      <c r="GQ202" s="203"/>
      <c r="GR202" s="205"/>
      <c r="GS202" s="205"/>
      <c r="GT202" s="205"/>
      <c r="GU202" s="204"/>
      <c r="GV202" s="208">
        <f>SUM(GQ202:GU202)</f>
        <v>0</v>
      </c>
      <c r="GW202" s="202"/>
      <c r="GX202" s="244"/>
      <c r="GY202" s="244"/>
      <c r="GZ202" s="244"/>
      <c r="HA202" s="244"/>
      <c r="HB202" s="245"/>
      <c r="HC202" s="208">
        <f>SUM(GW202:HB202)</f>
        <v>0</v>
      </c>
      <c r="HD202" s="208">
        <f>GK202+GP202+GV202+HC202</f>
        <v>0</v>
      </c>
      <c r="HE202" s="203"/>
      <c r="HF202" s="205"/>
      <c r="HG202" s="205"/>
      <c r="HH202" s="205"/>
      <c r="HI202" s="208">
        <f>SUM(HE202:HH202)</f>
        <v>0</v>
      </c>
      <c r="HJ202" s="203"/>
      <c r="HK202" s="205"/>
      <c r="HL202" s="205"/>
      <c r="HM202" s="205"/>
      <c r="HN202" s="204"/>
      <c r="HO202" s="208">
        <f>SUM(HJ202:HN202)</f>
        <v>0</v>
      </c>
      <c r="HP202" s="203"/>
      <c r="HQ202" s="205"/>
      <c r="HR202" s="205"/>
      <c r="HS202" s="205"/>
      <c r="HT202" s="204">
        <v>140</v>
      </c>
      <c r="HU202" s="208">
        <f>SUM(HP202:HT202)</f>
        <v>140</v>
      </c>
      <c r="HV202" s="203"/>
      <c r="HW202" s="205"/>
      <c r="HX202" s="205"/>
      <c r="HY202" s="208">
        <f>SUM(HV202:HX202)</f>
        <v>0</v>
      </c>
      <c r="HZ202" s="203"/>
      <c r="IA202" s="205"/>
      <c r="IB202" s="204"/>
      <c r="IC202" s="208">
        <f>SUM(HZ202:IB202)</f>
        <v>0</v>
      </c>
      <c r="ID202" s="208">
        <f>HI202+HO202+HU202+HY202+IC202</f>
        <v>140</v>
      </c>
      <c r="IE202" s="203"/>
      <c r="IF202" s="204">
        <v>5.47</v>
      </c>
      <c r="IG202" s="208">
        <f>SUM(IE202:IF202)</f>
        <v>5.47</v>
      </c>
      <c r="IH202" s="203"/>
      <c r="II202" s="205"/>
      <c r="IJ202" s="205"/>
      <c r="IK202" s="205"/>
      <c r="IL202" s="204"/>
      <c r="IM202" s="208">
        <f>SUM(IH202:IL202)</f>
        <v>0</v>
      </c>
      <c r="IN202" s="203"/>
      <c r="IO202" s="205"/>
      <c r="IP202" s="204">
        <v>25</v>
      </c>
      <c r="IQ202" s="208">
        <f>SUM(IN202:IP202)</f>
        <v>25</v>
      </c>
      <c r="IR202" s="203"/>
      <c r="IS202" s="205"/>
      <c r="IT202" s="205"/>
      <c r="IU202" s="205"/>
      <c r="IV202" s="204"/>
      <c r="IW202" s="208">
        <f>SUM(IR202:IV202)</f>
        <v>0</v>
      </c>
      <c r="IX202" s="202"/>
      <c r="IY202" s="244"/>
      <c r="IZ202" s="244"/>
      <c r="JA202" s="244"/>
      <c r="JB202" s="245"/>
      <c r="JC202" s="208">
        <f>SUM(IX202:JB202)</f>
        <v>0</v>
      </c>
      <c r="JD202" s="208">
        <f t="shared" si="569"/>
        <v>30.47</v>
      </c>
      <c r="JE202" s="202"/>
      <c r="JF202" s="244"/>
      <c r="JG202" s="244"/>
      <c r="JH202" s="244"/>
      <c r="JI202" s="245"/>
      <c r="JJ202" s="208">
        <f>SUM(JE202:JI202)</f>
        <v>0</v>
      </c>
      <c r="JK202" s="203"/>
      <c r="JL202" s="205"/>
      <c r="JM202" s="205"/>
      <c r="JN202" s="205"/>
      <c r="JO202" s="204"/>
      <c r="JP202" s="208">
        <f>SUM(JK202:JO202)</f>
        <v>0</v>
      </c>
      <c r="JQ202" s="203"/>
      <c r="JR202" s="205"/>
      <c r="JS202" s="205"/>
      <c r="JT202" s="205"/>
      <c r="JU202" s="204"/>
      <c r="JV202" s="208">
        <f>SUM(JQ202:JU202)</f>
        <v>0</v>
      </c>
      <c r="JW202" s="203"/>
      <c r="JX202" s="205"/>
      <c r="JY202" s="205"/>
      <c r="JZ202" s="205"/>
      <c r="KA202" s="205"/>
      <c r="KB202" s="204"/>
      <c r="KC202" s="208">
        <f>SUM(JW202:KB202)</f>
        <v>0</v>
      </c>
      <c r="KD202" s="208">
        <f>JJ202+JP202+JV202+KC202</f>
        <v>0</v>
      </c>
      <c r="KE202" s="203"/>
      <c r="KF202" s="205"/>
      <c r="KG202" s="205"/>
      <c r="KH202" s="205"/>
      <c r="KI202" s="204"/>
      <c r="KJ202" s="208">
        <f>SUM(KE202:KI202)</f>
        <v>0</v>
      </c>
      <c r="KK202" s="203"/>
      <c r="KL202" s="205"/>
      <c r="KM202" s="205"/>
      <c r="KN202" s="205"/>
      <c r="KO202" s="204"/>
      <c r="KP202" s="208">
        <f>SUM(KK202:KO202)</f>
        <v>0</v>
      </c>
      <c r="KQ202" s="202"/>
      <c r="KR202" s="244"/>
      <c r="KS202" s="244"/>
      <c r="KT202" s="244"/>
      <c r="KU202" s="245"/>
      <c r="KV202" s="208">
        <f>SUM(KQ202:KU202)</f>
        <v>0</v>
      </c>
      <c r="KW202" s="202"/>
      <c r="KX202" s="244"/>
      <c r="KY202" s="244"/>
      <c r="KZ202" s="244"/>
      <c r="LA202" s="245"/>
      <c r="LB202" s="308">
        <f>SUM(KW202:LA202)</f>
        <v>0</v>
      </c>
      <c r="LC202" s="202"/>
      <c r="LD202" s="244"/>
      <c r="LE202" s="245"/>
      <c r="LF202" s="208">
        <f>SUM(LC202:LE202)</f>
        <v>0</v>
      </c>
      <c r="LG202" s="208">
        <f>KJ202+KP202+KV202+LB202+LF202</f>
        <v>0</v>
      </c>
    </row>
    <row r="203" spans="2:322">
      <c r="B203" s="93"/>
      <c r="C203" s="93"/>
      <c r="D203" s="181"/>
      <c r="E203" s="167"/>
      <c r="F203" s="177"/>
      <c r="G203" s="177"/>
      <c r="H203" s="177"/>
      <c r="I203" s="178"/>
      <c r="J203" s="181"/>
      <c r="K203" s="167"/>
      <c r="L203" s="177"/>
      <c r="M203" s="177"/>
      <c r="N203" s="178"/>
      <c r="O203" s="181"/>
      <c r="P203" s="167"/>
      <c r="Q203" s="177"/>
      <c r="R203" s="177"/>
      <c r="S203" s="177"/>
      <c r="T203" s="178"/>
      <c r="U203" s="181"/>
      <c r="V203" s="167"/>
      <c r="W203" s="177"/>
      <c r="X203" s="177"/>
      <c r="Y203" s="177"/>
      <c r="Z203" s="178"/>
      <c r="AA203" s="181"/>
      <c r="AB203" s="146"/>
      <c r="AC203" s="167"/>
      <c r="AD203" s="177"/>
      <c r="AE203" s="177"/>
      <c r="AF203" s="177"/>
      <c r="AG203" s="178"/>
      <c r="AH203" s="146"/>
      <c r="AI203" s="167"/>
      <c r="AJ203" s="177"/>
      <c r="AK203" s="177"/>
      <c r="AL203" s="177"/>
      <c r="AM203" s="178"/>
      <c r="AN203" s="146"/>
      <c r="AO203" s="167"/>
      <c r="AP203" s="177"/>
      <c r="AQ203" s="177"/>
      <c r="AR203" s="177"/>
      <c r="AS203" s="178"/>
      <c r="AT203" s="146"/>
      <c r="AU203" s="167"/>
      <c r="AV203" s="177"/>
      <c r="AW203" s="177"/>
      <c r="AX203" s="177"/>
      <c r="AY203" s="178"/>
      <c r="AZ203" s="146"/>
      <c r="BA203" s="168"/>
      <c r="BB203" s="181"/>
      <c r="BC203" s="238"/>
      <c r="BD203" s="238"/>
      <c r="BE203" s="238"/>
      <c r="BF203" s="239"/>
      <c r="BG203" s="168"/>
      <c r="BH203" s="181"/>
      <c r="BI203" s="238"/>
      <c r="BJ203" s="238"/>
      <c r="BK203" s="238"/>
      <c r="BL203" s="239"/>
      <c r="BM203" s="168"/>
      <c r="BN203" s="242"/>
      <c r="BO203" s="224"/>
      <c r="BP203" s="224"/>
      <c r="BQ203" s="243"/>
      <c r="BR203" s="168"/>
      <c r="BS203" s="181"/>
      <c r="BT203" s="238"/>
      <c r="BU203" s="238"/>
      <c r="BV203" s="238"/>
      <c r="BW203" s="239"/>
      <c r="BX203" s="168"/>
      <c r="BY203" s="181"/>
      <c r="BZ203" s="238"/>
      <c r="CA203" s="168"/>
      <c r="CB203" s="168"/>
      <c r="CC203" s="242"/>
      <c r="CD203" s="224"/>
      <c r="CE203" s="224"/>
      <c r="CF203" s="168"/>
      <c r="CG203" s="242"/>
      <c r="CH203" s="224"/>
      <c r="CI203" s="224"/>
      <c r="CJ203" s="243"/>
      <c r="CK203" s="208"/>
      <c r="CL203" s="203"/>
      <c r="CM203" s="205"/>
      <c r="CN203" s="205"/>
      <c r="CO203" s="205"/>
      <c r="CP203" s="204"/>
      <c r="CQ203" s="168"/>
      <c r="CR203" s="242"/>
      <c r="CS203" s="224"/>
      <c r="CT203" s="224"/>
      <c r="CU203" s="224"/>
      <c r="CV203" s="243"/>
      <c r="CW203" s="168"/>
      <c r="CX203" s="242"/>
      <c r="CY203" s="224"/>
      <c r="CZ203" s="224"/>
      <c r="DA203" s="243"/>
      <c r="DB203" s="168"/>
      <c r="DC203" s="168"/>
      <c r="DD203" s="242"/>
      <c r="DE203" s="224"/>
      <c r="DF203" s="224"/>
      <c r="DG203" s="224"/>
      <c r="DH203" s="224"/>
      <c r="DI203" s="168"/>
      <c r="DJ203" s="242"/>
      <c r="DK203" s="224"/>
      <c r="DL203" s="224"/>
      <c r="DM203" s="224"/>
      <c r="DN203" s="243"/>
      <c r="DO203" s="168"/>
      <c r="DP203" s="242"/>
      <c r="DQ203" s="224"/>
      <c r="DR203" s="224"/>
      <c r="DS203" s="224"/>
      <c r="DT203" s="243"/>
      <c r="DU203" s="168"/>
      <c r="DV203" s="242"/>
      <c r="DW203" s="224"/>
      <c r="DX203" s="224"/>
      <c r="DY203" s="224"/>
      <c r="DZ203" s="243"/>
      <c r="EA203" s="168"/>
      <c r="EB203" s="168"/>
      <c r="EC203" s="242"/>
      <c r="ED203" s="224"/>
      <c r="EE203" s="224"/>
      <c r="EF203" s="224"/>
      <c r="EG203" s="243"/>
      <c r="EH203" s="168"/>
      <c r="EI203" s="242"/>
      <c r="EJ203" s="224"/>
      <c r="EK203" s="224"/>
      <c r="EL203" s="224"/>
      <c r="EM203" s="243"/>
      <c r="EN203" s="168"/>
      <c r="EO203" s="242"/>
      <c r="EP203" s="224"/>
      <c r="EQ203" s="224"/>
      <c r="ER203" s="224"/>
      <c r="ES203" s="243"/>
      <c r="ET203" s="168"/>
      <c r="EU203" s="242"/>
      <c r="EV203" s="224"/>
      <c r="EW203" s="224"/>
      <c r="EX203" s="224"/>
      <c r="EY203" s="224"/>
      <c r="EZ203" s="224"/>
      <c r="FA203" s="243"/>
      <c r="FB203" s="168"/>
      <c r="FC203" s="168"/>
      <c r="FD203" s="181"/>
      <c r="FE203" s="238"/>
      <c r="FF203" s="239"/>
      <c r="FG203" s="168"/>
      <c r="FH203" s="242"/>
      <c r="FI203" s="224"/>
      <c r="FJ203" s="224"/>
      <c r="FK203" s="224"/>
      <c r="FL203" s="243"/>
      <c r="FM203" s="168"/>
      <c r="FN203" s="242"/>
      <c r="FO203" s="224"/>
      <c r="FP203" s="224"/>
      <c r="FQ203" s="224"/>
      <c r="FR203" s="168"/>
      <c r="FS203" s="181"/>
      <c r="FT203" s="238"/>
      <c r="FU203" s="238"/>
      <c r="FV203" s="238"/>
      <c r="FW203" s="239"/>
      <c r="FX203" s="168"/>
      <c r="FY203" s="181"/>
      <c r="FZ203" s="238"/>
      <c r="GA203" s="238"/>
      <c r="GB203" s="238"/>
      <c r="GC203" s="239"/>
      <c r="GD203" s="168"/>
      <c r="GE203" s="208"/>
      <c r="GF203" s="202"/>
      <c r="GG203" s="244"/>
      <c r="GH203" s="244"/>
      <c r="GI203" s="244"/>
      <c r="GJ203" s="244"/>
      <c r="GK203" s="208"/>
      <c r="GL203" s="202"/>
      <c r="GM203" s="244"/>
      <c r="GN203" s="244"/>
      <c r="GO203" s="245"/>
      <c r="GP203" s="208"/>
      <c r="GQ203" s="202"/>
      <c r="GR203" s="244"/>
      <c r="GS203" s="244"/>
      <c r="GT203" s="244"/>
      <c r="GU203" s="245"/>
      <c r="GV203" s="208"/>
      <c r="GW203" s="202"/>
      <c r="GX203" s="244"/>
      <c r="GY203" s="244"/>
      <c r="GZ203" s="244"/>
      <c r="HA203" s="244"/>
      <c r="HB203" s="245"/>
      <c r="HC203" s="208"/>
      <c r="HD203" s="168"/>
      <c r="HE203" s="181"/>
      <c r="HF203" s="238"/>
      <c r="HG203" s="238"/>
      <c r="HH203" s="238"/>
      <c r="HI203" s="168"/>
      <c r="HJ203" s="242"/>
      <c r="HK203" s="224"/>
      <c r="HL203" s="224"/>
      <c r="HM203" s="224"/>
      <c r="HN203" s="243"/>
      <c r="HO203" s="168"/>
      <c r="HP203" s="181"/>
      <c r="HQ203" s="238"/>
      <c r="HR203" s="238"/>
      <c r="HS203" s="238"/>
      <c r="HT203" s="239"/>
      <c r="HU203" s="168"/>
      <c r="HV203" s="181"/>
      <c r="HW203" s="238"/>
      <c r="HX203" s="238"/>
      <c r="HY203" s="168"/>
      <c r="HZ203" s="181"/>
      <c r="IA203" s="238"/>
      <c r="IB203" s="239"/>
      <c r="IC203" s="168"/>
      <c r="ID203" s="168"/>
      <c r="IE203" s="181"/>
      <c r="IF203" s="239"/>
      <c r="IG203" s="168"/>
      <c r="IH203" s="181"/>
      <c r="II203" s="238"/>
      <c r="IJ203" s="238"/>
      <c r="IK203" s="238"/>
      <c r="IL203" s="239"/>
      <c r="IM203" s="168"/>
      <c r="IN203" s="242"/>
      <c r="IO203" s="224"/>
      <c r="IP203" s="243"/>
      <c r="IQ203" s="168"/>
      <c r="IR203" s="242"/>
      <c r="IS203" s="224"/>
      <c r="IT203" s="224"/>
      <c r="IU203" s="224"/>
      <c r="IV203" s="243"/>
      <c r="IW203" s="168"/>
      <c r="IX203" s="181"/>
      <c r="IY203" s="238"/>
      <c r="IZ203" s="238"/>
      <c r="JA203" s="238"/>
      <c r="JB203" s="239"/>
      <c r="JC203" s="168"/>
      <c r="JD203" s="168"/>
      <c r="JE203" s="181"/>
      <c r="JF203" s="238"/>
      <c r="JG203" s="238"/>
      <c r="JH203" s="238"/>
      <c r="JI203" s="239"/>
      <c r="JJ203" s="168"/>
      <c r="JK203" s="242"/>
      <c r="JL203" s="224"/>
      <c r="JM203" s="224"/>
      <c r="JN203" s="224"/>
      <c r="JO203" s="243"/>
      <c r="JP203" s="168"/>
      <c r="JQ203" s="242"/>
      <c r="JR203" s="224"/>
      <c r="JS203" s="224"/>
      <c r="JT203" s="224"/>
      <c r="JU203" s="243"/>
      <c r="JV203" s="168"/>
      <c r="JW203" s="242"/>
      <c r="JX203" s="224"/>
      <c r="JY203" s="224"/>
      <c r="JZ203" s="224"/>
      <c r="KA203" s="224"/>
      <c r="KB203" s="243"/>
      <c r="KC203" s="168"/>
      <c r="KD203" s="168"/>
      <c r="KE203" s="242"/>
      <c r="KF203" s="224"/>
      <c r="KG203" s="224"/>
      <c r="KH203" s="224"/>
      <c r="KI203" s="243"/>
      <c r="KJ203" s="168"/>
      <c r="KK203" s="242"/>
      <c r="KL203" s="224"/>
      <c r="KM203" s="224"/>
      <c r="KN203" s="224"/>
      <c r="KO203" s="243"/>
      <c r="KP203" s="168"/>
      <c r="KQ203" s="181"/>
      <c r="KR203" s="238"/>
      <c r="KS203" s="238"/>
      <c r="KT203" s="238"/>
      <c r="KU203" s="239"/>
      <c r="KV203" s="168"/>
      <c r="KW203" s="181"/>
      <c r="KX203" s="238"/>
      <c r="KY203" s="238"/>
      <c r="KZ203" s="238"/>
      <c r="LA203" s="239"/>
      <c r="LB203" s="168"/>
      <c r="LC203" s="181"/>
      <c r="LD203" s="238"/>
      <c r="LE203" s="239"/>
      <c r="LF203" s="168"/>
      <c r="LG203" s="168"/>
    </row>
    <row r="204" spans="2:322">
      <c r="B204" s="94" t="s">
        <v>90</v>
      </c>
      <c r="C204" s="94">
        <f>SUM(C205)</f>
        <v>0</v>
      </c>
      <c r="D204" s="172">
        <f t="shared" ref="D204:AA204" si="570">SUM(D205)</f>
        <v>0</v>
      </c>
      <c r="E204" s="172">
        <f t="shared" si="570"/>
        <v>0</v>
      </c>
      <c r="F204" s="172">
        <f t="shared" si="570"/>
        <v>0</v>
      </c>
      <c r="G204" s="172">
        <f t="shared" si="570"/>
        <v>0</v>
      </c>
      <c r="H204" s="172">
        <f t="shared" si="570"/>
        <v>0</v>
      </c>
      <c r="I204" s="172">
        <f t="shared" si="570"/>
        <v>0</v>
      </c>
      <c r="J204" s="172">
        <f t="shared" si="570"/>
        <v>0</v>
      </c>
      <c r="K204" s="172">
        <f t="shared" si="570"/>
        <v>0</v>
      </c>
      <c r="L204" s="172">
        <f t="shared" si="570"/>
        <v>0</v>
      </c>
      <c r="M204" s="172">
        <f t="shared" si="570"/>
        <v>0</v>
      </c>
      <c r="N204" s="172">
        <f t="shared" si="570"/>
        <v>0</v>
      </c>
      <c r="O204" s="172">
        <f t="shared" si="570"/>
        <v>0</v>
      </c>
      <c r="P204" s="172">
        <f t="shared" si="570"/>
        <v>0</v>
      </c>
      <c r="Q204" s="172">
        <f t="shared" si="570"/>
        <v>0</v>
      </c>
      <c r="R204" s="172">
        <f t="shared" si="570"/>
        <v>0</v>
      </c>
      <c r="S204" s="172">
        <f t="shared" si="570"/>
        <v>0</v>
      </c>
      <c r="T204" s="172">
        <f t="shared" si="570"/>
        <v>0</v>
      </c>
      <c r="U204" s="172">
        <f t="shared" si="570"/>
        <v>0</v>
      </c>
      <c r="V204" s="172">
        <f t="shared" si="570"/>
        <v>0</v>
      </c>
      <c r="W204" s="172">
        <f t="shared" si="570"/>
        <v>0</v>
      </c>
      <c r="X204" s="172">
        <f t="shared" si="570"/>
        <v>0</v>
      </c>
      <c r="Y204" s="172">
        <f t="shared" si="570"/>
        <v>0</v>
      </c>
      <c r="Z204" s="172">
        <f t="shared" si="570"/>
        <v>0</v>
      </c>
      <c r="AA204" s="172">
        <f t="shared" si="570"/>
        <v>0</v>
      </c>
      <c r="AB204" s="234">
        <f>SUM(AB205:AB205)</f>
        <v>0</v>
      </c>
      <c r="AC204" s="172">
        <f t="shared" ref="AC204:AM204" si="571">SUM(AC205)</f>
        <v>0</v>
      </c>
      <c r="AD204" s="179">
        <f t="shared" si="571"/>
        <v>0</v>
      </c>
      <c r="AE204" s="179">
        <f t="shared" si="571"/>
        <v>0</v>
      </c>
      <c r="AF204" s="179">
        <f t="shared" si="571"/>
        <v>0</v>
      </c>
      <c r="AG204" s="180">
        <f t="shared" si="571"/>
        <v>0</v>
      </c>
      <c r="AH204" s="198">
        <f t="shared" si="571"/>
        <v>0</v>
      </c>
      <c r="AI204" s="172">
        <f t="shared" si="571"/>
        <v>0</v>
      </c>
      <c r="AJ204" s="179">
        <f t="shared" si="571"/>
        <v>0</v>
      </c>
      <c r="AK204" s="179">
        <f t="shared" si="571"/>
        <v>0</v>
      </c>
      <c r="AL204" s="179">
        <f t="shared" si="571"/>
        <v>0</v>
      </c>
      <c r="AM204" s="180">
        <f t="shared" si="571"/>
        <v>0</v>
      </c>
      <c r="AN204" s="198">
        <f t="shared" ref="AN204:AZ204" si="572">SUM(AN205)</f>
        <v>0</v>
      </c>
      <c r="AO204" s="172">
        <f t="shared" si="572"/>
        <v>0</v>
      </c>
      <c r="AP204" s="179">
        <f t="shared" si="572"/>
        <v>0</v>
      </c>
      <c r="AQ204" s="179">
        <f t="shared" si="572"/>
        <v>0</v>
      </c>
      <c r="AR204" s="179">
        <f t="shared" si="572"/>
        <v>0</v>
      </c>
      <c r="AS204" s="180">
        <f t="shared" si="572"/>
        <v>0</v>
      </c>
      <c r="AT204" s="198">
        <f t="shared" si="572"/>
        <v>0</v>
      </c>
      <c r="AU204" s="172">
        <f t="shared" si="572"/>
        <v>0</v>
      </c>
      <c r="AV204" s="179">
        <f t="shared" si="572"/>
        <v>0</v>
      </c>
      <c r="AW204" s="179">
        <f t="shared" si="572"/>
        <v>0</v>
      </c>
      <c r="AX204" s="179">
        <f t="shared" si="572"/>
        <v>0</v>
      </c>
      <c r="AY204" s="180">
        <f t="shared" si="572"/>
        <v>0</v>
      </c>
      <c r="AZ204" s="198">
        <f t="shared" si="572"/>
        <v>0</v>
      </c>
      <c r="BA204" s="234">
        <f t="shared" ref="BA204:KR204" si="573">SUM(BA205:BA206)</f>
        <v>0</v>
      </c>
      <c r="BB204" s="172">
        <f t="shared" si="573"/>
        <v>0</v>
      </c>
      <c r="BC204" s="179">
        <f t="shared" si="573"/>
        <v>0</v>
      </c>
      <c r="BD204" s="179">
        <f t="shared" si="573"/>
        <v>0</v>
      </c>
      <c r="BE204" s="179">
        <f t="shared" si="573"/>
        <v>0</v>
      </c>
      <c r="BF204" s="180">
        <f t="shared" si="573"/>
        <v>0</v>
      </c>
      <c r="BG204" s="198">
        <f t="shared" si="573"/>
        <v>0</v>
      </c>
      <c r="BH204" s="172">
        <f t="shared" si="573"/>
        <v>0</v>
      </c>
      <c r="BI204" s="179">
        <f t="shared" si="573"/>
        <v>0</v>
      </c>
      <c r="BJ204" s="179">
        <f t="shared" si="573"/>
        <v>0</v>
      </c>
      <c r="BK204" s="179">
        <f t="shared" si="573"/>
        <v>0</v>
      </c>
      <c r="BL204" s="180">
        <f t="shared" si="573"/>
        <v>0</v>
      </c>
      <c r="BM204" s="198">
        <f t="shared" si="573"/>
        <v>0</v>
      </c>
      <c r="BN204" s="172">
        <f t="shared" si="573"/>
        <v>0</v>
      </c>
      <c r="BO204" s="179">
        <f t="shared" si="573"/>
        <v>0</v>
      </c>
      <c r="BP204" s="179">
        <f t="shared" si="573"/>
        <v>0</v>
      </c>
      <c r="BQ204" s="180">
        <f t="shared" si="573"/>
        <v>0</v>
      </c>
      <c r="BR204" s="198">
        <f t="shared" si="573"/>
        <v>0</v>
      </c>
      <c r="BS204" s="172">
        <f t="shared" si="573"/>
        <v>0</v>
      </c>
      <c r="BT204" s="179">
        <f t="shared" si="573"/>
        <v>0</v>
      </c>
      <c r="BU204" s="179">
        <f t="shared" si="573"/>
        <v>0</v>
      </c>
      <c r="BV204" s="179">
        <f t="shared" si="573"/>
        <v>0</v>
      </c>
      <c r="BW204" s="180">
        <f t="shared" si="573"/>
        <v>0</v>
      </c>
      <c r="BX204" s="198">
        <f t="shared" si="573"/>
        <v>0</v>
      </c>
      <c r="BY204" s="172">
        <f>SUM(BY205:BY206)</f>
        <v>0</v>
      </c>
      <c r="BZ204" s="179">
        <f>SUM(BZ205:BZ206)</f>
        <v>0</v>
      </c>
      <c r="CA204" s="198">
        <f t="shared" si="573"/>
        <v>0</v>
      </c>
      <c r="CB204" s="234">
        <f t="shared" si="573"/>
        <v>0</v>
      </c>
      <c r="CC204" s="172">
        <f t="shared" si="573"/>
        <v>0</v>
      </c>
      <c r="CD204" s="179">
        <f t="shared" si="573"/>
        <v>0</v>
      </c>
      <c r="CE204" s="179">
        <f t="shared" si="573"/>
        <v>0</v>
      </c>
      <c r="CF204" s="198">
        <f t="shared" si="573"/>
        <v>0</v>
      </c>
      <c r="CG204" s="172">
        <f t="shared" si="573"/>
        <v>0</v>
      </c>
      <c r="CH204" s="179">
        <f t="shared" si="573"/>
        <v>0</v>
      </c>
      <c r="CI204" s="179">
        <f t="shared" si="573"/>
        <v>0</v>
      </c>
      <c r="CJ204" s="180">
        <f t="shared" si="573"/>
        <v>0</v>
      </c>
      <c r="CK204" s="198">
        <f t="shared" si="573"/>
        <v>0</v>
      </c>
      <c r="CL204" s="172">
        <f t="shared" si="573"/>
        <v>0</v>
      </c>
      <c r="CM204" s="179">
        <f t="shared" si="573"/>
        <v>0</v>
      </c>
      <c r="CN204" s="179">
        <f t="shared" si="573"/>
        <v>0</v>
      </c>
      <c r="CO204" s="179">
        <f t="shared" si="573"/>
        <v>0</v>
      </c>
      <c r="CP204" s="180">
        <f t="shared" si="573"/>
        <v>0</v>
      </c>
      <c r="CQ204" s="198">
        <f t="shared" si="573"/>
        <v>0</v>
      </c>
      <c r="CR204" s="172">
        <f t="shared" si="573"/>
        <v>0</v>
      </c>
      <c r="CS204" s="179">
        <f t="shared" si="573"/>
        <v>0</v>
      </c>
      <c r="CT204" s="179">
        <f t="shared" si="573"/>
        <v>0</v>
      </c>
      <c r="CU204" s="179">
        <f t="shared" si="573"/>
        <v>0</v>
      </c>
      <c r="CV204" s="180">
        <f t="shared" si="573"/>
        <v>0</v>
      </c>
      <c r="CW204" s="198">
        <f t="shared" si="573"/>
        <v>0</v>
      </c>
      <c r="CX204" s="172">
        <f t="shared" si="573"/>
        <v>0</v>
      </c>
      <c r="CY204" s="179">
        <f>SUM(CY205:CY206)</f>
        <v>0</v>
      </c>
      <c r="CZ204" s="179">
        <f t="shared" si="573"/>
        <v>0</v>
      </c>
      <c r="DA204" s="180">
        <f t="shared" si="573"/>
        <v>0</v>
      </c>
      <c r="DB204" s="198">
        <f t="shared" si="573"/>
        <v>0</v>
      </c>
      <c r="DC204" s="234">
        <f t="shared" si="573"/>
        <v>0</v>
      </c>
      <c r="DD204" s="172">
        <f t="shared" si="573"/>
        <v>0</v>
      </c>
      <c r="DE204" s="179">
        <f t="shared" si="573"/>
        <v>0</v>
      </c>
      <c r="DF204" s="179">
        <f t="shared" si="573"/>
        <v>0</v>
      </c>
      <c r="DG204" s="179">
        <f t="shared" si="573"/>
        <v>0</v>
      </c>
      <c r="DH204" s="179">
        <f t="shared" si="573"/>
        <v>0</v>
      </c>
      <c r="DI204" s="198">
        <f t="shared" si="573"/>
        <v>0</v>
      </c>
      <c r="DJ204" s="172">
        <f t="shared" si="573"/>
        <v>0</v>
      </c>
      <c r="DK204" s="179">
        <f t="shared" si="573"/>
        <v>0</v>
      </c>
      <c r="DL204" s="179">
        <f t="shared" si="573"/>
        <v>0</v>
      </c>
      <c r="DM204" s="179">
        <f t="shared" si="573"/>
        <v>0</v>
      </c>
      <c r="DN204" s="180">
        <f t="shared" si="573"/>
        <v>0</v>
      </c>
      <c r="DO204" s="198">
        <f t="shared" si="573"/>
        <v>0</v>
      </c>
      <c r="DP204" s="172">
        <f t="shared" si="573"/>
        <v>0</v>
      </c>
      <c r="DQ204" s="179">
        <f t="shared" si="573"/>
        <v>0</v>
      </c>
      <c r="DR204" s="179">
        <f ca="1">SUM(DR201:DR206)</f>
        <v>31236.06</v>
      </c>
      <c r="DS204" s="179">
        <f t="shared" si="573"/>
        <v>0</v>
      </c>
      <c r="DT204" s="180">
        <f t="shared" si="573"/>
        <v>0</v>
      </c>
      <c r="DU204" s="198">
        <f t="shared" si="573"/>
        <v>0</v>
      </c>
      <c r="DV204" s="172">
        <f t="shared" si="573"/>
        <v>0</v>
      </c>
      <c r="DW204" s="179">
        <f t="shared" si="573"/>
        <v>0</v>
      </c>
      <c r="DX204" s="179">
        <f t="shared" si="573"/>
        <v>0</v>
      </c>
      <c r="DY204" s="179">
        <f t="shared" si="573"/>
        <v>0</v>
      </c>
      <c r="DZ204" s="180">
        <f t="shared" si="573"/>
        <v>0</v>
      </c>
      <c r="EA204" s="198">
        <f t="shared" si="573"/>
        <v>0</v>
      </c>
      <c r="EB204" s="234">
        <f t="shared" si="573"/>
        <v>0</v>
      </c>
      <c r="EC204" s="172">
        <f t="shared" si="573"/>
        <v>0</v>
      </c>
      <c r="ED204" s="179">
        <f t="shared" si="573"/>
        <v>0</v>
      </c>
      <c r="EE204" s="179">
        <f t="shared" si="573"/>
        <v>0</v>
      </c>
      <c r="EF204" s="179">
        <f t="shared" si="573"/>
        <v>0</v>
      </c>
      <c r="EG204" s="180">
        <f t="shared" si="573"/>
        <v>0</v>
      </c>
      <c r="EH204" s="198">
        <f t="shared" si="573"/>
        <v>0</v>
      </c>
      <c r="EI204" s="172">
        <f t="shared" si="573"/>
        <v>0</v>
      </c>
      <c r="EJ204" s="179">
        <f t="shared" si="573"/>
        <v>0</v>
      </c>
      <c r="EK204" s="179">
        <f t="shared" si="573"/>
        <v>0</v>
      </c>
      <c r="EL204" s="179">
        <f t="shared" si="573"/>
        <v>0</v>
      </c>
      <c r="EM204" s="180">
        <f t="shared" si="573"/>
        <v>0</v>
      </c>
      <c r="EN204" s="198">
        <f t="shared" si="573"/>
        <v>0</v>
      </c>
      <c r="EO204" s="172">
        <f t="shared" si="573"/>
        <v>0</v>
      </c>
      <c r="EP204" s="179">
        <f t="shared" si="573"/>
        <v>0</v>
      </c>
      <c r="EQ204" s="179">
        <f t="shared" si="573"/>
        <v>0</v>
      </c>
      <c r="ER204" s="179">
        <f t="shared" si="573"/>
        <v>0</v>
      </c>
      <c r="ES204" s="180">
        <f t="shared" si="573"/>
        <v>0</v>
      </c>
      <c r="ET204" s="198">
        <f t="shared" si="573"/>
        <v>0</v>
      </c>
      <c r="EU204" s="172">
        <f t="shared" si="573"/>
        <v>0</v>
      </c>
      <c r="EV204" s="179">
        <f t="shared" si="573"/>
        <v>0</v>
      </c>
      <c r="EW204" s="179">
        <f t="shared" si="573"/>
        <v>0</v>
      </c>
      <c r="EX204" s="179">
        <f t="shared" si="573"/>
        <v>0</v>
      </c>
      <c r="EY204" s="179">
        <f t="shared" si="573"/>
        <v>0</v>
      </c>
      <c r="EZ204" s="179">
        <f>SUM(EZ205:EZ206)</f>
        <v>0</v>
      </c>
      <c r="FA204" s="180">
        <f t="shared" si="573"/>
        <v>0</v>
      </c>
      <c r="FB204" s="198">
        <f t="shared" si="573"/>
        <v>0</v>
      </c>
      <c r="FC204" s="234">
        <f t="shared" si="573"/>
        <v>0</v>
      </c>
      <c r="FD204" s="172">
        <f t="shared" si="573"/>
        <v>0</v>
      </c>
      <c r="FE204" s="179">
        <f t="shared" si="573"/>
        <v>0</v>
      </c>
      <c r="FF204" s="180">
        <f t="shared" si="573"/>
        <v>0</v>
      </c>
      <c r="FG204" s="198">
        <f t="shared" si="573"/>
        <v>0</v>
      </c>
      <c r="FH204" s="172">
        <f t="shared" si="573"/>
        <v>0</v>
      </c>
      <c r="FI204" s="179">
        <f t="shared" si="573"/>
        <v>0</v>
      </c>
      <c r="FJ204" s="179">
        <f t="shared" si="573"/>
        <v>0</v>
      </c>
      <c r="FK204" s="179">
        <f t="shared" si="573"/>
        <v>0</v>
      </c>
      <c r="FL204" s="180">
        <f t="shared" si="573"/>
        <v>0</v>
      </c>
      <c r="FM204" s="198">
        <f t="shared" si="573"/>
        <v>0</v>
      </c>
      <c r="FN204" s="172">
        <f t="shared" si="573"/>
        <v>0</v>
      </c>
      <c r="FO204" s="179">
        <f t="shared" si="573"/>
        <v>0</v>
      </c>
      <c r="FP204" s="179">
        <f t="shared" si="573"/>
        <v>0</v>
      </c>
      <c r="FQ204" s="179">
        <f t="shared" si="573"/>
        <v>0</v>
      </c>
      <c r="FR204" s="198">
        <f t="shared" si="573"/>
        <v>0</v>
      </c>
      <c r="FS204" s="172">
        <f t="shared" si="573"/>
        <v>0</v>
      </c>
      <c r="FT204" s="179">
        <f t="shared" si="573"/>
        <v>0</v>
      </c>
      <c r="FU204" s="179">
        <f t="shared" si="573"/>
        <v>0</v>
      </c>
      <c r="FV204" s="179">
        <f t="shared" si="573"/>
        <v>0</v>
      </c>
      <c r="FW204" s="180">
        <f t="shared" si="573"/>
        <v>0</v>
      </c>
      <c r="FX204" s="198">
        <f t="shared" si="573"/>
        <v>0</v>
      </c>
      <c r="FY204" s="172">
        <f t="shared" ref="FY204:GD204" si="574">SUM(FY205:FY206)</f>
        <v>0</v>
      </c>
      <c r="FZ204" s="179">
        <f t="shared" si="574"/>
        <v>0</v>
      </c>
      <c r="GA204" s="179">
        <f t="shared" si="574"/>
        <v>0</v>
      </c>
      <c r="GB204" s="179">
        <f t="shared" si="574"/>
        <v>0</v>
      </c>
      <c r="GC204" s="180">
        <f t="shared" si="574"/>
        <v>0</v>
      </c>
      <c r="GD204" s="198">
        <f t="shared" si="574"/>
        <v>0</v>
      </c>
      <c r="GE204" s="234">
        <f t="shared" si="573"/>
        <v>0</v>
      </c>
      <c r="GF204" s="172">
        <f t="shared" si="573"/>
        <v>0</v>
      </c>
      <c r="GG204" s="179">
        <f t="shared" si="573"/>
        <v>0</v>
      </c>
      <c r="GH204" s="179">
        <f t="shared" si="573"/>
        <v>0</v>
      </c>
      <c r="GI204" s="179">
        <f t="shared" si="573"/>
        <v>0</v>
      </c>
      <c r="GJ204" s="179">
        <f t="shared" si="573"/>
        <v>0</v>
      </c>
      <c r="GK204" s="198">
        <f t="shared" si="573"/>
        <v>0</v>
      </c>
      <c r="GL204" s="172">
        <f t="shared" si="573"/>
        <v>0</v>
      </c>
      <c r="GM204" s="179">
        <f t="shared" si="573"/>
        <v>0</v>
      </c>
      <c r="GN204" s="179">
        <f t="shared" si="573"/>
        <v>0</v>
      </c>
      <c r="GO204" s="180">
        <f t="shared" si="573"/>
        <v>0</v>
      </c>
      <c r="GP204" s="198">
        <f t="shared" si="573"/>
        <v>0</v>
      </c>
      <c r="GQ204" s="172">
        <f t="shared" si="573"/>
        <v>0</v>
      </c>
      <c r="GR204" s="179">
        <f t="shared" si="573"/>
        <v>0</v>
      </c>
      <c r="GS204" s="179">
        <f t="shared" si="573"/>
        <v>0</v>
      </c>
      <c r="GT204" s="179">
        <f t="shared" si="573"/>
        <v>0</v>
      </c>
      <c r="GU204" s="180">
        <f t="shared" si="573"/>
        <v>0</v>
      </c>
      <c r="GV204" s="198">
        <f t="shared" si="573"/>
        <v>0</v>
      </c>
      <c r="GW204" s="172">
        <f t="shared" si="573"/>
        <v>0</v>
      </c>
      <c r="GX204" s="179">
        <f t="shared" si="573"/>
        <v>0</v>
      </c>
      <c r="GY204" s="179">
        <f t="shared" si="573"/>
        <v>0</v>
      </c>
      <c r="GZ204" s="179">
        <f>SUM(GZ205:GZ206)</f>
        <v>0</v>
      </c>
      <c r="HA204" s="179">
        <f>SUM(HA205:HA206)</f>
        <v>0</v>
      </c>
      <c r="HB204" s="180">
        <f t="shared" si="573"/>
        <v>0</v>
      </c>
      <c r="HC204" s="198">
        <f t="shared" si="573"/>
        <v>0</v>
      </c>
      <c r="HD204" s="234">
        <f t="shared" si="573"/>
        <v>0</v>
      </c>
      <c r="HE204" s="172">
        <f t="shared" si="573"/>
        <v>0</v>
      </c>
      <c r="HF204" s="179">
        <f t="shared" si="573"/>
        <v>0</v>
      </c>
      <c r="HG204" s="179">
        <f t="shared" si="573"/>
        <v>0</v>
      </c>
      <c r="HH204" s="179">
        <f t="shared" si="573"/>
        <v>0</v>
      </c>
      <c r="HI204" s="198">
        <f t="shared" si="573"/>
        <v>0</v>
      </c>
      <c r="HJ204" s="172">
        <f t="shared" si="573"/>
        <v>0</v>
      </c>
      <c r="HK204" s="179">
        <f t="shared" si="573"/>
        <v>0</v>
      </c>
      <c r="HL204" s="179">
        <f t="shared" si="573"/>
        <v>0</v>
      </c>
      <c r="HM204" s="179">
        <f t="shared" si="573"/>
        <v>0</v>
      </c>
      <c r="HN204" s="180">
        <f t="shared" si="573"/>
        <v>0</v>
      </c>
      <c r="HO204" s="198">
        <f t="shared" si="573"/>
        <v>0</v>
      </c>
      <c r="HP204" s="172">
        <f t="shared" si="573"/>
        <v>0</v>
      </c>
      <c r="HQ204" s="179">
        <f t="shared" si="573"/>
        <v>0</v>
      </c>
      <c r="HR204" s="179">
        <f t="shared" si="573"/>
        <v>0</v>
      </c>
      <c r="HS204" s="179">
        <f t="shared" si="573"/>
        <v>0</v>
      </c>
      <c r="HT204" s="180">
        <f t="shared" si="573"/>
        <v>0</v>
      </c>
      <c r="HU204" s="198">
        <f t="shared" si="573"/>
        <v>0</v>
      </c>
      <c r="HV204" s="172">
        <f t="shared" si="573"/>
        <v>53936.451897616949</v>
      </c>
      <c r="HW204" s="179">
        <f t="shared" si="573"/>
        <v>0</v>
      </c>
      <c r="HX204" s="179">
        <f t="shared" si="573"/>
        <v>0</v>
      </c>
      <c r="HY204" s="198">
        <f t="shared" si="573"/>
        <v>53936.451897616949</v>
      </c>
      <c r="HZ204" s="172">
        <f t="shared" si="573"/>
        <v>0</v>
      </c>
      <c r="IA204" s="179">
        <f>SUM(IA205:IA206)</f>
        <v>0</v>
      </c>
      <c r="IB204" s="180">
        <f>SUM(IB205:IB206)</f>
        <v>0</v>
      </c>
      <c r="IC204" s="198">
        <f t="shared" si="573"/>
        <v>0</v>
      </c>
      <c r="ID204" s="234">
        <f t="shared" si="573"/>
        <v>53936.451897616949</v>
      </c>
      <c r="IE204" s="172">
        <f t="shared" si="573"/>
        <v>0</v>
      </c>
      <c r="IF204" s="180">
        <f t="shared" si="573"/>
        <v>0</v>
      </c>
      <c r="IG204" s="198">
        <f t="shared" si="573"/>
        <v>0</v>
      </c>
      <c r="IH204" s="172">
        <f t="shared" si="573"/>
        <v>0</v>
      </c>
      <c r="II204" s="179">
        <f t="shared" si="573"/>
        <v>0</v>
      </c>
      <c r="IJ204" s="179">
        <f t="shared" si="573"/>
        <v>0</v>
      </c>
      <c r="IK204" s="179">
        <f t="shared" si="573"/>
        <v>407619.1</v>
      </c>
      <c r="IL204" s="180">
        <f t="shared" si="573"/>
        <v>0</v>
      </c>
      <c r="IM204" s="198">
        <f t="shared" si="573"/>
        <v>407619.1</v>
      </c>
      <c r="IN204" s="172">
        <f t="shared" si="573"/>
        <v>0</v>
      </c>
      <c r="IO204" s="179">
        <f t="shared" si="573"/>
        <v>0</v>
      </c>
      <c r="IP204" s="180">
        <f t="shared" si="573"/>
        <v>0</v>
      </c>
      <c r="IQ204" s="198">
        <f t="shared" si="573"/>
        <v>0</v>
      </c>
      <c r="IR204" s="172">
        <f t="shared" si="573"/>
        <v>0</v>
      </c>
      <c r="IS204" s="179">
        <f t="shared" si="573"/>
        <v>0</v>
      </c>
      <c r="IT204" s="179">
        <f t="shared" si="573"/>
        <v>0</v>
      </c>
      <c r="IU204" s="179">
        <f t="shared" si="573"/>
        <v>0</v>
      </c>
      <c r="IV204" s="180">
        <f t="shared" si="573"/>
        <v>0</v>
      </c>
      <c r="IW204" s="198">
        <f t="shared" si="573"/>
        <v>0</v>
      </c>
      <c r="IX204" s="172">
        <f t="shared" si="573"/>
        <v>0</v>
      </c>
      <c r="IY204" s="179">
        <f t="shared" si="573"/>
        <v>0</v>
      </c>
      <c r="IZ204" s="179">
        <f t="shared" si="573"/>
        <v>0</v>
      </c>
      <c r="JA204" s="179">
        <f t="shared" si="573"/>
        <v>0</v>
      </c>
      <c r="JB204" s="180">
        <f t="shared" si="573"/>
        <v>0</v>
      </c>
      <c r="JC204" s="198">
        <f t="shared" si="573"/>
        <v>0</v>
      </c>
      <c r="JD204" s="234">
        <f t="shared" si="573"/>
        <v>407619.1</v>
      </c>
      <c r="JE204" s="172">
        <f t="shared" si="573"/>
        <v>0</v>
      </c>
      <c r="JF204" s="179">
        <f t="shared" si="573"/>
        <v>0</v>
      </c>
      <c r="JG204" s="179">
        <f t="shared" si="573"/>
        <v>0</v>
      </c>
      <c r="JH204" s="179">
        <f t="shared" si="573"/>
        <v>0</v>
      </c>
      <c r="JI204" s="180">
        <f t="shared" si="573"/>
        <v>0</v>
      </c>
      <c r="JJ204" s="198">
        <f t="shared" si="573"/>
        <v>0</v>
      </c>
      <c r="JK204" s="431">
        <f t="shared" si="573"/>
        <v>0</v>
      </c>
      <c r="JL204" s="432">
        <f t="shared" si="573"/>
        <v>0</v>
      </c>
      <c r="JM204" s="432">
        <f t="shared" si="573"/>
        <v>0</v>
      </c>
      <c r="JN204" s="432">
        <f t="shared" si="573"/>
        <v>0</v>
      </c>
      <c r="JO204" s="433">
        <f t="shared" si="573"/>
        <v>0</v>
      </c>
      <c r="JP204" s="148">
        <f t="shared" si="573"/>
        <v>0</v>
      </c>
      <c r="JQ204" s="431">
        <f t="shared" si="573"/>
        <v>0</v>
      </c>
      <c r="JR204" s="432">
        <f t="shared" si="573"/>
        <v>0</v>
      </c>
      <c r="JS204" s="432">
        <f t="shared" si="573"/>
        <v>0</v>
      </c>
      <c r="JT204" s="432">
        <f t="shared" si="573"/>
        <v>0</v>
      </c>
      <c r="JU204" s="433">
        <f t="shared" si="573"/>
        <v>0</v>
      </c>
      <c r="JV204" s="148">
        <f t="shared" si="573"/>
        <v>0</v>
      </c>
      <c r="JW204" s="431">
        <f t="shared" si="573"/>
        <v>0</v>
      </c>
      <c r="JX204" s="432">
        <f t="shared" si="573"/>
        <v>0</v>
      </c>
      <c r="JY204" s="432">
        <f t="shared" si="573"/>
        <v>0</v>
      </c>
      <c r="JZ204" s="432">
        <f t="shared" si="573"/>
        <v>0</v>
      </c>
      <c r="KA204" s="432"/>
      <c r="KB204" s="433">
        <f t="shared" si="573"/>
        <v>0</v>
      </c>
      <c r="KC204" s="148">
        <f t="shared" si="573"/>
        <v>0</v>
      </c>
      <c r="KD204" s="148">
        <f t="shared" si="573"/>
        <v>0</v>
      </c>
      <c r="KE204" s="431">
        <f t="shared" si="573"/>
        <v>0</v>
      </c>
      <c r="KF204" s="432">
        <f t="shared" si="573"/>
        <v>0</v>
      </c>
      <c r="KG204" s="432">
        <f t="shared" si="573"/>
        <v>0</v>
      </c>
      <c r="KH204" s="432">
        <f t="shared" si="573"/>
        <v>0</v>
      </c>
      <c r="KI204" s="433">
        <f t="shared" si="573"/>
        <v>0</v>
      </c>
      <c r="KJ204" s="148">
        <f t="shared" si="573"/>
        <v>0</v>
      </c>
      <c r="KK204" s="431">
        <f t="shared" si="573"/>
        <v>0</v>
      </c>
      <c r="KL204" s="432">
        <f t="shared" si="573"/>
        <v>0</v>
      </c>
      <c r="KM204" s="432">
        <f t="shared" si="573"/>
        <v>0</v>
      </c>
      <c r="KN204" s="432">
        <f t="shared" si="573"/>
        <v>0</v>
      </c>
      <c r="KO204" s="433">
        <f t="shared" si="573"/>
        <v>0</v>
      </c>
      <c r="KP204" s="148">
        <f t="shared" si="573"/>
        <v>0</v>
      </c>
      <c r="KQ204" s="431">
        <f t="shared" si="573"/>
        <v>0</v>
      </c>
      <c r="KR204" s="432">
        <f t="shared" si="573"/>
        <v>0</v>
      </c>
      <c r="KS204" s="432">
        <f t="shared" ref="KS204:LG204" si="575">SUM(KS205:KS206)</f>
        <v>0</v>
      </c>
      <c r="KT204" s="432">
        <f t="shared" si="575"/>
        <v>0</v>
      </c>
      <c r="KU204" s="433">
        <f t="shared" si="575"/>
        <v>0</v>
      </c>
      <c r="KV204" s="148">
        <f t="shared" si="575"/>
        <v>0</v>
      </c>
      <c r="KW204" s="431">
        <f t="shared" si="575"/>
        <v>0</v>
      </c>
      <c r="KX204" s="432">
        <f t="shared" si="575"/>
        <v>0</v>
      </c>
      <c r="KY204" s="432">
        <f t="shared" si="575"/>
        <v>0</v>
      </c>
      <c r="KZ204" s="432">
        <f t="shared" si="575"/>
        <v>0</v>
      </c>
      <c r="LA204" s="433">
        <f t="shared" si="575"/>
        <v>0</v>
      </c>
      <c r="LB204" s="148">
        <f t="shared" si="575"/>
        <v>0</v>
      </c>
      <c r="LC204" s="431">
        <f t="shared" si="575"/>
        <v>0</v>
      </c>
      <c r="LD204" s="432">
        <f t="shared" si="575"/>
        <v>0</v>
      </c>
      <c r="LE204" s="433">
        <f t="shared" si="575"/>
        <v>0</v>
      </c>
      <c r="LF204" s="148">
        <f t="shared" si="575"/>
        <v>0</v>
      </c>
      <c r="LG204" s="148">
        <f t="shared" si="575"/>
        <v>0</v>
      </c>
      <c r="LI204" s="670"/>
    </row>
    <row r="205" spans="2:322">
      <c r="B205" s="93" t="s">
        <v>122</v>
      </c>
      <c r="C205" s="93"/>
      <c r="D205" s="181"/>
      <c r="E205" s="167"/>
      <c r="F205" s="177"/>
      <c r="G205" s="177"/>
      <c r="H205" s="177"/>
      <c r="I205" s="178"/>
      <c r="J205" s="181">
        <f>SUM(E205:I205)</f>
        <v>0</v>
      </c>
      <c r="K205" s="167"/>
      <c r="L205" s="177"/>
      <c r="M205" s="177"/>
      <c r="N205" s="178"/>
      <c r="O205" s="181"/>
      <c r="P205" s="167"/>
      <c r="Q205" s="177"/>
      <c r="R205" s="177"/>
      <c r="S205" s="177"/>
      <c r="T205" s="178"/>
      <c r="U205" s="181">
        <f>SUM(P205:T205)</f>
        <v>0</v>
      </c>
      <c r="V205" s="167"/>
      <c r="W205" s="177"/>
      <c r="X205" s="177"/>
      <c r="Y205" s="177"/>
      <c r="Z205" s="178"/>
      <c r="AA205" s="181">
        <f>SUM(V205:Z205)</f>
        <v>0</v>
      </c>
      <c r="AB205" s="168">
        <f>AA205+U205+O205+J205+D205</f>
        <v>0</v>
      </c>
      <c r="AC205" s="181"/>
      <c r="AD205" s="238"/>
      <c r="AE205" s="238"/>
      <c r="AF205" s="238"/>
      <c r="AG205" s="239"/>
      <c r="AH205" s="168">
        <f>SUM(AC205:AG205)</f>
        <v>0</v>
      </c>
      <c r="AI205" s="242"/>
      <c r="AJ205" s="224"/>
      <c r="AK205" s="224"/>
      <c r="AL205" s="224"/>
      <c r="AM205" s="243"/>
      <c r="AN205" s="168"/>
      <c r="AO205" s="242"/>
      <c r="AP205" s="224"/>
      <c r="AQ205" s="224"/>
      <c r="AR205" s="224"/>
      <c r="AS205" s="243"/>
      <c r="AT205" s="168">
        <f>SUM(AO205:AS205)</f>
        <v>0</v>
      </c>
      <c r="AU205" s="242"/>
      <c r="AV205" s="224"/>
      <c r="AW205" s="224"/>
      <c r="AX205" s="224"/>
      <c r="AY205" s="243"/>
      <c r="AZ205" s="168">
        <f>SUM(AU205:AY205)</f>
        <v>0</v>
      </c>
      <c r="BA205" s="168">
        <f>AZ205+AT205+AN205+AH205</f>
        <v>0</v>
      </c>
      <c r="BB205" s="181"/>
      <c r="BC205" s="238"/>
      <c r="BD205" s="238"/>
      <c r="BE205" s="238"/>
      <c r="BF205" s="239"/>
      <c r="BG205" s="168">
        <f>SUM(BB205:BF205)</f>
        <v>0</v>
      </c>
      <c r="BH205" s="242"/>
      <c r="BI205" s="224"/>
      <c r="BJ205" s="224"/>
      <c r="BK205" s="224"/>
      <c r="BL205" s="243"/>
      <c r="BM205" s="168">
        <f>SUM(BH205:BL205)</f>
        <v>0</v>
      </c>
      <c r="BN205" s="242"/>
      <c r="BO205" s="224"/>
      <c r="BP205" s="224"/>
      <c r="BQ205" s="243"/>
      <c r="BR205" s="168">
        <f>SUM(BN205:BQ205)</f>
        <v>0</v>
      </c>
      <c r="BS205" s="242"/>
      <c r="BT205" s="224"/>
      <c r="BU205" s="224"/>
      <c r="BV205" s="224"/>
      <c r="BW205" s="243"/>
      <c r="BX205" s="168">
        <f>SUM(BS205:BW205)</f>
        <v>0</v>
      </c>
      <c r="BY205" s="242"/>
      <c r="BZ205" s="224"/>
      <c r="CA205" s="168">
        <f>SUM(BY205:BZ205)</f>
        <v>0</v>
      </c>
      <c r="CB205" s="168">
        <f>CA205+BX205+BR205+BM205+BG205</f>
        <v>0</v>
      </c>
      <c r="CC205" s="242"/>
      <c r="CD205" s="224"/>
      <c r="CE205" s="224"/>
      <c r="CF205" s="168">
        <f>SUM(CC205:CE205)</f>
        <v>0</v>
      </c>
      <c r="CG205" s="242"/>
      <c r="CH205" s="224"/>
      <c r="CI205" s="224"/>
      <c r="CJ205" s="243"/>
      <c r="CK205" s="168">
        <f>SUM(CG205:CJ205)</f>
        <v>0</v>
      </c>
      <c r="CL205" s="242"/>
      <c r="CM205" s="224"/>
      <c r="CN205" s="224"/>
      <c r="CO205" s="224"/>
      <c r="CP205" s="243"/>
      <c r="CQ205" s="168"/>
      <c r="CR205" s="242"/>
      <c r="CS205" s="224"/>
      <c r="CT205" s="224"/>
      <c r="CU205" s="224"/>
      <c r="CV205" s="243"/>
      <c r="CW205" s="168">
        <f>SUM(CR205:CV205)</f>
        <v>0</v>
      </c>
      <c r="CX205" s="242"/>
      <c r="CY205" s="224"/>
      <c r="CZ205" s="224"/>
      <c r="DA205" s="243"/>
      <c r="DB205" s="168"/>
      <c r="DC205" s="168">
        <f>DB205+CW205+CQ205+CK205+CF205</f>
        <v>0</v>
      </c>
      <c r="DD205" s="242"/>
      <c r="DE205" s="224"/>
      <c r="DF205" s="224"/>
      <c r="DG205" s="224"/>
      <c r="DH205" s="224"/>
      <c r="DI205" s="168">
        <f>SUM(DD205:DH205)</f>
        <v>0</v>
      </c>
      <c r="DJ205" s="242"/>
      <c r="DK205" s="224"/>
      <c r="DL205" s="224"/>
      <c r="DM205" s="224"/>
      <c r="DN205" s="243"/>
      <c r="DO205" s="168">
        <f>SUM(DJ205:DN205)</f>
        <v>0</v>
      </c>
      <c r="DP205" s="242"/>
      <c r="DQ205" s="224"/>
      <c r="DS205" s="224"/>
      <c r="DT205" s="243"/>
      <c r="DU205" s="168">
        <f>SUM(DP205:DT205)</f>
        <v>0</v>
      </c>
      <c r="DV205" s="242"/>
      <c r="DW205" s="224"/>
      <c r="DX205" s="224"/>
      <c r="DY205" s="224"/>
      <c r="DZ205" s="243"/>
      <c r="EA205" s="168">
        <f>SUM(DV205:DZ205)</f>
        <v>0</v>
      </c>
      <c r="EB205" s="168">
        <f>DI205+DO205+DU205+EA205</f>
        <v>0</v>
      </c>
      <c r="EC205" s="242"/>
      <c r="ED205" s="224"/>
      <c r="EE205" s="224"/>
      <c r="EF205" s="224"/>
      <c r="EG205" s="243"/>
      <c r="EH205" s="168">
        <f>SUM(EC205:EG205)</f>
        <v>0</v>
      </c>
      <c r="EI205" s="242"/>
      <c r="EJ205" s="224"/>
      <c r="EK205" s="224"/>
      <c r="EL205" s="224"/>
      <c r="EM205" s="243"/>
      <c r="EN205" s="168">
        <f>SUM(EI205:EM205)</f>
        <v>0</v>
      </c>
      <c r="EO205" s="242"/>
      <c r="EP205" s="224"/>
      <c r="EQ205" s="224"/>
      <c r="ER205" s="224"/>
      <c r="ES205" s="243"/>
      <c r="ET205" s="168">
        <f>SUM(EO205:ES205)</f>
        <v>0</v>
      </c>
      <c r="EU205" s="242"/>
      <c r="EV205" s="224"/>
      <c r="EW205" s="224"/>
      <c r="EX205" s="224"/>
      <c r="EY205" s="224"/>
      <c r="EZ205" s="224"/>
      <c r="FA205" s="375"/>
      <c r="FB205" s="168">
        <f>SUM(EU205:FA205)</f>
        <v>0</v>
      </c>
      <c r="FC205" s="168">
        <f>FB205+ET205+EN205+EH205</f>
        <v>0</v>
      </c>
      <c r="FD205" s="242"/>
      <c r="FE205" s="224"/>
      <c r="FF205" s="243"/>
      <c r="FG205" s="168">
        <f>SUM(FD205:FF205)</f>
        <v>0</v>
      </c>
      <c r="FH205" s="242"/>
      <c r="FI205" s="224"/>
      <c r="FJ205" s="224"/>
      <c r="FK205" s="224"/>
      <c r="FL205" s="243"/>
      <c r="FM205" s="168">
        <f>SUM(FH205:FL205)</f>
        <v>0</v>
      </c>
      <c r="FN205" s="242"/>
      <c r="FO205" s="224"/>
      <c r="FP205" s="224"/>
      <c r="FQ205" s="224"/>
      <c r="FR205" s="168">
        <f>SUM(FN205:FQ205)</f>
        <v>0</v>
      </c>
      <c r="FS205" s="242"/>
      <c r="FT205" s="224"/>
      <c r="FU205" s="224"/>
      <c r="FV205" s="224"/>
      <c r="FW205" s="243"/>
      <c r="FX205" s="168">
        <f>SUM(FS205:FW205)</f>
        <v>0</v>
      </c>
      <c r="FY205" s="242"/>
      <c r="FZ205" s="224"/>
      <c r="GA205" s="224"/>
      <c r="GB205" s="224"/>
      <c r="GC205" s="243"/>
      <c r="GD205" s="168">
        <f>SUM(FY205:GC205)</f>
        <v>0</v>
      </c>
      <c r="GE205" s="168">
        <f>FG205+FM205+FR205+FX205+GD205</f>
        <v>0</v>
      </c>
      <c r="GF205" s="242"/>
      <c r="GG205" s="224"/>
      <c r="GH205" s="224"/>
      <c r="GI205" s="224"/>
      <c r="GJ205" s="224"/>
      <c r="GK205" s="168">
        <f>SUM(GF205:GJ205)</f>
        <v>0</v>
      </c>
      <c r="GL205" s="242"/>
      <c r="GM205" s="224"/>
      <c r="GN205" s="224"/>
      <c r="GO205" s="243"/>
      <c r="GP205" s="168">
        <f>SUM(GL205:GO205)</f>
        <v>0</v>
      </c>
      <c r="GQ205" s="242"/>
      <c r="GR205" s="224"/>
      <c r="GS205" s="224"/>
      <c r="GT205" s="224"/>
      <c r="GU205" s="243"/>
      <c r="GV205" s="168">
        <f>SUM(GQ205:GU205)</f>
        <v>0</v>
      </c>
      <c r="GW205" s="181"/>
      <c r="GX205" s="238"/>
      <c r="GY205" s="238"/>
      <c r="GZ205" s="238"/>
      <c r="HA205" s="238"/>
      <c r="HB205" s="239"/>
      <c r="HC205" s="168">
        <f>SUM(GW205:HB205)</f>
        <v>0</v>
      </c>
      <c r="HD205" s="168">
        <f>GK205+GP205+GV205+HC205</f>
        <v>0</v>
      </c>
      <c r="HE205" s="242"/>
      <c r="HF205" s="224"/>
      <c r="HG205" s="224"/>
      <c r="HH205" s="224"/>
      <c r="HI205" s="168">
        <f>SUM(HE205:HH205)</f>
        <v>0</v>
      </c>
      <c r="HJ205" s="242"/>
      <c r="HK205" s="224"/>
      <c r="HL205" s="224"/>
      <c r="HM205" s="224"/>
      <c r="HN205" s="243"/>
      <c r="HO205" s="168">
        <f>SUM(HJ205:HN205)</f>
        <v>0</v>
      </c>
      <c r="HP205" s="242"/>
      <c r="HQ205" s="224"/>
      <c r="HR205" s="224"/>
      <c r="HS205" s="224"/>
      <c r="HT205" s="243"/>
      <c r="HU205" s="168">
        <f>SUM(HP205:HT205)</f>
        <v>0</v>
      </c>
      <c r="HV205" s="242">
        <f>61110/1.133</f>
        <v>53936.451897616949</v>
      </c>
      <c r="HW205" s="224"/>
      <c r="HX205" s="224"/>
      <c r="HY205" s="168">
        <f>SUM(HV205:HX205)</f>
        <v>53936.451897616949</v>
      </c>
      <c r="HZ205" s="242"/>
      <c r="IA205" s="224"/>
      <c r="IB205" s="243"/>
      <c r="IC205" s="168">
        <f>SUM(HZ205:IB205)</f>
        <v>0</v>
      </c>
      <c r="ID205" s="168">
        <f>HI205+HO205+HU205+HY205+IC205</f>
        <v>53936.451897616949</v>
      </c>
      <c r="IE205" s="242"/>
      <c r="IF205" s="243"/>
      <c r="IG205" s="168">
        <f>SUM(IE205:IF205)</f>
        <v>0</v>
      </c>
      <c r="IH205" s="242"/>
      <c r="II205" s="224"/>
      <c r="IJ205" s="224"/>
      <c r="IK205" s="224">
        <v>407619.1</v>
      </c>
      <c r="IL205" s="243"/>
      <c r="IM205" s="168">
        <f>SUM(IH205:IL205)</f>
        <v>407619.1</v>
      </c>
      <c r="IN205" s="242"/>
      <c r="IO205" s="224"/>
      <c r="IP205" s="243"/>
      <c r="IQ205" s="168">
        <f>SUM(IN205:IP205)</f>
        <v>0</v>
      </c>
      <c r="IR205" s="242"/>
      <c r="IS205" s="224"/>
      <c r="IT205" s="224"/>
      <c r="IU205" s="224"/>
      <c r="IV205" s="243"/>
      <c r="IW205" s="168">
        <f>SUM(IR205:IV205)</f>
        <v>0</v>
      </c>
      <c r="IX205" s="181"/>
      <c r="IY205" s="238"/>
      <c r="IZ205" s="238"/>
      <c r="JA205" s="238"/>
      <c r="JB205" s="239"/>
      <c r="JC205" s="168">
        <f>SUM(IX205:JB205)</f>
        <v>0</v>
      </c>
      <c r="JD205" s="168">
        <f>JC205+IW205+IQ205+IM205+IG205</f>
        <v>407619.1</v>
      </c>
      <c r="JE205" s="181"/>
      <c r="JF205" s="238"/>
      <c r="JG205" s="238"/>
      <c r="JH205" s="238"/>
      <c r="JI205" s="239"/>
      <c r="JJ205" s="168">
        <f>SUM(JE205:JI205)</f>
        <v>0</v>
      </c>
      <c r="JK205" s="242"/>
      <c r="JL205" s="224"/>
      <c r="JM205" s="224"/>
      <c r="JN205" s="224"/>
      <c r="JO205" s="243"/>
      <c r="JP205" s="168">
        <f>SUM(JK205:JO205)</f>
        <v>0</v>
      </c>
      <c r="JQ205" s="242"/>
      <c r="JR205" s="224"/>
      <c r="JS205" s="224"/>
      <c r="JT205" s="224"/>
      <c r="JU205" s="243"/>
      <c r="JV205" s="168">
        <f>SUM(JQ205:JU205)</f>
        <v>0</v>
      </c>
      <c r="JW205" s="242"/>
      <c r="JX205" s="224"/>
      <c r="JY205" s="224"/>
      <c r="JZ205" s="224"/>
      <c r="KA205" s="224"/>
      <c r="KB205" s="243"/>
      <c r="KC205" s="168">
        <f>SUM(JW205:KB205)</f>
        <v>0</v>
      </c>
      <c r="KD205" s="168">
        <f>JJ205+JP205+JV205+KC205</f>
        <v>0</v>
      </c>
      <c r="KE205" s="242"/>
      <c r="KF205" s="224"/>
      <c r="KG205" s="224"/>
      <c r="KH205" s="224"/>
      <c r="KI205" s="243"/>
      <c r="KJ205" s="168">
        <f>SUM(KE205:KI205)</f>
        <v>0</v>
      </c>
      <c r="KK205" s="242"/>
      <c r="KL205" s="224"/>
      <c r="KM205" s="224"/>
      <c r="KN205" s="224"/>
      <c r="KO205" s="243"/>
      <c r="KP205" s="168">
        <f>SUM(KK205:KO205)</f>
        <v>0</v>
      </c>
      <c r="KQ205" s="181"/>
      <c r="KR205" s="238"/>
      <c r="KS205" s="238"/>
      <c r="KT205" s="238"/>
      <c r="KU205" s="239"/>
      <c r="KV205" s="168">
        <f>SUM(KQ205:KU205)</f>
        <v>0</v>
      </c>
      <c r="KW205" s="181"/>
      <c r="KX205" s="238"/>
      <c r="KY205" s="238"/>
      <c r="KZ205" s="238"/>
      <c r="LA205" s="239"/>
      <c r="LB205" s="168">
        <f>SUM(KW205:LA205)</f>
        <v>0</v>
      </c>
      <c r="LC205" s="181"/>
      <c r="LD205" s="238"/>
      <c r="LE205" s="239"/>
      <c r="LF205" s="168">
        <f>SUM(LC205:LE205)</f>
        <v>0</v>
      </c>
      <c r="LG205" s="168">
        <f>LF205+LB205+KV205+KP205+KJ205</f>
        <v>0</v>
      </c>
    </row>
    <row r="206" spans="2:322">
      <c r="B206" s="93"/>
      <c r="C206" s="93"/>
      <c r="D206" s="181"/>
      <c r="E206" s="167"/>
      <c r="F206" s="177"/>
      <c r="G206" s="177"/>
      <c r="H206" s="177"/>
      <c r="I206" s="178"/>
      <c r="J206" s="181"/>
      <c r="K206" s="167"/>
      <c r="L206" s="177"/>
      <c r="M206" s="177"/>
      <c r="N206" s="178"/>
      <c r="O206" s="181"/>
      <c r="P206" s="167"/>
      <c r="Q206" s="177"/>
      <c r="R206" s="177"/>
      <c r="S206" s="177"/>
      <c r="T206" s="178"/>
      <c r="U206" s="181"/>
      <c r="V206" s="167"/>
      <c r="W206" s="177"/>
      <c r="X206" s="177"/>
      <c r="Y206" s="177"/>
      <c r="Z206" s="178"/>
      <c r="AA206" s="181"/>
      <c r="AB206" s="146"/>
      <c r="AC206" s="167"/>
      <c r="AD206" s="177"/>
      <c r="AE206" s="177"/>
      <c r="AF206" s="177"/>
      <c r="AG206" s="178"/>
      <c r="AH206" s="146"/>
      <c r="AI206" s="167"/>
      <c r="AJ206" s="177"/>
      <c r="AK206" s="177"/>
      <c r="AL206" s="177"/>
      <c r="AM206" s="178"/>
      <c r="AN206" s="146"/>
      <c r="AO206" s="167"/>
      <c r="AP206" s="177"/>
      <c r="AQ206" s="177"/>
      <c r="AR206" s="177"/>
      <c r="AS206" s="178"/>
      <c r="AT206" s="146"/>
      <c r="AU206" s="167"/>
      <c r="AV206" s="177"/>
      <c r="AW206" s="177"/>
      <c r="AX206" s="177"/>
      <c r="AY206" s="178"/>
      <c r="AZ206" s="146"/>
      <c r="BA206" s="168"/>
      <c r="BB206" s="181"/>
      <c r="BC206" s="238"/>
      <c r="BD206" s="238"/>
      <c r="BE206" s="238"/>
      <c r="BF206" s="239"/>
      <c r="BG206" s="168"/>
      <c r="BH206" s="242"/>
      <c r="BI206" s="224"/>
      <c r="BJ206" s="224"/>
      <c r="BK206" s="224"/>
      <c r="BL206" s="243"/>
      <c r="BM206" s="168"/>
      <c r="BN206" s="242"/>
      <c r="BO206" s="224"/>
      <c r="BP206" s="224"/>
      <c r="BQ206" s="243"/>
      <c r="BR206" s="168"/>
      <c r="BS206" s="181"/>
      <c r="BT206" s="238"/>
      <c r="BU206" s="238"/>
      <c r="BV206" s="238"/>
      <c r="BW206" s="239"/>
      <c r="BX206" s="168"/>
      <c r="BY206" s="181"/>
      <c r="BZ206" s="238"/>
      <c r="CA206" s="168"/>
      <c r="CB206" s="168"/>
      <c r="CC206" s="242"/>
      <c r="CD206" s="224"/>
      <c r="CE206" s="224"/>
      <c r="CF206" s="168"/>
      <c r="CG206" s="242"/>
      <c r="CH206" s="224"/>
      <c r="CI206" s="224"/>
      <c r="CJ206" s="243"/>
      <c r="CK206" s="168"/>
      <c r="CL206" s="242"/>
      <c r="CM206" s="224"/>
      <c r="CN206" s="224"/>
      <c r="CO206" s="224"/>
      <c r="CP206" s="243"/>
      <c r="CQ206" s="168"/>
      <c r="CR206" s="242"/>
      <c r="CS206" s="224"/>
      <c r="CT206" s="224"/>
      <c r="CU206" s="224"/>
      <c r="CV206" s="243"/>
      <c r="CW206" s="168"/>
      <c r="CX206" s="242"/>
      <c r="CY206" s="224"/>
      <c r="CZ206" s="224"/>
      <c r="DA206" s="243"/>
      <c r="DB206" s="168"/>
      <c r="DC206" s="168"/>
      <c r="DD206" s="242"/>
      <c r="DE206" s="224"/>
      <c r="DF206" s="224"/>
      <c r="DG206" s="224"/>
      <c r="DH206" s="224"/>
      <c r="DI206" s="168"/>
      <c r="DJ206" s="242"/>
      <c r="DK206" s="224"/>
      <c r="DL206" s="224"/>
      <c r="DM206" s="224"/>
      <c r="DN206" s="243"/>
      <c r="DO206" s="168"/>
      <c r="DP206" s="242"/>
      <c r="DQ206" s="224"/>
      <c r="DR206" s="224"/>
      <c r="DS206" s="224"/>
      <c r="DT206" s="243"/>
      <c r="DU206" s="168"/>
      <c r="DV206" s="242"/>
      <c r="DW206" s="224"/>
      <c r="DX206" s="224"/>
      <c r="DY206" s="224"/>
      <c r="DZ206" s="243"/>
      <c r="EA206" s="168"/>
      <c r="EB206" s="168"/>
      <c r="EC206" s="242"/>
      <c r="ED206" s="224"/>
      <c r="EE206" s="224"/>
      <c r="EF206" s="224"/>
      <c r="EG206" s="243"/>
      <c r="EH206" s="168"/>
      <c r="EI206" s="242"/>
      <c r="EJ206" s="224"/>
      <c r="EK206" s="224"/>
      <c r="EL206" s="224"/>
      <c r="EM206" s="243"/>
      <c r="EN206" s="168"/>
      <c r="EO206" s="242"/>
      <c r="EP206" s="224"/>
      <c r="EQ206" s="224"/>
      <c r="ER206" s="224"/>
      <c r="ES206" s="243"/>
      <c r="ET206" s="168"/>
      <c r="EU206" s="181"/>
      <c r="EV206" s="238"/>
      <c r="EW206" s="238"/>
      <c r="EX206" s="238"/>
      <c r="EY206" s="238"/>
      <c r="EZ206" s="238"/>
      <c r="FA206" s="239"/>
      <c r="FB206" s="168"/>
      <c r="FC206" s="168"/>
      <c r="FD206" s="181"/>
      <c r="FE206" s="238"/>
      <c r="FF206" s="239"/>
      <c r="FG206" s="168"/>
      <c r="FH206" s="181"/>
      <c r="FI206" s="238"/>
      <c r="FJ206" s="238"/>
      <c r="FK206" s="238"/>
      <c r="FL206" s="239"/>
      <c r="FM206" s="168"/>
      <c r="FN206" s="242"/>
      <c r="FO206" s="224"/>
      <c r="FP206" s="224"/>
      <c r="FQ206" s="224"/>
      <c r="FR206" s="168"/>
      <c r="FS206" s="181"/>
      <c r="FT206" s="238"/>
      <c r="FU206" s="238"/>
      <c r="FV206" s="238"/>
      <c r="FW206" s="239"/>
      <c r="FX206" s="168"/>
      <c r="FY206" s="181"/>
      <c r="FZ206" s="238"/>
      <c r="GA206" s="238"/>
      <c r="GB206" s="238"/>
      <c r="GC206" s="239"/>
      <c r="GD206" s="168"/>
      <c r="GE206" s="168"/>
      <c r="GF206" s="181"/>
      <c r="GG206" s="238"/>
      <c r="GH206" s="238"/>
      <c r="GI206" s="238"/>
      <c r="GJ206" s="238"/>
      <c r="GK206" s="168"/>
      <c r="GL206" s="181"/>
      <c r="GM206" s="238"/>
      <c r="GN206" s="238"/>
      <c r="GO206" s="239"/>
      <c r="GP206" s="168"/>
      <c r="GQ206" s="242"/>
      <c r="GR206" s="224"/>
      <c r="GS206" s="224"/>
      <c r="GT206" s="224"/>
      <c r="GU206" s="243"/>
      <c r="GV206" s="168"/>
      <c r="GW206" s="181"/>
      <c r="GX206" s="238"/>
      <c r="GY206" s="238"/>
      <c r="GZ206" s="238"/>
      <c r="HA206" s="238"/>
      <c r="HB206" s="239"/>
      <c r="HC206" s="168"/>
      <c r="HD206" s="168"/>
      <c r="HE206" s="181"/>
      <c r="HF206" s="238"/>
      <c r="HG206" s="238"/>
      <c r="HH206" s="238"/>
      <c r="HI206" s="168"/>
      <c r="HJ206" s="242"/>
      <c r="HK206" s="224"/>
      <c r="HL206" s="224"/>
      <c r="HM206" s="224"/>
      <c r="HN206" s="243"/>
      <c r="HO206" s="168"/>
      <c r="HP206" s="242"/>
      <c r="HQ206" s="224"/>
      <c r="HR206" s="224"/>
      <c r="HS206" s="224"/>
      <c r="HT206" s="243"/>
      <c r="HU206" s="168"/>
      <c r="HV206" s="181"/>
      <c r="HW206" s="238"/>
      <c r="HX206" s="238"/>
      <c r="HY206" s="168"/>
      <c r="HZ206" s="181"/>
      <c r="IA206" s="238"/>
      <c r="IB206" s="239"/>
      <c r="IC206" s="168"/>
      <c r="ID206" s="168"/>
      <c r="IE206" s="242"/>
      <c r="IF206" s="243"/>
      <c r="IG206" s="168"/>
      <c r="IH206" s="242"/>
      <c r="II206" s="224"/>
      <c r="IJ206" s="224"/>
      <c r="IK206" s="224"/>
      <c r="IL206" s="243"/>
      <c r="IM206" s="168"/>
      <c r="IN206" s="181"/>
      <c r="IO206" s="238"/>
      <c r="IP206" s="239"/>
      <c r="IQ206" s="168"/>
      <c r="IR206" s="181"/>
      <c r="IS206" s="238"/>
      <c r="IT206" s="238"/>
      <c r="IU206" s="238"/>
      <c r="IV206" s="239"/>
      <c r="IW206" s="168"/>
      <c r="IX206" s="181"/>
      <c r="IY206" s="238"/>
      <c r="IZ206" s="238"/>
      <c r="JA206" s="238"/>
      <c r="JB206" s="239"/>
      <c r="JC206" s="168"/>
      <c r="JD206" s="168"/>
      <c r="JE206" s="181"/>
      <c r="JF206" s="238"/>
      <c r="JG206" s="238"/>
      <c r="JH206" s="238"/>
      <c r="JI206" s="239"/>
      <c r="JJ206" s="168"/>
      <c r="JK206" s="242"/>
      <c r="JL206" s="224"/>
      <c r="JM206" s="224"/>
      <c r="JN206" s="224"/>
      <c r="JO206" s="243"/>
      <c r="JP206" s="168"/>
      <c r="JQ206" s="242"/>
      <c r="JR206" s="224"/>
      <c r="JS206" s="224"/>
      <c r="JT206" s="224"/>
      <c r="JU206" s="243"/>
      <c r="JV206" s="168"/>
      <c r="JW206" s="242"/>
      <c r="JX206" s="224"/>
      <c r="JY206" s="224"/>
      <c r="JZ206" s="224"/>
      <c r="KA206" s="224"/>
      <c r="KB206" s="243"/>
      <c r="KC206" s="168"/>
      <c r="KD206" s="168"/>
      <c r="KE206" s="242"/>
      <c r="KF206" s="224"/>
      <c r="KG206" s="224"/>
      <c r="KH206" s="224"/>
      <c r="KI206" s="243"/>
      <c r="KJ206" s="168"/>
      <c r="KK206" s="242"/>
      <c r="KL206" s="224"/>
      <c r="KM206" s="224"/>
      <c r="KN206" s="224"/>
      <c r="KO206" s="243"/>
      <c r="KP206" s="168"/>
      <c r="KQ206" s="181"/>
      <c r="KR206" s="238"/>
      <c r="KS206" s="238"/>
      <c r="KT206" s="238"/>
      <c r="KU206" s="239"/>
      <c r="KV206" s="168"/>
      <c r="KW206" s="181"/>
      <c r="KX206" s="238"/>
      <c r="KY206" s="238"/>
      <c r="KZ206" s="238"/>
      <c r="LA206" s="239"/>
      <c r="LB206" s="168"/>
      <c r="LC206" s="181"/>
      <c r="LD206" s="238"/>
      <c r="LE206" s="239"/>
      <c r="LF206" s="168"/>
      <c r="LG206" s="168"/>
    </row>
    <row r="207" spans="2:322" ht="15.75" thickBot="1">
      <c r="B207" s="95" t="s">
        <v>96</v>
      </c>
      <c r="C207" s="95">
        <f>C204-C198</f>
        <v>0</v>
      </c>
      <c r="D207" s="173">
        <f t="shared" ref="D207:AA207" si="576">D204-D198</f>
        <v>0</v>
      </c>
      <c r="E207" s="173">
        <f t="shared" si="576"/>
        <v>0</v>
      </c>
      <c r="F207" s="173">
        <f t="shared" si="576"/>
        <v>0</v>
      </c>
      <c r="G207" s="173">
        <f t="shared" si="576"/>
        <v>0</v>
      </c>
      <c r="H207" s="173">
        <f t="shared" si="576"/>
        <v>0</v>
      </c>
      <c r="I207" s="173">
        <f t="shared" si="576"/>
        <v>-25</v>
      </c>
      <c r="J207" s="173">
        <f t="shared" si="576"/>
        <v>-25</v>
      </c>
      <c r="K207" s="173">
        <f t="shared" si="576"/>
        <v>0</v>
      </c>
      <c r="L207" s="173">
        <f t="shared" si="576"/>
        <v>0</v>
      </c>
      <c r="M207" s="173">
        <f t="shared" si="576"/>
        <v>-5.43</v>
      </c>
      <c r="N207" s="173">
        <f t="shared" si="576"/>
        <v>0</v>
      </c>
      <c r="O207" s="173">
        <f t="shared" si="576"/>
        <v>-5.43</v>
      </c>
      <c r="P207" s="173">
        <f t="shared" si="576"/>
        <v>0</v>
      </c>
      <c r="Q207" s="173">
        <f t="shared" si="576"/>
        <v>0</v>
      </c>
      <c r="R207" s="173">
        <f t="shared" si="576"/>
        <v>-11227.34</v>
      </c>
      <c r="S207" s="173">
        <f t="shared" si="576"/>
        <v>0</v>
      </c>
      <c r="T207" s="173">
        <f t="shared" si="576"/>
        <v>0</v>
      </c>
      <c r="U207" s="173">
        <f t="shared" si="576"/>
        <v>-11227.34</v>
      </c>
      <c r="V207" s="173">
        <f t="shared" si="576"/>
        <v>0</v>
      </c>
      <c r="W207" s="173">
        <f t="shared" si="576"/>
        <v>0</v>
      </c>
      <c r="X207" s="173">
        <f t="shared" si="576"/>
        <v>-8230</v>
      </c>
      <c r="Y207" s="173">
        <f t="shared" si="576"/>
        <v>0</v>
      </c>
      <c r="Z207" s="173">
        <f t="shared" si="576"/>
        <v>0</v>
      </c>
      <c r="AA207" s="173">
        <f t="shared" si="576"/>
        <v>-8230</v>
      </c>
      <c r="AB207" s="235">
        <f t="shared" ref="AB207:LG207" si="577">AB204-AB198</f>
        <v>-19487.77</v>
      </c>
      <c r="AC207" s="173">
        <f t="shared" si="577"/>
        <v>0</v>
      </c>
      <c r="AD207" s="241">
        <f t="shared" si="577"/>
        <v>0</v>
      </c>
      <c r="AE207" s="241">
        <f t="shared" si="577"/>
        <v>0</v>
      </c>
      <c r="AF207" s="241">
        <f t="shared" si="577"/>
        <v>0</v>
      </c>
      <c r="AG207" s="497">
        <f t="shared" si="577"/>
        <v>0</v>
      </c>
      <c r="AH207" s="199">
        <f t="shared" ref="AH207:AM207" si="578">AH204-AH198</f>
        <v>0</v>
      </c>
      <c r="AI207" s="173">
        <f t="shared" si="578"/>
        <v>0</v>
      </c>
      <c r="AJ207" s="241">
        <f t="shared" si="578"/>
        <v>0</v>
      </c>
      <c r="AK207" s="241">
        <f t="shared" si="578"/>
        <v>0</v>
      </c>
      <c r="AL207" s="241">
        <f t="shared" si="578"/>
        <v>0</v>
      </c>
      <c r="AM207" s="497">
        <f t="shared" si="578"/>
        <v>0</v>
      </c>
      <c r="AN207" s="199">
        <f t="shared" ref="AN207:AZ207" si="579">AN204-AN198</f>
        <v>0</v>
      </c>
      <c r="AO207" s="173">
        <f t="shared" si="579"/>
        <v>0</v>
      </c>
      <c r="AP207" s="241">
        <f t="shared" si="579"/>
        <v>0</v>
      </c>
      <c r="AQ207" s="241">
        <f t="shared" si="579"/>
        <v>0</v>
      </c>
      <c r="AR207" s="241">
        <f t="shared" si="579"/>
        <v>0</v>
      </c>
      <c r="AS207" s="497">
        <f t="shared" si="579"/>
        <v>0</v>
      </c>
      <c r="AT207" s="199">
        <f t="shared" si="579"/>
        <v>0</v>
      </c>
      <c r="AU207" s="173">
        <f t="shared" si="579"/>
        <v>0</v>
      </c>
      <c r="AV207" s="241">
        <f t="shared" si="579"/>
        <v>0</v>
      </c>
      <c r="AW207" s="241">
        <f t="shared" si="579"/>
        <v>0</v>
      </c>
      <c r="AX207" s="241">
        <f t="shared" si="579"/>
        <v>0</v>
      </c>
      <c r="AY207" s="497">
        <f t="shared" si="579"/>
        <v>0</v>
      </c>
      <c r="AZ207" s="199">
        <f t="shared" si="579"/>
        <v>0</v>
      </c>
      <c r="BA207" s="235">
        <f t="shared" si="577"/>
        <v>0</v>
      </c>
      <c r="BB207" s="173">
        <f t="shared" si="577"/>
        <v>0</v>
      </c>
      <c r="BC207" s="241">
        <f t="shared" si="577"/>
        <v>0</v>
      </c>
      <c r="BD207" s="241">
        <f t="shared" si="577"/>
        <v>0</v>
      </c>
      <c r="BE207" s="241">
        <f t="shared" si="577"/>
        <v>0</v>
      </c>
      <c r="BF207" s="497">
        <f t="shared" si="577"/>
        <v>878.73</v>
      </c>
      <c r="BG207" s="199">
        <f t="shared" si="577"/>
        <v>878.73</v>
      </c>
      <c r="BH207" s="173">
        <f t="shared" si="577"/>
        <v>0</v>
      </c>
      <c r="BI207" s="241">
        <f t="shared" si="577"/>
        <v>0</v>
      </c>
      <c r="BJ207" s="241">
        <f t="shared" si="577"/>
        <v>0</v>
      </c>
      <c r="BK207" s="241">
        <f t="shared" si="577"/>
        <v>0</v>
      </c>
      <c r="BL207" s="497">
        <f t="shared" si="577"/>
        <v>0</v>
      </c>
      <c r="BM207" s="199">
        <f t="shared" si="577"/>
        <v>0</v>
      </c>
      <c r="BN207" s="173">
        <f t="shared" si="577"/>
        <v>0</v>
      </c>
      <c r="BO207" s="241">
        <f t="shared" si="577"/>
        <v>0</v>
      </c>
      <c r="BP207" s="241">
        <f t="shared" si="577"/>
        <v>0</v>
      </c>
      <c r="BQ207" s="497">
        <f t="shared" si="577"/>
        <v>0</v>
      </c>
      <c r="BR207" s="199">
        <f t="shared" si="577"/>
        <v>0</v>
      </c>
      <c r="BS207" s="173">
        <f t="shared" si="577"/>
        <v>0</v>
      </c>
      <c r="BT207" s="241">
        <f t="shared" si="577"/>
        <v>0</v>
      </c>
      <c r="BU207" s="241">
        <f t="shared" si="577"/>
        <v>0</v>
      </c>
      <c r="BV207" s="241">
        <f t="shared" si="577"/>
        <v>0</v>
      </c>
      <c r="BW207" s="497">
        <f t="shared" si="577"/>
        <v>0</v>
      </c>
      <c r="BX207" s="199">
        <f t="shared" si="577"/>
        <v>0</v>
      </c>
      <c r="BY207" s="173">
        <f>BY204-BY198</f>
        <v>0</v>
      </c>
      <c r="BZ207" s="241">
        <f>BZ204-BZ198</f>
        <v>0</v>
      </c>
      <c r="CA207" s="199">
        <f t="shared" si="577"/>
        <v>0</v>
      </c>
      <c r="CB207" s="235">
        <f t="shared" si="577"/>
        <v>878.73</v>
      </c>
      <c r="CC207" s="173">
        <f t="shared" si="577"/>
        <v>0</v>
      </c>
      <c r="CD207" s="241">
        <f t="shared" si="577"/>
        <v>-5.68</v>
      </c>
      <c r="CE207" s="241">
        <f t="shared" si="577"/>
        <v>0</v>
      </c>
      <c r="CF207" s="199">
        <f t="shared" si="577"/>
        <v>-5.68</v>
      </c>
      <c r="CG207" s="173">
        <f t="shared" si="577"/>
        <v>0</v>
      </c>
      <c r="CH207" s="241">
        <f t="shared" si="577"/>
        <v>0</v>
      </c>
      <c r="CI207" s="241">
        <f t="shared" si="577"/>
        <v>0</v>
      </c>
      <c r="CJ207" s="497">
        <f t="shared" si="577"/>
        <v>0</v>
      </c>
      <c r="CK207" s="199">
        <f t="shared" si="577"/>
        <v>0</v>
      </c>
      <c r="CL207" s="173">
        <f t="shared" si="577"/>
        <v>0</v>
      </c>
      <c r="CM207" s="241">
        <f t="shared" si="577"/>
        <v>0</v>
      </c>
      <c r="CN207" s="241">
        <f t="shared" si="577"/>
        <v>0</v>
      </c>
      <c r="CO207" s="241">
        <f t="shared" si="577"/>
        <v>0</v>
      </c>
      <c r="CP207" s="497">
        <f t="shared" si="577"/>
        <v>0</v>
      </c>
      <c r="CQ207" s="199">
        <f t="shared" si="577"/>
        <v>0</v>
      </c>
      <c r="CR207" s="173">
        <f t="shared" si="577"/>
        <v>0</v>
      </c>
      <c r="CS207" s="241">
        <f t="shared" si="577"/>
        <v>0</v>
      </c>
      <c r="CT207" s="241">
        <f t="shared" si="577"/>
        <v>0</v>
      </c>
      <c r="CU207" s="241">
        <f t="shared" si="577"/>
        <v>0</v>
      </c>
      <c r="CV207" s="497">
        <f t="shared" si="577"/>
        <v>0</v>
      </c>
      <c r="CW207" s="199">
        <f t="shared" si="577"/>
        <v>0</v>
      </c>
      <c r="CX207" s="173">
        <f t="shared" si="577"/>
        <v>0</v>
      </c>
      <c r="CY207" s="241">
        <f>CY204-CY198</f>
        <v>0</v>
      </c>
      <c r="CZ207" s="241">
        <f t="shared" si="577"/>
        <v>0</v>
      </c>
      <c r="DA207" s="497">
        <f t="shared" si="577"/>
        <v>0</v>
      </c>
      <c r="DB207" s="199">
        <f t="shared" si="577"/>
        <v>0</v>
      </c>
      <c r="DC207" s="235">
        <f t="shared" si="577"/>
        <v>-5.68</v>
      </c>
      <c r="DD207" s="173">
        <f t="shared" si="577"/>
        <v>0</v>
      </c>
      <c r="DE207" s="241">
        <f t="shared" si="577"/>
        <v>0</v>
      </c>
      <c r="DF207" s="241">
        <f t="shared" si="577"/>
        <v>0</v>
      </c>
      <c r="DG207" s="241">
        <f t="shared" si="577"/>
        <v>0</v>
      </c>
      <c r="DH207" s="241">
        <f t="shared" si="577"/>
        <v>0</v>
      </c>
      <c r="DI207" s="199">
        <f t="shared" si="577"/>
        <v>0</v>
      </c>
      <c r="DJ207" s="173">
        <f t="shared" si="577"/>
        <v>0</v>
      </c>
      <c r="DK207" s="241">
        <f t="shared" si="577"/>
        <v>0</v>
      </c>
      <c r="DL207" s="241">
        <f t="shared" si="577"/>
        <v>0</v>
      </c>
      <c r="DM207" s="241">
        <f t="shared" si="577"/>
        <v>0</v>
      </c>
      <c r="DN207" s="497">
        <f t="shared" si="577"/>
        <v>0</v>
      </c>
      <c r="DO207" s="199">
        <f t="shared" si="577"/>
        <v>0</v>
      </c>
      <c r="DP207" s="173">
        <f t="shared" si="577"/>
        <v>0</v>
      </c>
      <c r="DQ207" s="241">
        <f t="shared" si="577"/>
        <v>0</v>
      </c>
      <c r="DR207" s="241">
        <f t="shared" ca="1" si="577"/>
        <v>31236.06</v>
      </c>
      <c r="DS207" s="241">
        <f t="shared" si="577"/>
        <v>0</v>
      </c>
      <c r="DT207" s="497">
        <f t="shared" si="577"/>
        <v>0</v>
      </c>
      <c r="DU207" s="199">
        <f t="shared" si="577"/>
        <v>31236.06</v>
      </c>
      <c r="DV207" s="173">
        <f t="shared" si="577"/>
        <v>0</v>
      </c>
      <c r="DW207" s="241">
        <f t="shared" si="577"/>
        <v>0</v>
      </c>
      <c r="DX207" s="241">
        <f t="shared" si="577"/>
        <v>-30238.52</v>
      </c>
      <c r="DY207" s="241">
        <f t="shared" si="577"/>
        <v>0</v>
      </c>
      <c r="DZ207" s="497">
        <f t="shared" si="577"/>
        <v>0</v>
      </c>
      <c r="EA207" s="199">
        <f t="shared" si="577"/>
        <v>-30238.52</v>
      </c>
      <c r="EB207" s="235">
        <f t="shared" si="577"/>
        <v>997.54000000000087</v>
      </c>
      <c r="EC207" s="173">
        <f t="shared" si="577"/>
        <v>0</v>
      </c>
      <c r="ED207" s="241">
        <f t="shared" si="577"/>
        <v>0</v>
      </c>
      <c r="EE207" s="241">
        <f t="shared" si="577"/>
        <v>0</v>
      </c>
      <c r="EF207" s="241">
        <f t="shared" si="577"/>
        <v>0</v>
      </c>
      <c r="EG207" s="497">
        <f t="shared" si="577"/>
        <v>0</v>
      </c>
      <c r="EH207" s="199">
        <f t="shared" si="577"/>
        <v>0</v>
      </c>
      <c r="EI207" s="173">
        <f t="shared" si="577"/>
        <v>0</v>
      </c>
      <c r="EJ207" s="241">
        <f t="shared" si="577"/>
        <v>0</v>
      </c>
      <c r="EK207" s="241">
        <f t="shared" si="577"/>
        <v>0</v>
      </c>
      <c r="EL207" s="241">
        <f t="shared" si="577"/>
        <v>0</v>
      </c>
      <c r="EM207" s="497">
        <f t="shared" si="577"/>
        <v>0</v>
      </c>
      <c r="EN207" s="199">
        <f t="shared" si="577"/>
        <v>0</v>
      </c>
      <c r="EO207" s="173">
        <f t="shared" si="577"/>
        <v>0</v>
      </c>
      <c r="EP207" s="241">
        <f t="shared" si="577"/>
        <v>0</v>
      </c>
      <c r="EQ207" s="241">
        <f t="shared" si="577"/>
        <v>0</v>
      </c>
      <c r="ER207" s="241">
        <f t="shared" si="577"/>
        <v>0</v>
      </c>
      <c r="ES207" s="497">
        <f t="shared" si="577"/>
        <v>0</v>
      </c>
      <c r="ET207" s="199">
        <f t="shared" si="577"/>
        <v>0</v>
      </c>
      <c r="EU207" s="173">
        <f t="shared" si="577"/>
        <v>0</v>
      </c>
      <c r="EV207" s="241">
        <f t="shared" si="577"/>
        <v>0</v>
      </c>
      <c r="EW207" s="241">
        <f t="shared" si="577"/>
        <v>0</v>
      </c>
      <c r="EX207" s="241">
        <f t="shared" si="577"/>
        <v>0</v>
      </c>
      <c r="EY207" s="241">
        <f t="shared" si="577"/>
        <v>0</v>
      </c>
      <c r="EZ207" s="241">
        <f>EZ204-EZ198</f>
        <v>0</v>
      </c>
      <c r="FA207" s="497">
        <f t="shared" si="577"/>
        <v>0</v>
      </c>
      <c r="FB207" s="199">
        <f t="shared" si="577"/>
        <v>0</v>
      </c>
      <c r="FC207" s="235">
        <f t="shared" si="577"/>
        <v>0</v>
      </c>
      <c r="FD207" s="173">
        <f t="shared" si="577"/>
        <v>0</v>
      </c>
      <c r="FE207" s="241">
        <f t="shared" si="577"/>
        <v>0</v>
      </c>
      <c r="FF207" s="497">
        <f t="shared" si="577"/>
        <v>-5.57</v>
      </c>
      <c r="FG207" s="199">
        <f t="shared" si="577"/>
        <v>-5.57</v>
      </c>
      <c r="FH207" s="173">
        <f t="shared" si="577"/>
        <v>0</v>
      </c>
      <c r="FI207" s="241">
        <f t="shared" si="577"/>
        <v>40595.399188092015</v>
      </c>
      <c r="FJ207" s="241">
        <f t="shared" si="577"/>
        <v>0</v>
      </c>
      <c r="FK207" s="241">
        <f t="shared" si="577"/>
        <v>0</v>
      </c>
      <c r="FL207" s="497">
        <f t="shared" si="577"/>
        <v>-41781.979999999996</v>
      </c>
      <c r="FM207" s="199">
        <f t="shared" si="577"/>
        <v>-1186.5808119079811</v>
      </c>
      <c r="FN207" s="173">
        <f t="shared" si="577"/>
        <v>0</v>
      </c>
      <c r="FO207" s="241">
        <f t="shared" si="577"/>
        <v>0</v>
      </c>
      <c r="FP207" s="241">
        <f t="shared" si="577"/>
        <v>0</v>
      </c>
      <c r="FQ207" s="241">
        <f t="shared" si="577"/>
        <v>0</v>
      </c>
      <c r="FR207" s="199">
        <f t="shared" si="577"/>
        <v>0</v>
      </c>
      <c r="FS207" s="173">
        <f t="shared" si="577"/>
        <v>0</v>
      </c>
      <c r="FT207" s="241">
        <f t="shared" si="577"/>
        <v>0</v>
      </c>
      <c r="FU207" s="241">
        <f t="shared" si="577"/>
        <v>0</v>
      </c>
      <c r="FV207" s="241">
        <f t="shared" si="577"/>
        <v>0</v>
      </c>
      <c r="FW207" s="497">
        <f t="shared" si="577"/>
        <v>0</v>
      </c>
      <c r="FX207" s="199">
        <f t="shared" si="577"/>
        <v>0</v>
      </c>
      <c r="FY207" s="173">
        <f t="shared" ref="FY207:GD207" si="580">FY204-FY198</f>
        <v>0</v>
      </c>
      <c r="FZ207" s="241">
        <f t="shared" si="580"/>
        <v>0</v>
      </c>
      <c r="GA207" s="241">
        <f t="shared" si="580"/>
        <v>0</v>
      </c>
      <c r="GB207" s="241">
        <f t="shared" si="580"/>
        <v>0</v>
      </c>
      <c r="GC207" s="497">
        <f t="shared" si="580"/>
        <v>0</v>
      </c>
      <c r="GD207" s="199">
        <f t="shared" si="580"/>
        <v>0</v>
      </c>
      <c r="GE207" s="235">
        <f t="shared" si="577"/>
        <v>-1192.1508119079811</v>
      </c>
      <c r="GF207" s="173">
        <f t="shared" si="577"/>
        <v>0</v>
      </c>
      <c r="GG207" s="241">
        <f t="shared" si="577"/>
        <v>0</v>
      </c>
      <c r="GH207" s="241">
        <f t="shared" si="577"/>
        <v>0</v>
      </c>
      <c r="GI207" s="241">
        <f t="shared" si="577"/>
        <v>0</v>
      </c>
      <c r="GJ207" s="241">
        <f t="shared" si="577"/>
        <v>0</v>
      </c>
      <c r="GK207" s="199">
        <f t="shared" si="577"/>
        <v>0</v>
      </c>
      <c r="GL207" s="173">
        <f t="shared" si="577"/>
        <v>0</v>
      </c>
      <c r="GM207" s="241">
        <f t="shared" si="577"/>
        <v>0</v>
      </c>
      <c r="GN207" s="241">
        <f t="shared" si="577"/>
        <v>0</v>
      </c>
      <c r="GO207" s="497">
        <f t="shared" si="577"/>
        <v>0</v>
      </c>
      <c r="GP207" s="199">
        <f t="shared" si="577"/>
        <v>0</v>
      </c>
      <c r="GQ207" s="173">
        <f t="shared" si="577"/>
        <v>0</v>
      </c>
      <c r="GR207" s="241">
        <f t="shared" si="577"/>
        <v>0</v>
      </c>
      <c r="GS207" s="241">
        <f t="shared" si="577"/>
        <v>0</v>
      </c>
      <c r="GT207" s="241">
        <f t="shared" si="577"/>
        <v>0</v>
      </c>
      <c r="GU207" s="497">
        <f t="shared" si="577"/>
        <v>0</v>
      </c>
      <c r="GV207" s="199">
        <f t="shared" si="577"/>
        <v>0</v>
      </c>
      <c r="GW207" s="173">
        <f t="shared" si="577"/>
        <v>0</v>
      </c>
      <c r="GX207" s="241">
        <f t="shared" si="577"/>
        <v>0</v>
      </c>
      <c r="GY207" s="241">
        <f t="shared" si="577"/>
        <v>0</v>
      </c>
      <c r="GZ207" s="241">
        <f>GZ204-GZ198</f>
        <v>0</v>
      </c>
      <c r="HA207" s="241">
        <f>HA204-HA198</f>
        <v>0</v>
      </c>
      <c r="HB207" s="497">
        <f t="shared" si="577"/>
        <v>0</v>
      </c>
      <c r="HC207" s="199">
        <f t="shared" si="577"/>
        <v>0</v>
      </c>
      <c r="HD207" s="235">
        <f t="shared" si="577"/>
        <v>0</v>
      </c>
      <c r="HE207" s="173">
        <f t="shared" si="577"/>
        <v>0</v>
      </c>
      <c r="HF207" s="241">
        <f t="shared" si="577"/>
        <v>0</v>
      </c>
      <c r="HG207" s="241">
        <f t="shared" si="577"/>
        <v>0</v>
      </c>
      <c r="HH207" s="241">
        <f t="shared" si="577"/>
        <v>0</v>
      </c>
      <c r="HI207" s="199">
        <f t="shared" si="577"/>
        <v>0</v>
      </c>
      <c r="HJ207" s="173">
        <f t="shared" si="577"/>
        <v>0</v>
      </c>
      <c r="HK207" s="241">
        <f t="shared" si="577"/>
        <v>0</v>
      </c>
      <c r="HL207" s="241">
        <f t="shared" si="577"/>
        <v>0</v>
      </c>
      <c r="HM207" s="241">
        <f t="shared" si="577"/>
        <v>0</v>
      </c>
      <c r="HN207" s="497">
        <f t="shared" si="577"/>
        <v>0</v>
      </c>
      <c r="HO207" s="199">
        <f t="shared" si="577"/>
        <v>0</v>
      </c>
      <c r="HP207" s="173">
        <f t="shared" si="577"/>
        <v>0</v>
      </c>
      <c r="HQ207" s="241">
        <f t="shared" si="577"/>
        <v>0</v>
      </c>
      <c r="HR207" s="241">
        <f t="shared" si="577"/>
        <v>0</v>
      </c>
      <c r="HS207" s="241">
        <f t="shared" si="577"/>
        <v>0</v>
      </c>
      <c r="HT207" s="497">
        <f t="shared" si="577"/>
        <v>-140</v>
      </c>
      <c r="HU207" s="199">
        <f t="shared" si="577"/>
        <v>-140</v>
      </c>
      <c r="HV207" s="173">
        <f t="shared" si="577"/>
        <v>242.69189761694724</v>
      </c>
      <c r="HW207" s="241">
        <f t="shared" si="577"/>
        <v>0</v>
      </c>
      <c r="HX207" s="241">
        <f t="shared" si="577"/>
        <v>0</v>
      </c>
      <c r="HY207" s="199">
        <f t="shared" si="577"/>
        <v>242.69189761694724</v>
      </c>
      <c r="HZ207" s="173">
        <f t="shared" si="577"/>
        <v>0</v>
      </c>
      <c r="IA207" s="241">
        <f>IA204-IA198</f>
        <v>0</v>
      </c>
      <c r="IB207" s="497">
        <f>IB204-IB198</f>
        <v>0</v>
      </c>
      <c r="IC207" s="199">
        <f t="shared" si="577"/>
        <v>0</v>
      </c>
      <c r="ID207" s="235">
        <f t="shared" si="577"/>
        <v>102.69189761694724</v>
      </c>
      <c r="IE207" s="173">
        <f t="shared" si="577"/>
        <v>0</v>
      </c>
      <c r="IF207" s="497">
        <f t="shared" si="577"/>
        <v>-5.47</v>
      </c>
      <c r="IG207" s="199">
        <f t="shared" si="577"/>
        <v>-5.47</v>
      </c>
      <c r="IH207" s="173">
        <f t="shared" si="577"/>
        <v>0</v>
      </c>
      <c r="II207" s="241">
        <f t="shared" si="577"/>
        <v>0</v>
      </c>
      <c r="IJ207" s="241">
        <f t="shared" si="577"/>
        <v>0</v>
      </c>
      <c r="IK207" s="241">
        <f t="shared" si="577"/>
        <v>407619.1</v>
      </c>
      <c r="IL207" s="497">
        <f t="shared" si="577"/>
        <v>0</v>
      </c>
      <c r="IM207" s="199">
        <f t="shared" si="577"/>
        <v>407619.1</v>
      </c>
      <c r="IN207" s="173">
        <f t="shared" si="577"/>
        <v>0</v>
      </c>
      <c r="IO207" s="241">
        <f t="shared" si="577"/>
        <v>0</v>
      </c>
      <c r="IP207" s="497">
        <f t="shared" si="577"/>
        <v>-160025</v>
      </c>
      <c r="IQ207" s="199">
        <f t="shared" si="577"/>
        <v>-160025</v>
      </c>
      <c r="IR207" s="173">
        <f t="shared" si="577"/>
        <v>0</v>
      </c>
      <c r="IS207" s="241">
        <f t="shared" si="577"/>
        <v>0</v>
      </c>
      <c r="IT207" s="241">
        <f t="shared" si="577"/>
        <v>0</v>
      </c>
      <c r="IU207" s="241">
        <f t="shared" si="577"/>
        <v>-195402.5</v>
      </c>
      <c r="IV207" s="497">
        <f t="shared" si="577"/>
        <v>0</v>
      </c>
      <c r="IW207" s="199">
        <f t="shared" si="577"/>
        <v>-195402.5</v>
      </c>
      <c r="IX207" s="173">
        <f t="shared" si="577"/>
        <v>0</v>
      </c>
      <c r="IY207" s="241">
        <f t="shared" si="577"/>
        <v>0</v>
      </c>
      <c r="IZ207" s="241">
        <f t="shared" si="577"/>
        <v>0</v>
      </c>
      <c r="JA207" s="241">
        <f t="shared" si="577"/>
        <v>0</v>
      </c>
      <c r="JB207" s="497">
        <f t="shared" si="577"/>
        <v>0</v>
      </c>
      <c r="JC207" s="199">
        <f t="shared" si="577"/>
        <v>0</v>
      </c>
      <c r="JD207" s="235">
        <f t="shared" si="577"/>
        <v>52186.130000000005</v>
      </c>
      <c r="JE207" s="173">
        <f t="shared" si="577"/>
        <v>0</v>
      </c>
      <c r="JF207" s="241">
        <f t="shared" si="577"/>
        <v>0</v>
      </c>
      <c r="JG207" s="241">
        <f t="shared" si="577"/>
        <v>0</v>
      </c>
      <c r="JH207" s="241">
        <f t="shared" si="577"/>
        <v>0</v>
      </c>
      <c r="JI207" s="497">
        <f t="shared" si="577"/>
        <v>0</v>
      </c>
      <c r="JJ207" s="199">
        <f t="shared" si="577"/>
        <v>0</v>
      </c>
      <c r="JK207" s="434">
        <f t="shared" si="577"/>
        <v>0</v>
      </c>
      <c r="JL207" s="435">
        <f t="shared" si="577"/>
        <v>0</v>
      </c>
      <c r="JM207" s="435">
        <f t="shared" si="577"/>
        <v>0</v>
      </c>
      <c r="JN207" s="435">
        <f t="shared" si="577"/>
        <v>0</v>
      </c>
      <c r="JO207" s="436">
        <f t="shared" si="577"/>
        <v>0</v>
      </c>
      <c r="JP207" s="149">
        <f t="shared" si="577"/>
        <v>0</v>
      </c>
      <c r="JQ207" s="434">
        <f t="shared" si="577"/>
        <v>0</v>
      </c>
      <c r="JR207" s="435">
        <f t="shared" si="577"/>
        <v>0</v>
      </c>
      <c r="JS207" s="435">
        <f t="shared" si="577"/>
        <v>0</v>
      </c>
      <c r="JT207" s="435">
        <f t="shared" si="577"/>
        <v>0</v>
      </c>
      <c r="JU207" s="436">
        <f t="shared" si="577"/>
        <v>0</v>
      </c>
      <c r="JV207" s="149">
        <f t="shared" si="577"/>
        <v>0</v>
      </c>
      <c r="JW207" s="434">
        <f t="shared" si="577"/>
        <v>0</v>
      </c>
      <c r="JX207" s="435">
        <f t="shared" si="577"/>
        <v>0</v>
      </c>
      <c r="JY207" s="435">
        <f t="shared" si="577"/>
        <v>0</v>
      </c>
      <c r="JZ207" s="435">
        <f t="shared" si="577"/>
        <v>0</v>
      </c>
      <c r="KA207" s="435"/>
      <c r="KB207" s="436">
        <f t="shared" si="577"/>
        <v>0</v>
      </c>
      <c r="KC207" s="149">
        <f t="shared" si="577"/>
        <v>0</v>
      </c>
      <c r="KD207" s="149" t="e">
        <f t="shared" si="577"/>
        <v>#REF!</v>
      </c>
      <c r="KE207" s="434">
        <f t="shared" si="577"/>
        <v>0</v>
      </c>
      <c r="KF207" s="435">
        <f t="shared" si="577"/>
        <v>0</v>
      </c>
      <c r="KG207" s="435">
        <f t="shared" si="577"/>
        <v>0</v>
      </c>
      <c r="KH207" s="435">
        <f t="shared" si="577"/>
        <v>0</v>
      </c>
      <c r="KI207" s="436">
        <f t="shared" si="577"/>
        <v>0</v>
      </c>
      <c r="KJ207" s="149">
        <f t="shared" si="577"/>
        <v>0</v>
      </c>
      <c r="KK207" s="434">
        <f t="shared" si="577"/>
        <v>0</v>
      </c>
      <c r="KL207" s="435">
        <f t="shared" ref="KL207:LF207" si="581">KL204-KL198</f>
        <v>0</v>
      </c>
      <c r="KM207" s="435">
        <f t="shared" si="581"/>
        <v>0</v>
      </c>
      <c r="KN207" s="435">
        <f t="shared" si="581"/>
        <v>0</v>
      </c>
      <c r="KO207" s="436">
        <f t="shared" si="581"/>
        <v>0</v>
      </c>
      <c r="KP207" s="149">
        <f t="shared" si="581"/>
        <v>0</v>
      </c>
      <c r="KQ207" s="434">
        <f t="shared" si="581"/>
        <v>0</v>
      </c>
      <c r="KR207" s="435">
        <f t="shared" si="581"/>
        <v>0</v>
      </c>
      <c r="KS207" s="435">
        <f t="shared" si="581"/>
        <v>0</v>
      </c>
      <c r="KT207" s="435">
        <f t="shared" si="581"/>
        <v>0</v>
      </c>
      <c r="KU207" s="436">
        <f t="shared" si="581"/>
        <v>0</v>
      </c>
      <c r="KV207" s="149">
        <f t="shared" si="581"/>
        <v>0</v>
      </c>
      <c r="KW207" s="434">
        <f t="shared" si="581"/>
        <v>0</v>
      </c>
      <c r="KX207" s="435">
        <f t="shared" si="581"/>
        <v>0</v>
      </c>
      <c r="KY207" s="435">
        <f t="shared" si="581"/>
        <v>0</v>
      </c>
      <c r="KZ207" s="435">
        <f t="shared" si="581"/>
        <v>0</v>
      </c>
      <c r="LA207" s="436">
        <f t="shared" si="581"/>
        <v>0</v>
      </c>
      <c r="LB207" s="149">
        <f t="shared" si="581"/>
        <v>0</v>
      </c>
      <c r="LC207" s="434">
        <f t="shared" si="581"/>
        <v>0</v>
      </c>
      <c r="LD207" s="435">
        <f t="shared" si="581"/>
        <v>0</v>
      </c>
      <c r="LE207" s="436">
        <f t="shared" si="581"/>
        <v>0</v>
      </c>
      <c r="LF207" s="149">
        <f t="shared" si="581"/>
        <v>0</v>
      </c>
      <c r="LG207" s="149">
        <f t="shared" si="577"/>
        <v>0</v>
      </c>
      <c r="LI207" s="91"/>
    </row>
    <row r="208" spans="2:322">
      <c r="B208" s="363" t="s">
        <v>373</v>
      </c>
      <c r="C208" s="174">
        <v>19268.98</v>
      </c>
      <c r="D208" s="174">
        <v>19268.98</v>
      </c>
      <c r="E208" s="91"/>
      <c r="F208" s="91"/>
      <c r="G208" s="91"/>
      <c r="H208" s="91"/>
      <c r="I208" s="91"/>
      <c r="K208" s="91"/>
      <c r="L208" s="91"/>
      <c r="M208" s="91"/>
      <c r="N208" s="91"/>
      <c r="P208" s="91"/>
      <c r="Q208" s="91"/>
      <c r="R208" s="91"/>
      <c r="S208" s="91"/>
      <c r="T208" s="91"/>
      <c r="V208" s="91"/>
      <c r="W208" s="91"/>
      <c r="X208" s="91"/>
      <c r="Y208" s="91"/>
      <c r="Z208" s="91"/>
      <c r="AB208" s="174">
        <v>19268.98</v>
      </c>
      <c r="AC208" s="207"/>
      <c r="AD208" s="207"/>
      <c r="AE208" s="207"/>
      <c r="AF208" s="207"/>
      <c r="AG208" s="207"/>
      <c r="AH208" s="207"/>
      <c r="AI208" s="207"/>
      <c r="AJ208" s="207"/>
      <c r="AK208" s="207"/>
      <c r="AL208" s="207"/>
      <c r="AM208" s="207"/>
      <c r="AN208" s="207"/>
      <c r="AO208" s="207"/>
      <c r="AP208" s="207"/>
      <c r="AQ208" s="207"/>
      <c r="AR208" s="207"/>
      <c r="AS208" s="207"/>
      <c r="AT208" s="207"/>
      <c r="AU208" s="207"/>
      <c r="AV208" s="207"/>
      <c r="AW208" s="207"/>
      <c r="AX208" s="207"/>
      <c r="AY208" s="207"/>
      <c r="AZ208" s="207"/>
      <c r="BA208" s="201"/>
      <c r="BB208" s="201"/>
      <c r="BC208" s="201"/>
      <c r="BD208" s="201"/>
      <c r="BE208" s="201"/>
      <c r="BF208" s="201"/>
      <c r="BG208" s="201"/>
      <c r="BH208" s="201"/>
      <c r="BI208" s="201"/>
      <c r="BJ208" s="201"/>
      <c r="BK208" s="201"/>
      <c r="BL208" s="201"/>
      <c r="BM208" s="201"/>
      <c r="BN208" s="201"/>
      <c r="BO208" s="201"/>
      <c r="BP208" s="201"/>
      <c r="BQ208" s="201"/>
      <c r="BR208" s="201"/>
      <c r="BS208" s="201"/>
      <c r="BT208" s="201"/>
      <c r="BU208" s="201"/>
      <c r="BV208" s="201"/>
      <c r="BW208" s="201"/>
      <c r="BX208" s="201"/>
      <c r="BY208" s="201"/>
      <c r="BZ208" s="201"/>
      <c r="CA208" s="201"/>
      <c r="CB208" s="201"/>
      <c r="CC208" s="201"/>
      <c r="CD208" s="201"/>
      <c r="CE208" s="201"/>
      <c r="CF208" s="201"/>
      <c r="CG208" s="201"/>
      <c r="CH208" s="201"/>
      <c r="CI208" s="201"/>
      <c r="CJ208" s="201"/>
      <c r="CK208" s="201"/>
      <c r="CL208" s="201"/>
      <c r="CM208" s="201"/>
      <c r="CN208" s="201"/>
      <c r="CO208" s="201"/>
      <c r="CP208" s="201"/>
      <c r="CQ208" s="201"/>
      <c r="CR208" s="201"/>
      <c r="CS208" s="201"/>
      <c r="CT208" s="201"/>
      <c r="CU208" s="201"/>
      <c r="CV208" s="201"/>
      <c r="CW208" s="201"/>
      <c r="CX208" s="201"/>
      <c r="CY208" s="201"/>
      <c r="CZ208" s="201"/>
      <c r="DA208" s="201"/>
      <c r="DB208" s="201"/>
      <c r="DC208" s="201"/>
      <c r="DD208" s="201"/>
      <c r="DE208" s="201"/>
      <c r="DF208" s="201"/>
      <c r="DG208" s="201"/>
      <c r="DH208" s="201"/>
      <c r="DI208" s="201"/>
      <c r="DJ208" s="201"/>
      <c r="DK208" s="201"/>
      <c r="DL208" s="201"/>
      <c r="DM208" s="201"/>
      <c r="DN208" s="201"/>
      <c r="DO208" s="201"/>
      <c r="DP208" s="201"/>
      <c r="DQ208" s="201"/>
      <c r="DR208" s="201"/>
      <c r="DS208" s="201"/>
      <c r="DT208" s="201"/>
      <c r="DU208" s="201"/>
      <c r="DV208" s="201"/>
      <c r="DW208" s="201"/>
      <c r="DX208" s="201"/>
      <c r="DY208" s="201"/>
      <c r="DZ208" s="201"/>
      <c r="EA208" s="201"/>
      <c r="EB208" s="201"/>
      <c r="EC208" s="201"/>
      <c r="ED208" s="201"/>
      <c r="EE208" s="201"/>
      <c r="EF208" s="201"/>
      <c r="EG208" s="201"/>
      <c r="EH208" s="201"/>
      <c r="EI208" s="201"/>
      <c r="EJ208" s="201"/>
      <c r="EK208" s="201"/>
      <c r="EL208" s="201"/>
      <c r="EM208" s="201"/>
      <c r="EN208" s="201"/>
      <c r="EO208" s="201"/>
      <c r="EP208" s="201"/>
      <c r="EQ208" s="201"/>
      <c r="ER208" s="201"/>
      <c r="ES208" s="201"/>
      <c r="ET208" s="201"/>
      <c r="EU208" s="201"/>
      <c r="EV208" s="201"/>
      <c r="EW208" s="201"/>
      <c r="EX208" s="201"/>
      <c r="EY208" s="201"/>
      <c r="EZ208" s="201"/>
      <c r="FA208" s="201"/>
      <c r="FB208" s="201"/>
      <c r="FC208" s="201"/>
      <c r="FD208" s="201"/>
      <c r="FE208" s="201"/>
      <c r="FF208" s="201"/>
      <c r="FG208" s="201"/>
      <c r="FH208" s="201"/>
      <c r="FI208" s="201"/>
      <c r="FJ208" s="201"/>
      <c r="FK208" s="201"/>
      <c r="FL208" s="201"/>
      <c r="FM208" s="201"/>
      <c r="FN208" s="201"/>
      <c r="FO208" s="201"/>
      <c r="FP208" s="201"/>
      <c r="FQ208" s="201"/>
      <c r="FR208" s="201"/>
      <c r="FS208" s="201"/>
      <c r="FT208" s="201"/>
      <c r="FU208" s="201"/>
      <c r="FV208" s="201"/>
      <c r="FW208" s="201"/>
      <c r="FX208" s="201"/>
      <c r="FY208" s="201"/>
      <c r="FZ208" s="201"/>
      <c r="GA208" s="201"/>
      <c r="GB208" s="201"/>
      <c r="GC208" s="201"/>
      <c r="GD208" s="201"/>
      <c r="GE208" s="201"/>
      <c r="GF208" s="201"/>
      <c r="GG208" s="201"/>
      <c r="GH208" s="201"/>
      <c r="GI208" s="201"/>
      <c r="GJ208" s="201"/>
      <c r="GK208" s="201"/>
      <c r="GL208" s="201"/>
      <c r="GM208" s="201"/>
      <c r="GN208" s="201"/>
      <c r="GO208" s="201"/>
      <c r="GP208" s="201"/>
      <c r="GQ208" s="201"/>
      <c r="GR208" s="201"/>
      <c r="GS208" s="201"/>
      <c r="GT208" s="201"/>
      <c r="GU208" s="201"/>
      <c r="GV208" s="201"/>
      <c r="GW208" s="201"/>
      <c r="GX208" s="201"/>
      <c r="GY208" s="201"/>
      <c r="GZ208" s="201"/>
      <c r="HA208" s="201"/>
      <c r="HB208" s="201"/>
      <c r="HC208" s="201"/>
      <c r="HD208" s="201"/>
      <c r="HE208" s="201"/>
      <c r="HF208" s="201"/>
      <c r="HG208" s="201"/>
      <c r="HH208" s="201"/>
      <c r="HI208" s="201"/>
      <c r="HJ208" s="201"/>
      <c r="HK208" s="201"/>
      <c r="HL208" s="201"/>
      <c r="HM208" s="201"/>
      <c r="HN208" s="201"/>
      <c r="HO208" s="201"/>
      <c r="HP208" s="201"/>
      <c r="HQ208" s="201"/>
      <c r="HR208" s="201"/>
      <c r="HS208" s="201"/>
      <c r="HT208" s="201"/>
      <c r="HU208" s="201"/>
      <c r="HV208" s="201"/>
      <c r="HW208" s="201"/>
      <c r="HX208" s="201"/>
      <c r="HY208" s="201"/>
      <c r="HZ208" s="201"/>
      <c r="IA208" s="201"/>
      <c r="IB208" s="201"/>
      <c r="IC208" s="201"/>
      <c r="ID208" s="201"/>
      <c r="IE208" s="201"/>
      <c r="IF208" s="201"/>
      <c r="IG208" s="201"/>
      <c r="IH208" s="201"/>
      <c r="II208" s="201"/>
      <c r="IJ208" s="201"/>
      <c r="IK208" s="201"/>
      <c r="IL208" s="201"/>
      <c r="IM208" s="201"/>
      <c r="IN208" s="201"/>
      <c r="IO208" s="201"/>
      <c r="IP208" s="201"/>
      <c r="IQ208" s="201"/>
      <c r="IR208" s="201"/>
      <c r="IS208" s="201"/>
      <c r="IT208" s="201"/>
      <c r="IU208" s="201"/>
      <c r="IV208" s="201"/>
      <c r="IW208" s="201"/>
      <c r="IX208" s="201"/>
      <c r="IY208" s="201"/>
      <c r="IZ208" s="201"/>
      <c r="JA208" s="201"/>
      <c r="JB208" s="201"/>
      <c r="JC208" s="201"/>
      <c r="JD208" s="201"/>
      <c r="JE208" s="201"/>
      <c r="JF208" s="201"/>
      <c r="JG208" s="201"/>
      <c r="JH208" s="201"/>
      <c r="JI208" s="201"/>
      <c r="JJ208" s="201"/>
      <c r="JK208" s="201"/>
      <c r="JL208" s="201"/>
      <c r="JM208" s="201"/>
      <c r="JN208" s="201"/>
      <c r="JO208" s="201"/>
      <c r="JP208" s="201"/>
      <c r="JQ208" s="201"/>
      <c r="JR208" s="201"/>
      <c r="JS208" s="201"/>
      <c r="JT208" s="201"/>
      <c r="JU208" s="201"/>
      <c r="JV208" s="201"/>
      <c r="JW208" s="201"/>
      <c r="JX208" s="201"/>
      <c r="JY208" s="201"/>
      <c r="JZ208" s="201"/>
      <c r="KA208" s="201"/>
      <c r="KB208" s="201"/>
      <c r="KC208" s="201"/>
      <c r="KD208" s="201"/>
      <c r="KE208" s="201"/>
      <c r="KF208" s="201"/>
      <c r="KG208" s="201"/>
      <c r="KH208" s="201"/>
      <c r="KI208" s="201"/>
      <c r="KJ208" s="201"/>
      <c r="KK208" s="201"/>
      <c r="KL208" s="201"/>
      <c r="KM208" s="201"/>
      <c r="KN208" s="201"/>
      <c r="KO208" s="201"/>
      <c r="KP208" s="201"/>
      <c r="KQ208" s="201"/>
      <c r="KR208" s="201"/>
      <c r="KS208" s="201"/>
      <c r="KT208" s="201"/>
      <c r="KU208" s="201"/>
      <c r="KV208" s="201"/>
      <c r="KW208" s="201"/>
      <c r="KX208" s="201"/>
      <c r="KY208" s="201"/>
      <c r="KZ208" s="201"/>
      <c r="LA208" s="201"/>
      <c r="LB208" s="201"/>
      <c r="LC208" s="201"/>
      <c r="LD208" s="201"/>
      <c r="LE208" s="201"/>
      <c r="LF208" s="201"/>
      <c r="LG208" s="201"/>
    </row>
    <row r="209" spans="2:322">
      <c r="B209" s="364" t="s">
        <v>168</v>
      </c>
      <c r="C209" s="175">
        <f>C208+C207</f>
        <v>19268.98</v>
      </c>
      <c r="D209" s="442">
        <f>+C208+D207</f>
        <v>19268.98</v>
      </c>
      <c r="E209" s="175">
        <f>D209+E207</f>
        <v>19268.98</v>
      </c>
      <c r="F209" s="175">
        <f>E209+F207</f>
        <v>19268.98</v>
      </c>
      <c r="G209" s="175">
        <f>F209+G207</f>
        <v>19268.98</v>
      </c>
      <c r="H209" s="175">
        <f>G209+H207</f>
        <v>19268.98</v>
      </c>
      <c r="I209" s="175">
        <f>H209+I207</f>
        <v>19243.98</v>
      </c>
      <c r="J209" s="175">
        <f>D209+J207</f>
        <v>19243.98</v>
      </c>
      <c r="K209" s="175">
        <f>J209+K207</f>
        <v>19243.98</v>
      </c>
      <c r="L209" s="175">
        <f>K209+L207</f>
        <v>19243.98</v>
      </c>
      <c r="M209" s="175">
        <f>L209+M207</f>
        <v>19238.55</v>
      </c>
      <c r="N209" s="175">
        <f>M209+N207</f>
        <v>19238.55</v>
      </c>
      <c r="O209" s="175">
        <f>+J209+O207</f>
        <v>19238.55</v>
      </c>
      <c r="P209" s="175">
        <f>O209+P207</f>
        <v>19238.55</v>
      </c>
      <c r="Q209" s="175">
        <f>P209+Q207</f>
        <v>19238.55</v>
      </c>
      <c r="R209" s="175">
        <f>Q209+R207</f>
        <v>8011.2099999999991</v>
      </c>
      <c r="S209" s="175">
        <f>R209+S207</f>
        <v>8011.2099999999991</v>
      </c>
      <c r="T209" s="175">
        <f>S209+T207</f>
        <v>8011.2099999999991</v>
      </c>
      <c r="U209" s="175">
        <f>+O209+U207</f>
        <v>8011.2099999999991</v>
      </c>
      <c r="V209" s="175">
        <f>U209+V207</f>
        <v>8011.2099999999991</v>
      </c>
      <c r="W209" s="175">
        <f>V209+W207</f>
        <v>8011.2099999999991</v>
      </c>
      <c r="X209" s="175">
        <f>W209+X207</f>
        <v>-218.79000000000087</v>
      </c>
      <c r="Y209" s="175">
        <f>X209+Y207</f>
        <v>-218.79000000000087</v>
      </c>
      <c r="Z209" s="175">
        <f>Y209+Z207</f>
        <v>-218.79000000000087</v>
      </c>
      <c r="AA209" s="175">
        <f>+U209+AA207</f>
        <v>-218.79000000000087</v>
      </c>
      <c r="AB209" s="175">
        <f>+C208+AB207</f>
        <v>-218.79000000000087</v>
      </c>
      <c r="AC209" s="175">
        <f>AB209+AC207</f>
        <v>-218.79000000000087</v>
      </c>
      <c r="AD209" s="175">
        <f>AC209+AD207</f>
        <v>-218.79000000000087</v>
      </c>
      <c r="AE209" s="175">
        <f>AD209+AE207</f>
        <v>-218.79000000000087</v>
      </c>
      <c r="AF209" s="175">
        <f>AE209+AF207</f>
        <v>-218.79000000000087</v>
      </c>
      <c r="AG209" s="175">
        <f>AF209+AG207</f>
        <v>-218.79000000000087</v>
      </c>
      <c r="AH209" s="175">
        <f>AB209+AH207</f>
        <v>-218.79000000000087</v>
      </c>
      <c r="AI209" s="175">
        <f>AH209+AI207</f>
        <v>-218.79000000000087</v>
      </c>
      <c r="AJ209" s="175">
        <f>AI209+AJ207</f>
        <v>-218.79000000000087</v>
      </c>
      <c r="AK209" s="175">
        <f>AJ209+AK207</f>
        <v>-218.79000000000087</v>
      </c>
      <c r="AL209" s="175">
        <f>AK209+AL207</f>
        <v>-218.79000000000087</v>
      </c>
      <c r="AM209" s="175">
        <f>AL209+AM207</f>
        <v>-218.79000000000087</v>
      </c>
      <c r="AN209" s="175">
        <f>AH209+AN207</f>
        <v>-218.79000000000087</v>
      </c>
      <c r="AO209" s="175">
        <f>AN209+AO207</f>
        <v>-218.79000000000087</v>
      </c>
      <c r="AP209" s="175">
        <f>AO209+AP207</f>
        <v>-218.79000000000087</v>
      </c>
      <c r="AQ209" s="175">
        <f>AP209+AQ207</f>
        <v>-218.79000000000087</v>
      </c>
      <c r="AR209" s="175">
        <f>AQ209+AR207</f>
        <v>-218.79000000000087</v>
      </c>
      <c r="AS209" s="175">
        <f>AR209+AS207</f>
        <v>-218.79000000000087</v>
      </c>
      <c r="AT209" s="175">
        <f>AN209+AT207</f>
        <v>-218.79000000000087</v>
      </c>
      <c r="AU209" s="175">
        <f>AT209+AU207</f>
        <v>-218.79000000000087</v>
      </c>
      <c r="AV209" s="175">
        <f>AU209+AV207</f>
        <v>-218.79000000000087</v>
      </c>
      <c r="AW209" s="175">
        <f>AV209+AW207</f>
        <v>-218.79000000000087</v>
      </c>
      <c r="AX209" s="175">
        <f>AW209+AX207</f>
        <v>-218.79000000000087</v>
      </c>
      <c r="AY209" s="175">
        <f>AX209+AY207</f>
        <v>-218.79000000000087</v>
      </c>
      <c r="AZ209" s="175">
        <f>AT209+AZ207</f>
        <v>-218.79000000000087</v>
      </c>
      <c r="BA209" s="175">
        <f>AB209+BA207</f>
        <v>-218.79000000000087</v>
      </c>
      <c r="BB209" s="175">
        <f>BA209+BB207</f>
        <v>-218.79000000000087</v>
      </c>
      <c r="BC209" s="175">
        <f>BB209+BC207</f>
        <v>-218.79000000000087</v>
      </c>
      <c r="BD209" s="175">
        <f>BC209+BD207</f>
        <v>-218.79000000000087</v>
      </c>
      <c r="BE209" s="175">
        <f>BD209+BE207</f>
        <v>-218.79000000000087</v>
      </c>
      <c r="BF209" s="175">
        <f>BE209+BF207</f>
        <v>659.93999999999915</v>
      </c>
      <c r="BG209" s="175">
        <f>BA209+BG207</f>
        <v>659.93999999999915</v>
      </c>
      <c r="BH209" s="175">
        <f>BG209+BH207</f>
        <v>659.93999999999915</v>
      </c>
      <c r="BI209" s="175">
        <f>BH209+BI207</f>
        <v>659.93999999999915</v>
      </c>
      <c r="BJ209" s="175">
        <f>BI209+BJ207</f>
        <v>659.93999999999915</v>
      </c>
      <c r="BK209" s="175">
        <f>BJ209+BK207</f>
        <v>659.93999999999915</v>
      </c>
      <c r="BL209" s="175">
        <f>BK209+BL207</f>
        <v>659.93999999999915</v>
      </c>
      <c r="BM209" s="175">
        <f>BG209+BM207</f>
        <v>659.93999999999915</v>
      </c>
      <c r="BN209" s="175">
        <f>BM209+BN207</f>
        <v>659.93999999999915</v>
      </c>
      <c r="BO209" s="175">
        <f>BN209+BO207</f>
        <v>659.93999999999915</v>
      </c>
      <c r="BP209" s="175">
        <f>BO209+BP207</f>
        <v>659.93999999999915</v>
      </c>
      <c r="BQ209" s="175">
        <f>BP209+BQ207</f>
        <v>659.93999999999915</v>
      </c>
      <c r="BR209" s="175">
        <f>BM209+BR207</f>
        <v>659.93999999999915</v>
      </c>
      <c r="BS209" s="175">
        <f>BR209+BS207</f>
        <v>659.93999999999915</v>
      </c>
      <c r="BT209" s="175">
        <f>BS209+BT207</f>
        <v>659.93999999999915</v>
      </c>
      <c r="BU209" s="175">
        <f>BT209+BU207</f>
        <v>659.93999999999915</v>
      </c>
      <c r="BV209" s="175">
        <f>BU209+BV207</f>
        <v>659.93999999999915</v>
      </c>
      <c r="BW209" s="175">
        <f>BV209+BW207</f>
        <v>659.93999999999915</v>
      </c>
      <c r="BX209" s="175">
        <f>BR209+BX207</f>
        <v>659.93999999999915</v>
      </c>
      <c r="BY209" s="175">
        <f>BX209+BY207</f>
        <v>659.93999999999915</v>
      </c>
      <c r="BZ209" s="175">
        <f>BY209+BZ207</f>
        <v>659.93999999999915</v>
      </c>
      <c r="CA209" s="175">
        <f>BX209+CA207</f>
        <v>659.93999999999915</v>
      </c>
      <c r="CB209" s="175">
        <f>BA209+CB207</f>
        <v>659.93999999999915</v>
      </c>
      <c r="CC209" s="175">
        <f>CB209+CC207</f>
        <v>659.93999999999915</v>
      </c>
      <c r="CD209" s="175">
        <f>CC209+CD207</f>
        <v>654.2599999999992</v>
      </c>
      <c r="CE209" s="175">
        <f>CD209+CE207</f>
        <v>654.2599999999992</v>
      </c>
      <c r="CF209" s="175">
        <f>CB209+CF207</f>
        <v>654.2599999999992</v>
      </c>
      <c r="CG209" s="175">
        <f>CF209+CG207</f>
        <v>654.2599999999992</v>
      </c>
      <c r="CH209" s="175">
        <f>CG209+CH207</f>
        <v>654.2599999999992</v>
      </c>
      <c r="CI209" s="175">
        <f>CH209+CI207</f>
        <v>654.2599999999992</v>
      </c>
      <c r="CJ209" s="175">
        <f>CI209+CJ207</f>
        <v>654.2599999999992</v>
      </c>
      <c r="CK209" s="175">
        <f>CF209+CK207</f>
        <v>654.2599999999992</v>
      </c>
      <c r="CL209" s="175">
        <f>CK209+CL207</f>
        <v>654.2599999999992</v>
      </c>
      <c r="CM209" s="175">
        <f>CL209+CM207</f>
        <v>654.2599999999992</v>
      </c>
      <c r="CN209" s="175">
        <f>CM209+CN207</f>
        <v>654.2599999999992</v>
      </c>
      <c r="CO209" s="175">
        <f>CN209+CO207</f>
        <v>654.2599999999992</v>
      </c>
      <c r="CP209" s="175">
        <f>CO209+CP207</f>
        <v>654.2599999999992</v>
      </c>
      <c r="CQ209" s="175">
        <f>CK209+CQ207</f>
        <v>654.2599999999992</v>
      </c>
      <c r="CR209" s="175">
        <f>CQ209+CR207</f>
        <v>654.2599999999992</v>
      </c>
      <c r="CS209" s="175">
        <f>CR209+CS207</f>
        <v>654.2599999999992</v>
      </c>
      <c r="CT209" s="175">
        <f>CS209+CT207</f>
        <v>654.2599999999992</v>
      </c>
      <c r="CU209" s="175">
        <f>CT209+CU207</f>
        <v>654.2599999999992</v>
      </c>
      <c r="CV209" s="175">
        <f>CU209+CV207</f>
        <v>654.2599999999992</v>
      </c>
      <c r="CW209" s="175">
        <f>CQ209+CW207</f>
        <v>654.2599999999992</v>
      </c>
      <c r="CX209" s="175">
        <f>CW209+CX207</f>
        <v>654.2599999999992</v>
      </c>
      <c r="CY209" s="175">
        <f>CX209+CY207</f>
        <v>654.2599999999992</v>
      </c>
      <c r="CZ209" s="175">
        <f>CX209+CZ207</f>
        <v>654.2599999999992</v>
      </c>
      <c r="DA209" s="175">
        <f>CZ209+DA207</f>
        <v>654.2599999999992</v>
      </c>
      <c r="DB209" s="175">
        <f>CW209+DB207</f>
        <v>654.2599999999992</v>
      </c>
      <c r="DC209" s="175">
        <f>CB209+DC207</f>
        <v>654.2599999999992</v>
      </c>
      <c r="DD209" s="175">
        <f>DC209+DD207</f>
        <v>654.2599999999992</v>
      </c>
      <c r="DE209" s="175">
        <f>DD209+DE207</f>
        <v>654.2599999999992</v>
      </c>
      <c r="DF209" s="175">
        <f>DE209+DF207</f>
        <v>654.2599999999992</v>
      </c>
      <c r="DG209" s="175">
        <f>DF209+DG207</f>
        <v>654.2599999999992</v>
      </c>
      <c r="DH209" s="175">
        <f>DG209+DH207</f>
        <v>654.2599999999992</v>
      </c>
      <c r="DI209" s="175">
        <f>DC209+DI207</f>
        <v>654.2599999999992</v>
      </c>
      <c r="DJ209" s="175">
        <f>DI209+DJ207</f>
        <v>654.2599999999992</v>
      </c>
      <c r="DK209" s="175">
        <f>DJ209+DK207</f>
        <v>654.2599999999992</v>
      </c>
      <c r="DL209" s="175">
        <f>DK209+DL207</f>
        <v>654.2599999999992</v>
      </c>
      <c r="DM209" s="175">
        <f>DL209+DM207</f>
        <v>654.2599999999992</v>
      </c>
      <c r="DN209" s="175">
        <f>DM209+DN207</f>
        <v>654.2599999999992</v>
      </c>
      <c r="DO209" s="175">
        <f>DI209+DO207</f>
        <v>654.2599999999992</v>
      </c>
      <c r="DP209" s="175">
        <f>DO209+DP207</f>
        <v>654.2599999999992</v>
      </c>
      <c r="DQ209" s="175">
        <f>DP209+DQ207</f>
        <v>654.2599999999992</v>
      </c>
      <c r="DR209" s="175">
        <f ca="1">DQ209+DR207</f>
        <v>31890.32</v>
      </c>
      <c r="DS209" s="175">
        <f ca="1">DR209+DS207</f>
        <v>31890.32</v>
      </c>
      <c r="DT209" s="175">
        <f ca="1">DS209+DT207</f>
        <v>31890.32</v>
      </c>
      <c r="DU209" s="175">
        <f>DO209+DU207</f>
        <v>31890.32</v>
      </c>
      <c r="DV209" s="175">
        <f>DU209+DV207</f>
        <v>31890.32</v>
      </c>
      <c r="DW209" s="175">
        <f>DV209+DW207</f>
        <v>31890.32</v>
      </c>
      <c r="DX209" s="175">
        <f>DW209+DX207</f>
        <v>1651.7999999999993</v>
      </c>
      <c r="DY209" s="175">
        <f>DX209+DY207</f>
        <v>1651.7999999999993</v>
      </c>
      <c r="DZ209" s="175">
        <f>DY209+DZ207</f>
        <v>1651.7999999999993</v>
      </c>
      <c r="EA209" s="175">
        <f>DU209+EA207</f>
        <v>1651.7999999999993</v>
      </c>
      <c r="EB209" s="175">
        <f>DC209+EB207</f>
        <v>1651.8000000000002</v>
      </c>
      <c r="EC209" s="175">
        <f>EB209+EC207</f>
        <v>1651.8000000000002</v>
      </c>
      <c r="ED209" s="175">
        <f>EC209+ED207</f>
        <v>1651.8000000000002</v>
      </c>
      <c r="EE209" s="175">
        <f>ED209+EE207</f>
        <v>1651.8000000000002</v>
      </c>
      <c r="EF209" s="175">
        <f>EE209+EF207</f>
        <v>1651.8000000000002</v>
      </c>
      <c r="EG209" s="175">
        <f>EF209+EG207</f>
        <v>1651.8000000000002</v>
      </c>
      <c r="EH209" s="175">
        <f>EB209+EH207</f>
        <v>1651.8000000000002</v>
      </c>
      <c r="EI209" s="175">
        <f>EH209+EI207</f>
        <v>1651.8000000000002</v>
      </c>
      <c r="EJ209" s="175">
        <f>EI209+EJ207</f>
        <v>1651.8000000000002</v>
      </c>
      <c r="EK209" s="175">
        <f>EJ209+EK207</f>
        <v>1651.8000000000002</v>
      </c>
      <c r="EL209" s="175">
        <f>EK209+EL207</f>
        <v>1651.8000000000002</v>
      </c>
      <c r="EM209" s="175">
        <f>EL209+EM207</f>
        <v>1651.8000000000002</v>
      </c>
      <c r="EN209" s="175">
        <f>EH209+EN207</f>
        <v>1651.8000000000002</v>
      </c>
      <c r="EO209" s="175">
        <f>EN209+EO207</f>
        <v>1651.8000000000002</v>
      </c>
      <c r="EP209" s="175">
        <f>EO209+EP207</f>
        <v>1651.8000000000002</v>
      </c>
      <c r="EQ209" s="175">
        <f>EP209+EQ207</f>
        <v>1651.8000000000002</v>
      </c>
      <c r="ER209" s="175">
        <f>EQ209+ER207</f>
        <v>1651.8000000000002</v>
      </c>
      <c r="ES209" s="175">
        <f>ER209+ES207</f>
        <v>1651.8000000000002</v>
      </c>
      <c r="ET209" s="175">
        <f>EN209+ET207</f>
        <v>1651.8000000000002</v>
      </c>
      <c r="EU209" s="175">
        <f t="shared" ref="EU209:FA209" si="582">ET209+EU207</f>
        <v>1651.8000000000002</v>
      </c>
      <c r="EV209" s="175">
        <f t="shared" si="582"/>
        <v>1651.8000000000002</v>
      </c>
      <c r="EW209" s="175">
        <f t="shared" si="582"/>
        <v>1651.8000000000002</v>
      </c>
      <c r="EX209" s="175">
        <f t="shared" si="582"/>
        <v>1651.8000000000002</v>
      </c>
      <c r="EY209" s="175">
        <f t="shared" si="582"/>
        <v>1651.8000000000002</v>
      </c>
      <c r="EZ209" s="175">
        <f t="shared" si="582"/>
        <v>1651.8000000000002</v>
      </c>
      <c r="FA209" s="175">
        <f t="shared" si="582"/>
        <v>1651.8000000000002</v>
      </c>
      <c r="FB209" s="175">
        <f>ET209+FB207</f>
        <v>1651.8000000000002</v>
      </c>
      <c r="FC209" s="175">
        <f>EB209+FC207</f>
        <v>1651.8000000000002</v>
      </c>
      <c r="FD209" s="175">
        <f>FC209+FD207</f>
        <v>1651.8000000000002</v>
      </c>
      <c r="FE209" s="175">
        <f>FD209+FE207</f>
        <v>1651.8000000000002</v>
      </c>
      <c r="FF209" s="175">
        <f>FE209+FF207</f>
        <v>1646.2300000000002</v>
      </c>
      <c r="FG209" s="175">
        <f>FC209+FG207</f>
        <v>1646.2300000000002</v>
      </c>
      <c r="FH209" s="175">
        <f>FG209+FH207</f>
        <v>1646.2300000000002</v>
      </c>
      <c r="FI209" s="175">
        <f>FH209+FI207</f>
        <v>42241.629188092018</v>
      </c>
      <c r="FJ209" s="175">
        <f>FI209+FJ207</f>
        <v>42241.629188092018</v>
      </c>
      <c r="FK209" s="175">
        <f>FJ209+FK207</f>
        <v>42241.629188092018</v>
      </c>
      <c r="FL209" s="175">
        <f>FK209+FL207</f>
        <v>459.64918809202209</v>
      </c>
      <c r="FM209" s="175">
        <f>FG209+FM207</f>
        <v>459.64918809201913</v>
      </c>
      <c r="FN209" s="175">
        <f>FM209+FN207</f>
        <v>459.64918809201913</v>
      </c>
      <c r="FO209" s="175">
        <f>FN209+FO207</f>
        <v>459.64918809201913</v>
      </c>
      <c r="FP209" s="175">
        <f>FO209+FP207</f>
        <v>459.64918809201913</v>
      </c>
      <c r="FQ209" s="175">
        <f>FP209+FQ207</f>
        <v>459.64918809201913</v>
      </c>
      <c r="FR209" s="175">
        <f>FM209+FR207</f>
        <v>459.64918809201913</v>
      </c>
      <c r="FS209" s="175">
        <f>FR209+FS207</f>
        <v>459.64918809201913</v>
      </c>
      <c r="FT209" s="175">
        <f>FS209+FT207</f>
        <v>459.64918809201913</v>
      </c>
      <c r="FU209" s="175">
        <f>FT209+FU207</f>
        <v>459.64918809201913</v>
      </c>
      <c r="FV209" s="175">
        <f>FU209+FV207</f>
        <v>459.64918809201913</v>
      </c>
      <c r="FW209" s="175">
        <f>FV209+FW207</f>
        <v>459.64918809201913</v>
      </c>
      <c r="FX209" s="175">
        <f>FR209+FX207</f>
        <v>459.64918809201913</v>
      </c>
      <c r="FY209" s="175">
        <f>FX209+FY207</f>
        <v>459.64918809201913</v>
      </c>
      <c r="FZ209" s="175">
        <f>FY209+FZ207</f>
        <v>459.64918809201913</v>
      </c>
      <c r="GA209" s="175">
        <f>FZ209+GA207</f>
        <v>459.64918809201913</v>
      </c>
      <c r="GB209" s="175">
        <f>GA209+GB207</f>
        <v>459.64918809201913</v>
      </c>
      <c r="GC209" s="175">
        <f>GB209+GC207</f>
        <v>459.64918809201913</v>
      </c>
      <c r="GD209" s="175">
        <f>FX209+GD207</f>
        <v>459.64918809201913</v>
      </c>
      <c r="GE209" s="175">
        <f>FC209+GE207</f>
        <v>459.64918809201913</v>
      </c>
      <c r="GF209" s="175">
        <f>GE209+GF207</f>
        <v>459.64918809201913</v>
      </c>
      <c r="GG209" s="175">
        <f>GF209+GG207</f>
        <v>459.64918809201913</v>
      </c>
      <c r="GH209" s="175">
        <f>GG209+GH207</f>
        <v>459.64918809201913</v>
      </c>
      <c r="GI209" s="175">
        <f>GH209+GI207</f>
        <v>459.64918809201913</v>
      </c>
      <c r="GJ209" s="175">
        <f>GI209+GJ207</f>
        <v>459.64918809201913</v>
      </c>
      <c r="GK209" s="175">
        <f>GE209+GK207</f>
        <v>459.64918809201913</v>
      </c>
      <c r="GL209" s="175">
        <f>GK209+GL207</f>
        <v>459.64918809201913</v>
      </c>
      <c r="GM209" s="175">
        <f>GL209+GM207</f>
        <v>459.64918809201913</v>
      </c>
      <c r="GN209" s="175">
        <f>GM209+GN207</f>
        <v>459.64918809201913</v>
      </c>
      <c r="GO209" s="175">
        <f>GN209+GO207</f>
        <v>459.64918809201913</v>
      </c>
      <c r="GP209" s="175">
        <f>GK209+GP207</f>
        <v>459.64918809201913</v>
      </c>
      <c r="GQ209" s="175">
        <f>GP209+GQ207</f>
        <v>459.64918809201913</v>
      </c>
      <c r="GR209" s="175">
        <f>GQ209+GR207</f>
        <v>459.64918809201913</v>
      </c>
      <c r="GS209" s="175">
        <f>GR209+GS207</f>
        <v>459.64918809201913</v>
      </c>
      <c r="GT209" s="175">
        <f>GS209+GT207</f>
        <v>459.64918809201913</v>
      </c>
      <c r="GU209" s="175">
        <f>GT209+GU207</f>
        <v>459.64918809201913</v>
      </c>
      <c r="GV209" s="175">
        <f>GP209+GV207</f>
        <v>459.64918809201913</v>
      </c>
      <c r="GW209" s="175">
        <f t="shared" ref="GW209:HB209" si="583">GV209+GW207</f>
        <v>459.64918809201913</v>
      </c>
      <c r="GX209" s="175">
        <f t="shared" si="583"/>
        <v>459.64918809201913</v>
      </c>
      <c r="GY209" s="175">
        <f t="shared" si="583"/>
        <v>459.64918809201913</v>
      </c>
      <c r="GZ209" s="175">
        <f t="shared" si="583"/>
        <v>459.64918809201913</v>
      </c>
      <c r="HA209" s="175">
        <f t="shared" si="583"/>
        <v>459.64918809201913</v>
      </c>
      <c r="HB209" s="175">
        <f t="shared" si="583"/>
        <v>459.64918809201913</v>
      </c>
      <c r="HC209" s="175">
        <f>GV209+HC207</f>
        <v>459.64918809201913</v>
      </c>
      <c r="HD209" s="175">
        <f>GE209+HD207</f>
        <v>459.64918809201913</v>
      </c>
      <c r="HE209" s="175">
        <f t="shared" ref="HE209:HN209" si="584">HD209+HE207</f>
        <v>459.64918809201913</v>
      </c>
      <c r="HF209" s="175">
        <f t="shared" si="584"/>
        <v>459.64918809201913</v>
      </c>
      <c r="HG209" s="175">
        <f t="shared" si="584"/>
        <v>459.64918809201913</v>
      </c>
      <c r="HH209" s="175">
        <f t="shared" si="584"/>
        <v>459.64918809201913</v>
      </c>
      <c r="HI209" s="175">
        <f>HH209+HI207</f>
        <v>459.64918809201913</v>
      </c>
      <c r="HJ209" s="175">
        <f t="shared" si="584"/>
        <v>459.64918809201913</v>
      </c>
      <c r="HK209" s="175">
        <f t="shared" si="584"/>
        <v>459.64918809201913</v>
      </c>
      <c r="HL209" s="175">
        <f t="shared" si="584"/>
        <v>459.64918809201913</v>
      </c>
      <c r="HM209" s="175">
        <f t="shared" si="584"/>
        <v>459.64918809201913</v>
      </c>
      <c r="HN209" s="175">
        <f t="shared" si="584"/>
        <v>459.64918809201913</v>
      </c>
      <c r="HO209" s="175">
        <f>HI209+HO207</f>
        <v>459.64918809201913</v>
      </c>
      <c r="HP209" s="175">
        <f>HO209+HP207</f>
        <v>459.64918809201913</v>
      </c>
      <c r="HQ209" s="175">
        <f>HP209+HQ207</f>
        <v>459.64918809201913</v>
      </c>
      <c r="HR209" s="175">
        <f>HQ209+HR207</f>
        <v>459.64918809201913</v>
      </c>
      <c r="HS209" s="175">
        <f>HR209+HS207</f>
        <v>459.64918809201913</v>
      </c>
      <c r="HT209" s="175">
        <f>HS209+HT207</f>
        <v>319.64918809201913</v>
      </c>
      <c r="HU209" s="175">
        <f>HO209+HU207</f>
        <v>319.64918809201913</v>
      </c>
      <c r="HV209" s="175">
        <f>HU209+HV207</f>
        <v>562.34108570896638</v>
      </c>
      <c r="HW209" s="175">
        <f>HV209+HW207</f>
        <v>562.34108570896638</v>
      </c>
      <c r="HX209" s="175">
        <f>HW209+HX207</f>
        <v>562.34108570896638</v>
      </c>
      <c r="HY209" s="175">
        <f>HU209+HY207</f>
        <v>562.34108570896638</v>
      </c>
      <c r="HZ209" s="175">
        <f>HY209+HZ207</f>
        <v>562.34108570896638</v>
      </c>
      <c r="IA209" s="175">
        <f>HZ209+IA207</f>
        <v>562.34108570896638</v>
      </c>
      <c r="IB209" s="175">
        <f>IA209+IB207</f>
        <v>562.34108570896638</v>
      </c>
      <c r="IC209" s="175">
        <f>HY209+IC207</f>
        <v>562.34108570896638</v>
      </c>
      <c r="ID209" s="175">
        <f>HD209+ID207</f>
        <v>562.34108570896638</v>
      </c>
      <c r="IE209" s="175">
        <f>ID209+IE207</f>
        <v>562.34108570896638</v>
      </c>
      <c r="IF209" s="175">
        <f>IE209+IF207</f>
        <v>556.87108570896635</v>
      </c>
      <c r="IG209" s="175">
        <f>ID209+IG207</f>
        <v>556.87108570896635</v>
      </c>
      <c r="IH209" s="175">
        <f>IG209+IH207</f>
        <v>556.87108570896635</v>
      </c>
      <c r="II209" s="175">
        <f>IH209+II207</f>
        <v>556.87108570896635</v>
      </c>
      <c r="IJ209" s="175">
        <f>II209+IJ207</f>
        <v>556.87108570896635</v>
      </c>
      <c r="IK209" s="175">
        <f>IJ209+IK207</f>
        <v>408175.97108570894</v>
      </c>
      <c r="IL209" s="175">
        <f>IK209+IL207</f>
        <v>408175.97108570894</v>
      </c>
      <c r="IM209" s="175">
        <f>IG209+IM207</f>
        <v>408175.97108570894</v>
      </c>
      <c r="IN209" s="175">
        <f>IM209+IN207</f>
        <v>408175.97108570894</v>
      </c>
      <c r="IO209" s="175">
        <f>IN209+IO207</f>
        <v>408175.97108570894</v>
      </c>
      <c r="IP209" s="175">
        <f>IO209+IP207</f>
        <v>248150.97108570894</v>
      </c>
      <c r="IQ209" s="175">
        <f>IM209+IQ207</f>
        <v>248150.97108570894</v>
      </c>
      <c r="IR209" s="175">
        <f>IQ209+IR207</f>
        <v>248150.97108570894</v>
      </c>
      <c r="IS209" s="175">
        <f>IR209+IS207</f>
        <v>248150.97108570894</v>
      </c>
      <c r="IT209" s="175">
        <f>IS209+IT207</f>
        <v>248150.97108570894</v>
      </c>
      <c r="IU209" s="175">
        <f>IT209+IU207</f>
        <v>52748.471085708938</v>
      </c>
      <c r="IV209" s="175">
        <f>IU209+IV207</f>
        <v>52748.471085708938</v>
      </c>
      <c r="IW209" s="175">
        <f>IQ209+IW207</f>
        <v>52748.471085708938</v>
      </c>
      <c r="IX209" s="175">
        <f>IW209+IX207</f>
        <v>52748.471085708938</v>
      </c>
      <c r="IY209" s="175">
        <f>IX209+IY207</f>
        <v>52748.471085708938</v>
      </c>
      <c r="IZ209" s="175">
        <f>IY209+IZ207</f>
        <v>52748.471085708938</v>
      </c>
      <c r="JA209" s="175">
        <f>IZ209+JA207</f>
        <v>52748.471085708938</v>
      </c>
      <c r="JB209" s="175">
        <f>JA209+JB207</f>
        <v>52748.471085708938</v>
      </c>
      <c r="JC209" s="175">
        <f>IW209+JC207</f>
        <v>52748.471085708938</v>
      </c>
      <c r="JD209" s="175">
        <f>ID209+JD207</f>
        <v>52748.471085708974</v>
      </c>
      <c r="JE209" s="175">
        <f>JD209+JE207</f>
        <v>52748.471085708974</v>
      </c>
      <c r="JF209" s="175">
        <f t="shared" ref="JF209:LE209" si="585">JE209+JF207</f>
        <v>52748.471085708974</v>
      </c>
      <c r="JG209" s="175">
        <f t="shared" si="585"/>
        <v>52748.471085708974</v>
      </c>
      <c r="JH209" s="175">
        <f t="shared" si="585"/>
        <v>52748.471085708974</v>
      </c>
      <c r="JI209" s="175">
        <f t="shared" si="585"/>
        <v>52748.471085708974</v>
      </c>
      <c r="JJ209" s="175">
        <f>JD209+JJ207</f>
        <v>52748.471085708974</v>
      </c>
      <c r="JK209" s="175">
        <f t="shared" si="585"/>
        <v>52748.471085708974</v>
      </c>
      <c r="JL209" s="175">
        <f t="shared" si="585"/>
        <v>52748.471085708974</v>
      </c>
      <c r="JM209" s="175">
        <f t="shared" si="585"/>
        <v>52748.471085708974</v>
      </c>
      <c r="JN209" s="175">
        <f t="shared" si="585"/>
        <v>52748.471085708974</v>
      </c>
      <c r="JO209" s="175">
        <f t="shared" si="585"/>
        <v>52748.471085708974</v>
      </c>
      <c r="JP209" s="175">
        <f>JJ209+JP207</f>
        <v>52748.471085708974</v>
      </c>
      <c r="JQ209" s="175">
        <f t="shared" si="585"/>
        <v>52748.471085708974</v>
      </c>
      <c r="JR209" s="175">
        <f t="shared" si="585"/>
        <v>52748.471085708974</v>
      </c>
      <c r="JS209" s="175">
        <f t="shared" si="585"/>
        <v>52748.471085708974</v>
      </c>
      <c r="JT209" s="175">
        <f t="shared" si="585"/>
        <v>52748.471085708974</v>
      </c>
      <c r="JU209" s="175">
        <f t="shared" si="585"/>
        <v>52748.471085708974</v>
      </c>
      <c r="JV209" s="175">
        <f>JP209+JV207</f>
        <v>52748.471085708974</v>
      </c>
      <c r="JW209" s="175">
        <f t="shared" si="585"/>
        <v>52748.471085708974</v>
      </c>
      <c r="JX209" s="175">
        <f t="shared" si="585"/>
        <v>52748.471085708974</v>
      </c>
      <c r="JY209" s="175">
        <f t="shared" si="585"/>
        <v>52748.471085708974</v>
      </c>
      <c r="JZ209" s="175">
        <f t="shared" si="585"/>
        <v>52748.471085708974</v>
      </c>
      <c r="KA209" s="175"/>
      <c r="KB209" s="175">
        <f>JZ209+KB207</f>
        <v>52748.471085708974</v>
      </c>
      <c r="KC209" s="175">
        <f>JV209+KC207</f>
        <v>52748.471085708974</v>
      </c>
      <c r="KD209" s="175" t="e">
        <f>JD209+KD207</f>
        <v>#REF!</v>
      </c>
      <c r="KE209" s="175" t="e">
        <f t="shared" si="585"/>
        <v>#REF!</v>
      </c>
      <c r="KF209" s="175" t="e">
        <f t="shared" si="585"/>
        <v>#REF!</v>
      </c>
      <c r="KG209" s="175" t="e">
        <f t="shared" si="585"/>
        <v>#REF!</v>
      </c>
      <c r="KH209" s="175" t="e">
        <f t="shared" si="585"/>
        <v>#REF!</v>
      </c>
      <c r="KI209" s="175" t="e">
        <f t="shared" si="585"/>
        <v>#REF!</v>
      </c>
      <c r="KJ209" s="175" t="e">
        <f>KD209+KJ207</f>
        <v>#REF!</v>
      </c>
      <c r="KK209" s="175" t="e">
        <f t="shared" si="585"/>
        <v>#REF!</v>
      </c>
      <c r="KL209" s="175" t="e">
        <f t="shared" si="585"/>
        <v>#REF!</v>
      </c>
      <c r="KM209" s="175" t="e">
        <f t="shared" si="585"/>
        <v>#REF!</v>
      </c>
      <c r="KN209" s="175" t="e">
        <f t="shared" si="585"/>
        <v>#REF!</v>
      </c>
      <c r="KO209" s="175" t="e">
        <f t="shared" si="585"/>
        <v>#REF!</v>
      </c>
      <c r="KP209" s="175" t="e">
        <f>KJ209+KP207</f>
        <v>#REF!</v>
      </c>
      <c r="KQ209" s="175" t="e">
        <f t="shared" si="585"/>
        <v>#REF!</v>
      </c>
      <c r="KR209" s="175" t="e">
        <f t="shared" si="585"/>
        <v>#REF!</v>
      </c>
      <c r="KS209" s="175" t="e">
        <f t="shared" si="585"/>
        <v>#REF!</v>
      </c>
      <c r="KT209" s="175" t="e">
        <f t="shared" si="585"/>
        <v>#REF!</v>
      </c>
      <c r="KU209" s="175" t="e">
        <f t="shared" si="585"/>
        <v>#REF!</v>
      </c>
      <c r="KV209" s="175" t="e">
        <f>KP209+KV207</f>
        <v>#REF!</v>
      </c>
      <c r="KW209" s="175" t="e">
        <f t="shared" si="585"/>
        <v>#REF!</v>
      </c>
      <c r="KX209" s="175" t="e">
        <f t="shared" si="585"/>
        <v>#REF!</v>
      </c>
      <c r="KY209" s="175" t="e">
        <f t="shared" si="585"/>
        <v>#REF!</v>
      </c>
      <c r="KZ209" s="175" t="e">
        <f t="shared" si="585"/>
        <v>#REF!</v>
      </c>
      <c r="LA209" s="175" t="e">
        <f t="shared" si="585"/>
        <v>#REF!</v>
      </c>
      <c r="LB209" s="175" t="e">
        <f>KV209+LB207</f>
        <v>#REF!</v>
      </c>
      <c r="LC209" s="175" t="e">
        <f t="shared" si="585"/>
        <v>#REF!</v>
      </c>
      <c r="LD209" s="175" t="e">
        <f t="shared" si="585"/>
        <v>#REF!</v>
      </c>
      <c r="LE209" s="175" t="e">
        <f t="shared" si="585"/>
        <v>#REF!</v>
      </c>
      <c r="LF209" s="175" t="e">
        <f>LB209+LF207</f>
        <v>#REF!</v>
      </c>
      <c r="LG209" s="175" t="e">
        <f>KD209+LG207</f>
        <v>#REF!</v>
      </c>
      <c r="LI209" s="91"/>
    </row>
    <row r="210" spans="2:322" ht="15.75" thickBot="1"/>
    <row r="211" spans="2:322" ht="16.5" thickBot="1">
      <c r="B211" s="974" t="s">
        <v>179</v>
      </c>
      <c r="C211" s="975"/>
      <c r="D211" s="975"/>
      <c r="E211" s="975"/>
      <c r="F211" s="975"/>
      <c r="G211" s="975"/>
      <c r="H211" s="975"/>
      <c r="I211" s="975"/>
      <c r="J211" s="975"/>
      <c r="K211" s="975"/>
      <c r="L211" s="975"/>
      <c r="M211" s="975"/>
      <c r="N211" s="975"/>
      <c r="O211" s="975"/>
      <c r="P211" s="975"/>
      <c r="Q211" s="975"/>
      <c r="R211" s="975"/>
      <c r="S211" s="975"/>
      <c r="T211" s="975"/>
      <c r="U211" s="975"/>
      <c r="V211" s="975"/>
      <c r="W211" s="975"/>
      <c r="X211" s="975"/>
      <c r="Y211" s="975"/>
      <c r="Z211" s="975"/>
      <c r="AA211" s="975"/>
      <c r="AB211" s="975"/>
      <c r="AC211" s="975"/>
      <c r="AD211" s="975"/>
      <c r="AE211" s="975"/>
      <c r="AF211" s="975"/>
      <c r="AG211" s="975"/>
      <c r="AH211" s="975"/>
      <c r="AI211" s="975"/>
      <c r="AJ211" s="975"/>
      <c r="AK211" s="975"/>
      <c r="AL211" s="975"/>
      <c r="AM211" s="975"/>
      <c r="AN211" s="975"/>
      <c r="AO211" s="975"/>
      <c r="AP211" s="975"/>
      <c r="AQ211" s="975"/>
      <c r="AR211" s="975"/>
      <c r="AS211" s="975"/>
      <c r="AT211" s="975"/>
      <c r="AU211" s="975"/>
      <c r="AV211" s="975"/>
      <c r="AW211" s="975"/>
      <c r="AX211" s="975"/>
      <c r="AY211" s="975"/>
      <c r="AZ211" s="975"/>
      <c r="BA211" s="975"/>
      <c r="BB211" s="975"/>
      <c r="BC211" s="975"/>
      <c r="BD211" s="975"/>
      <c r="BE211" s="975"/>
      <c r="BF211" s="975"/>
      <c r="BG211" s="975"/>
      <c r="BH211" s="975"/>
      <c r="BI211" s="975"/>
      <c r="BJ211" s="975"/>
      <c r="BK211" s="975"/>
      <c r="BL211" s="975"/>
      <c r="BM211" s="975"/>
      <c r="BN211" s="975"/>
      <c r="BO211" s="975"/>
      <c r="BP211" s="975"/>
      <c r="BQ211" s="975"/>
      <c r="BR211" s="975"/>
      <c r="BS211" s="975"/>
      <c r="BT211" s="975"/>
      <c r="BU211" s="975"/>
      <c r="BV211" s="975"/>
      <c r="BW211" s="975"/>
      <c r="BX211" s="975"/>
      <c r="BY211" s="975"/>
      <c r="BZ211" s="975"/>
      <c r="CA211" s="975"/>
      <c r="CB211" s="975"/>
      <c r="CC211" s="975"/>
      <c r="CD211" s="975"/>
      <c r="CE211" s="975"/>
      <c r="CF211" s="975"/>
      <c r="CG211" s="975"/>
      <c r="CH211" s="975"/>
      <c r="CI211" s="975"/>
      <c r="CJ211" s="975"/>
      <c r="CK211" s="975"/>
      <c r="CL211" s="975"/>
      <c r="CM211" s="975"/>
      <c r="CN211" s="975"/>
      <c r="CO211" s="975"/>
      <c r="CP211" s="975"/>
      <c r="CQ211" s="975"/>
      <c r="CR211" s="975"/>
      <c r="CS211" s="975"/>
      <c r="CT211" s="975"/>
      <c r="CU211" s="975"/>
      <c r="CV211" s="975"/>
      <c r="CW211" s="975"/>
      <c r="CX211" s="975"/>
      <c r="CY211" s="975"/>
      <c r="CZ211" s="975"/>
      <c r="DA211" s="975"/>
      <c r="DB211" s="975"/>
      <c r="DC211" s="975"/>
      <c r="DD211" s="975"/>
      <c r="DE211" s="975"/>
      <c r="DF211" s="975"/>
      <c r="DG211" s="975"/>
      <c r="DH211" s="975"/>
      <c r="DI211" s="975"/>
      <c r="DJ211" s="975"/>
      <c r="DK211" s="975"/>
      <c r="DL211" s="975"/>
      <c r="DM211" s="975"/>
      <c r="DN211" s="975"/>
      <c r="DO211" s="975"/>
      <c r="DP211" s="975"/>
      <c r="DQ211" s="975"/>
      <c r="DR211" s="975"/>
      <c r="DS211" s="975"/>
      <c r="DT211" s="975"/>
      <c r="DU211" s="975"/>
      <c r="DV211" s="975"/>
      <c r="DW211" s="975"/>
      <c r="DX211" s="975"/>
      <c r="DY211" s="975"/>
      <c r="DZ211" s="975"/>
      <c r="EA211" s="975"/>
      <c r="EB211" s="975"/>
      <c r="EC211" s="975"/>
      <c r="ED211" s="975"/>
      <c r="EE211" s="975"/>
      <c r="EF211" s="975"/>
      <c r="EG211" s="975"/>
      <c r="EH211" s="975"/>
      <c r="EI211" s="975"/>
      <c r="EJ211" s="975"/>
      <c r="EK211" s="975"/>
      <c r="EL211" s="975"/>
      <c r="EM211" s="975"/>
      <c r="EN211" s="975"/>
      <c r="EO211" s="975"/>
      <c r="EP211" s="975"/>
      <c r="EQ211" s="975"/>
      <c r="ER211" s="975"/>
      <c r="ES211" s="975"/>
      <c r="ET211" s="975"/>
      <c r="EU211" s="975"/>
      <c r="EV211" s="975"/>
      <c r="EW211" s="975"/>
      <c r="EX211" s="975"/>
      <c r="EY211" s="975"/>
      <c r="EZ211" s="975"/>
      <c r="FA211" s="975"/>
      <c r="FB211" s="975"/>
      <c r="FC211" s="975"/>
      <c r="FD211" s="975"/>
      <c r="FE211" s="975"/>
      <c r="FF211" s="975"/>
      <c r="FG211" s="975"/>
      <c r="FH211" s="975"/>
      <c r="FI211" s="975"/>
      <c r="FJ211" s="975"/>
      <c r="FK211" s="975"/>
      <c r="FL211" s="975"/>
      <c r="FM211" s="975"/>
      <c r="FN211" s="975"/>
      <c r="FO211" s="975"/>
      <c r="FP211" s="975"/>
      <c r="FQ211" s="975"/>
      <c r="FR211" s="975"/>
      <c r="FS211" s="975"/>
      <c r="FT211" s="975"/>
      <c r="FU211" s="975"/>
      <c r="FV211" s="975"/>
      <c r="FW211" s="975"/>
      <c r="FX211" s="975"/>
      <c r="FY211" s="975"/>
      <c r="FZ211" s="975"/>
      <c r="GA211" s="975"/>
      <c r="GB211" s="975"/>
      <c r="GC211" s="975"/>
      <c r="GD211" s="975"/>
      <c r="GE211" s="975"/>
      <c r="GF211" s="975"/>
      <c r="GG211" s="975"/>
      <c r="GH211" s="975"/>
      <c r="GI211" s="975"/>
      <c r="GJ211" s="975"/>
      <c r="GK211" s="975"/>
      <c r="GL211" s="975"/>
      <c r="GM211" s="975"/>
      <c r="GN211" s="975"/>
      <c r="GO211" s="975"/>
      <c r="GP211" s="975"/>
      <c r="GQ211" s="975"/>
      <c r="GR211" s="975"/>
      <c r="GS211" s="975"/>
      <c r="GT211" s="975"/>
      <c r="GU211" s="975"/>
      <c r="GV211" s="975"/>
      <c r="GW211" s="975"/>
      <c r="GX211" s="975"/>
      <c r="GY211" s="975"/>
      <c r="GZ211" s="975"/>
      <c r="HA211" s="975"/>
      <c r="HB211" s="975"/>
      <c r="HC211" s="975"/>
      <c r="HD211" s="975"/>
      <c r="HE211" s="975"/>
      <c r="HF211" s="975"/>
      <c r="HG211" s="975"/>
      <c r="HH211" s="975"/>
      <c r="HI211" s="975"/>
      <c r="HJ211" s="975"/>
      <c r="HK211" s="975"/>
      <c r="HL211" s="975"/>
      <c r="HM211" s="975"/>
      <c r="HN211" s="975"/>
      <c r="HO211" s="975"/>
      <c r="HP211" s="975"/>
      <c r="HQ211" s="975"/>
      <c r="HR211" s="975"/>
      <c r="HS211" s="975"/>
      <c r="HT211" s="975"/>
      <c r="HU211" s="975"/>
      <c r="HV211" s="975"/>
      <c r="HW211" s="975"/>
      <c r="HX211" s="975"/>
      <c r="HY211" s="975"/>
      <c r="HZ211" s="975"/>
      <c r="IA211" s="975"/>
      <c r="IB211" s="975"/>
      <c r="IC211" s="975"/>
      <c r="ID211" s="975"/>
      <c r="IE211" s="975"/>
      <c r="IF211" s="975"/>
      <c r="IG211" s="975"/>
      <c r="IH211" s="975"/>
      <c r="II211" s="975"/>
      <c r="IJ211" s="975"/>
      <c r="IK211" s="975"/>
      <c r="IL211" s="975"/>
      <c r="IM211" s="975"/>
      <c r="IN211" s="975"/>
      <c r="IO211" s="975"/>
      <c r="IP211" s="975"/>
      <c r="IQ211" s="975"/>
      <c r="IR211" s="975"/>
      <c r="IS211" s="975"/>
      <c r="IT211" s="975"/>
      <c r="IU211" s="975"/>
      <c r="IV211" s="975"/>
      <c r="IW211" s="975"/>
      <c r="IX211" s="975"/>
      <c r="IY211" s="975"/>
      <c r="IZ211" s="975"/>
      <c r="JA211" s="975"/>
      <c r="JB211" s="975"/>
      <c r="JC211" s="975"/>
      <c r="JD211" s="975"/>
      <c r="JE211" s="975"/>
      <c r="JF211" s="975"/>
      <c r="JG211" s="975"/>
      <c r="JH211" s="975"/>
      <c r="JI211" s="975"/>
      <c r="JJ211" s="975"/>
      <c r="JK211" s="975"/>
      <c r="JL211" s="975"/>
      <c r="JM211" s="975"/>
      <c r="JN211" s="975"/>
      <c r="JO211" s="975"/>
      <c r="JP211" s="975"/>
      <c r="JQ211" s="975"/>
      <c r="JR211" s="975"/>
      <c r="JS211" s="975"/>
      <c r="JT211" s="975"/>
      <c r="JU211" s="975"/>
      <c r="JV211" s="975"/>
      <c r="JW211" s="975"/>
      <c r="JX211" s="975"/>
      <c r="JY211" s="975"/>
      <c r="JZ211" s="975"/>
      <c r="KA211" s="975"/>
      <c r="KB211" s="975"/>
      <c r="KC211" s="975"/>
      <c r="KD211" s="975"/>
      <c r="KE211" s="975"/>
      <c r="KF211" s="975"/>
      <c r="KG211" s="975"/>
      <c r="KH211" s="975"/>
      <c r="KI211" s="975"/>
      <c r="KJ211" s="975"/>
      <c r="KK211" s="975"/>
      <c r="KL211" s="975"/>
      <c r="KM211" s="975"/>
      <c r="KN211" s="975"/>
      <c r="KO211" s="975"/>
      <c r="KP211" s="975"/>
      <c r="KQ211" s="975"/>
      <c r="KR211" s="975"/>
      <c r="KS211" s="975"/>
      <c r="KT211" s="975"/>
      <c r="KU211" s="975"/>
      <c r="KV211" s="975"/>
      <c r="KW211" s="975"/>
      <c r="KX211" s="975"/>
      <c r="KY211" s="975"/>
      <c r="KZ211" s="975"/>
      <c r="LA211" s="975"/>
      <c r="LB211" s="975"/>
      <c r="LC211" s="975"/>
      <c r="LD211" s="975"/>
      <c r="LE211" s="975"/>
      <c r="LF211" s="975"/>
      <c r="LG211" s="976"/>
    </row>
    <row r="212" spans="2:322">
      <c r="B212" s="92" t="s">
        <v>77</v>
      </c>
      <c r="C212" s="171">
        <f>SUM(C213:C216)</f>
        <v>0</v>
      </c>
      <c r="D212" s="171">
        <f t="shared" ref="D212:AA212" si="586">SUM(D213:D216)</f>
        <v>0</v>
      </c>
      <c r="E212" s="171">
        <f t="shared" si="586"/>
        <v>0</v>
      </c>
      <c r="F212" s="171">
        <f t="shared" si="586"/>
        <v>0</v>
      </c>
      <c r="G212" s="171">
        <f t="shared" si="586"/>
        <v>0</v>
      </c>
      <c r="H212" s="171">
        <f t="shared" si="586"/>
        <v>0</v>
      </c>
      <c r="I212" s="171">
        <f t="shared" si="586"/>
        <v>0</v>
      </c>
      <c r="J212" s="171">
        <f t="shared" si="586"/>
        <v>0</v>
      </c>
      <c r="K212" s="171">
        <f t="shared" si="586"/>
        <v>0</v>
      </c>
      <c r="L212" s="171">
        <f t="shared" si="586"/>
        <v>0</v>
      </c>
      <c r="M212" s="171">
        <f t="shared" si="586"/>
        <v>6.34</v>
      </c>
      <c r="N212" s="171">
        <f t="shared" si="586"/>
        <v>0</v>
      </c>
      <c r="O212" s="171">
        <f t="shared" si="586"/>
        <v>6.34</v>
      </c>
      <c r="P212" s="171">
        <f t="shared" si="586"/>
        <v>0</v>
      </c>
      <c r="Q212" s="171">
        <f t="shared" si="586"/>
        <v>0</v>
      </c>
      <c r="R212" s="171">
        <f t="shared" si="586"/>
        <v>0</v>
      </c>
      <c r="S212" s="171">
        <f t="shared" si="586"/>
        <v>0</v>
      </c>
      <c r="T212" s="171">
        <f t="shared" si="586"/>
        <v>0</v>
      </c>
      <c r="U212" s="171">
        <f t="shared" si="586"/>
        <v>0</v>
      </c>
      <c r="V212" s="171">
        <f t="shared" si="586"/>
        <v>0</v>
      </c>
      <c r="W212" s="171">
        <f t="shared" si="586"/>
        <v>0</v>
      </c>
      <c r="X212" s="171">
        <f t="shared" si="586"/>
        <v>332.76</v>
      </c>
      <c r="Y212" s="171">
        <f t="shared" si="586"/>
        <v>0</v>
      </c>
      <c r="Z212" s="171">
        <f t="shared" si="586"/>
        <v>0</v>
      </c>
      <c r="AA212" s="171">
        <f t="shared" si="586"/>
        <v>332.76</v>
      </c>
      <c r="AB212" s="233">
        <f>SUM(AB213:AB216)</f>
        <v>339.09999999999997</v>
      </c>
      <c r="AC212" s="171">
        <f>SUM(AC213:AC217)</f>
        <v>0</v>
      </c>
      <c r="AD212" s="240">
        <f>SUM(AD213:AD217)</f>
        <v>0</v>
      </c>
      <c r="AE212" s="240">
        <f>SUM(AE213:AE217)</f>
        <v>0</v>
      </c>
      <c r="AF212" s="240">
        <f>SUM(AF213:AF217)</f>
        <v>0</v>
      </c>
      <c r="AG212" s="498">
        <f>SUM(AG213:AG217)</f>
        <v>0</v>
      </c>
      <c r="AH212" s="197">
        <f t="shared" ref="AH212:AZ212" si="587">SUM(AH213:AH217)</f>
        <v>0</v>
      </c>
      <c r="AI212" s="171">
        <f t="shared" si="587"/>
        <v>15</v>
      </c>
      <c r="AJ212" s="240">
        <f t="shared" si="587"/>
        <v>0</v>
      </c>
      <c r="AK212" s="240">
        <f t="shared" si="587"/>
        <v>0</v>
      </c>
      <c r="AL212" s="240">
        <f t="shared" si="587"/>
        <v>0</v>
      </c>
      <c r="AM212" s="498">
        <f t="shared" si="587"/>
        <v>1900.3</v>
      </c>
      <c r="AN212" s="197">
        <f t="shared" si="587"/>
        <v>1915.3</v>
      </c>
      <c r="AO212" s="171">
        <f t="shared" si="587"/>
        <v>0</v>
      </c>
      <c r="AP212" s="240">
        <f t="shared" si="587"/>
        <v>0</v>
      </c>
      <c r="AQ212" s="240">
        <f t="shared" si="587"/>
        <v>0</v>
      </c>
      <c r="AR212" s="240">
        <f t="shared" si="587"/>
        <v>0</v>
      </c>
      <c r="AS212" s="498">
        <f t="shared" si="587"/>
        <v>0</v>
      </c>
      <c r="AT212" s="197">
        <f t="shared" si="587"/>
        <v>0</v>
      </c>
      <c r="AU212" s="171">
        <f t="shared" si="587"/>
        <v>30</v>
      </c>
      <c r="AV212" s="240">
        <f t="shared" si="587"/>
        <v>0</v>
      </c>
      <c r="AW212" s="240">
        <f t="shared" si="587"/>
        <v>0</v>
      </c>
      <c r="AX212" s="240">
        <f t="shared" si="587"/>
        <v>0</v>
      </c>
      <c r="AY212" s="498">
        <f t="shared" si="587"/>
        <v>0</v>
      </c>
      <c r="AZ212" s="197">
        <f t="shared" si="587"/>
        <v>30</v>
      </c>
      <c r="BA212" s="233">
        <f t="shared" ref="BA212:CA212" si="588">SUM(BA213:BA217)</f>
        <v>1945.3</v>
      </c>
      <c r="BB212" s="171">
        <f t="shared" si="588"/>
        <v>0</v>
      </c>
      <c r="BC212" s="240">
        <f t="shared" si="588"/>
        <v>0</v>
      </c>
      <c r="BD212" s="240">
        <f t="shared" si="588"/>
        <v>0</v>
      </c>
      <c r="BE212" s="240">
        <f t="shared" si="588"/>
        <v>0</v>
      </c>
      <c r="BF212" s="498">
        <f t="shared" si="588"/>
        <v>1000</v>
      </c>
      <c r="BG212" s="197">
        <f t="shared" si="588"/>
        <v>1000</v>
      </c>
      <c r="BH212" s="171">
        <f t="shared" si="588"/>
        <v>0</v>
      </c>
      <c r="BI212" s="240">
        <f t="shared" si="588"/>
        <v>0</v>
      </c>
      <c r="BJ212" s="240">
        <f t="shared" si="588"/>
        <v>0</v>
      </c>
      <c r="BK212" s="240">
        <f t="shared" si="588"/>
        <v>0</v>
      </c>
      <c r="BL212" s="498">
        <f t="shared" si="588"/>
        <v>0</v>
      </c>
      <c r="BM212" s="197">
        <f t="shared" si="588"/>
        <v>0</v>
      </c>
      <c r="BN212" s="171">
        <f t="shared" si="588"/>
        <v>0</v>
      </c>
      <c r="BO212" s="240">
        <f t="shared" si="588"/>
        <v>0</v>
      </c>
      <c r="BP212" s="240">
        <f t="shared" si="588"/>
        <v>0</v>
      </c>
      <c r="BQ212" s="498">
        <f t="shared" si="588"/>
        <v>0</v>
      </c>
      <c r="BR212" s="197">
        <f t="shared" si="588"/>
        <v>0</v>
      </c>
      <c r="BS212" s="171">
        <f t="shared" si="588"/>
        <v>0</v>
      </c>
      <c r="BT212" s="240">
        <f t="shared" si="588"/>
        <v>0</v>
      </c>
      <c r="BU212" s="240">
        <f t="shared" si="588"/>
        <v>0</v>
      </c>
      <c r="BV212" s="240">
        <f t="shared" si="588"/>
        <v>0</v>
      </c>
      <c r="BW212" s="498">
        <f t="shared" si="588"/>
        <v>0</v>
      </c>
      <c r="BX212" s="197">
        <f t="shared" si="588"/>
        <v>0</v>
      </c>
      <c r="BY212" s="171">
        <f>SUM(BY213:BY217)</f>
        <v>0</v>
      </c>
      <c r="BZ212" s="240">
        <f>SUM(BZ213:BZ217)</f>
        <v>0</v>
      </c>
      <c r="CA212" s="197">
        <f t="shared" si="588"/>
        <v>0</v>
      </c>
      <c r="CB212" s="233">
        <f t="shared" ref="CB212:LG212" si="589">SUM(CB213:CB217)</f>
        <v>1000</v>
      </c>
      <c r="CC212" s="171">
        <f t="shared" si="589"/>
        <v>0</v>
      </c>
      <c r="CD212" s="240">
        <f t="shared" si="589"/>
        <v>6.18</v>
      </c>
      <c r="CE212" s="240">
        <f t="shared" si="589"/>
        <v>0</v>
      </c>
      <c r="CF212" s="197">
        <f t="shared" si="589"/>
        <v>6.18</v>
      </c>
      <c r="CG212" s="171">
        <f t="shared" si="589"/>
        <v>0</v>
      </c>
      <c r="CH212" s="240">
        <f t="shared" si="589"/>
        <v>0</v>
      </c>
      <c r="CI212" s="240">
        <f t="shared" si="589"/>
        <v>0</v>
      </c>
      <c r="CJ212" s="498">
        <f t="shared" si="589"/>
        <v>0</v>
      </c>
      <c r="CK212" s="171">
        <f t="shared" si="589"/>
        <v>0</v>
      </c>
      <c r="CL212" s="171">
        <f t="shared" si="589"/>
        <v>0</v>
      </c>
      <c r="CM212" s="240">
        <f t="shared" si="589"/>
        <v>0</v>
      </c>
      <c r="CN212" s="240">
        <f t="shared" si="589"/>
        <v>0</v>
      </c>
      <c r="CO212" s="240">
        <f t="shared" si="589"/>
        <v>0</v>
      </c>
      <c r="CP212" s="498">
        <f t="shared" si="589"/>
        <v>0</v>
      </c>
      <c r="CQ212" s="197">
        <f>SUM(CQ213:CQ217)</f>
        <v>0</v>
      </c>
      <c r="CR212" s="171">
        <f t="shared" si="589"/>
        <v>0</v>
      </c>
      <c r="CS212" s="240">
        <f t="shared" si="589"/>
        <v>0</v>
      </c>
      <c r="CT212" s="240">
        <f t="shared" si="589"/>
        <v>0</v>
      </c>
      <c r="CU212" s="240">
        <f t="shared" si="589"/>
        <v>0</v>
      </c>
      <c r="CV212" s="498">
        <f t="shared" si="589"/>
        <v>0</v>
      </c>
      <c r="CW212" s="197">
        <f t="shared" si="589"/>
        <v>0</v>
      </c>
      <c r="CX212" s="171">
        <f t="shared" si="589"/>
        <v>0</v>
      </c>
      <c r="CY212" s="240">
        <f>SUM(CY213:CY217)</f>
        <v>0</v>
      </c>
      <c r="CZ212" s="240">
        <f t="shared" si="589"/>
        <v>0</v>
      </c>
      <c r="DA212" s="498">
        <f t="shared" si="589"/>
        <v>0</v>
      </c>
      <c r="DB212" s="197">
        <f t="shared" si="589"/>
        <v>0</v>
      </c>
      <c r="DC212" s="233">
        <f t="shared" si="589"/>
        <v>6.18</v>
      </c>
      <c r="DD212" s="171">
        <f t="shared" si="589"/>
        <v>0</v>
      </c>
      <c r="DE212" s="240">
        <f t="shared" si="589"/>
        <v>0</v>
      </c>
      <c r="DF212" s="240">
        <f t="shared" si="589"/>
        <v>0</v>
      </c>
      <c r="DG212" s="240">
        <f t="shared" si="589"/>
        <v>0</v>
      </c>
      <c r="DH212" s="240">
        <f t="shared" si="589"/>
        <v>0</v>
      </c>
      <c r="DI212" s="197">
        <f t="shared" si="589"/>
        <v>0</v>
      </c>
      <c r="DJ212" s="171">
        <f t="shared" si="589"/>
        <v>0</v>
      </c>
      <c r="DK212" s="240">
        <f t="shared" si="589"/>
        <v>0</v>
      </c>
      <c r="DL212" s="240">
        <f t="shared" si="589"/>
        <v>14</v>
      </c>
      <c r="DM212" s="240">
        <f t="shared" si="589"/>
        <v>5187.75</v>
      </c>
      <c r="DN212" s="498">
        <f t="shared" si="589"/>
        <v>0</v>
      </c>
      <c r="DO212" s="197">
        <f t="shared" si="589"/>
        <v>5201.75</v>
      </c>
      <c r="DP212" s="171">
        <f t="shared" si="589"/>
        <v>0</v>
      </c>
      <c r="DQ212" s="240">
        <f t="shared" si="589"/>
        <v>0</v>
      </c>
      <c r="DR212" s="240">
        <f t="shared" si="589"/>
        <v>35000</v>
      </c>
      <c r="DS212" s="240">
        <f t="shared" si="589"/>
        <v>30</v>
      </c>
      <c r="DT212" s="498">
        <f t="shared" si="589"/>
        <v>0</v>
      </c>
      <c r="DU212" s="197">
        <f t="shared" si="589"/>
        <v>35030</v>
      </c>
      <c r="DV212" s="171">
        <f t="shared" si="589"/>
        <v>0</v>
      </c>
      <c r="DW212" s="240">
        <f t="shared" si="589"/>
        <v>0</v>
      </c>
      <c r="DX212" s="240">
        <f t="shared" si="589"/>
        <v>0</v>
      </c>
      <c r="DY212" s="240">
        <f t="shared" si="589"/>
        <v>0</v>
      </c>
      <c r="DZ212" s="498">
        <f t="shared" si="589"/>
        <v>-5187.75</v>
      </c>
      <c r="EA212" s="197">
        <f t="shared" si="589"/>
        <v>-5187.75</v>
      </c>
      <c r="EB212" s="233">
        <f t="shared" si="589"/>
        <v>35044</v>
      </c>
      <c r="EC212" s="171">
        <f t="shared" si="589"/>
        <v>0</v>
      </c>
      <c r="ED212" s="240">
        <f t="shared" si="589"/>
        <v>0</v>
      </c>
      <c r="EE212" s="240">
        <f t="shared" si="589"/>
        <v>0</v>
      </c>
      <c r="EF212" s="240">
        <f t="shared" si="589"/>
        <v>0</v>
      </c>
      <c r="EG212" s="498">
        <f t="shared" si="589"/>
        <v>0</v>
      </c>
      <c r="EH212" s="197">
        <f t="shared" si="589"/>
        <v>0</v>
      </c>
      <c r="EI212" s="171">
        <f t="shared" si="589"/>
        <v>0</v>
      </c>
      <c r="EJ212" s="240">
        <f t="shared" si="589"/>
        <v>0</v>
      </c>
      <c r="EK212" s="240">
        <f t="shared" si="589"/>
        <v>0</v>
      </c>
      <c r="EL212" s="240">
        <f t="shared" si="589"/>
        <v>0</v>
      </c>
      <c r="EM212" s="498">
        <f t="shared" si="589"/>
        <v>0</v>
      </c>
      <c r="EN212" s="197">
        <f t="shared" si="589"/>
        <v>0</v>
      </c>
      <c r="EO212" s="171">
        <f t="shared" si="589"/>
        <v>0</v>
      </c>
      <c r="EP212" s="240">
        <f t="shared" si="589"/>
        <v>0</v>
      </c>
      <c r="EQ212" s="240">
        <f t="shared" si="589"/>
        <v>0</v>
      </c>
      <c r="ER212" s="240">
        <f t="shared" si="589"/>
        <v>0</v>
      </c>
      <c r="ES212" s="498">
        <f t="shared" si="589"/>
        <v>0</v>
      </c>
      <c r="ET212" s="197">
        <f t="shared" si="589"/>
        <v>0</v>
      </c>
      <c r="EU212" s="171">
        <f t="shared" si="589"/>
        <v>0</v>
      </c>
      <c r="EV212" s="240">
        <f t="shared" si="589"/>
        <v>0</v>
      </c>
      <c r="EW212" s="240">
        <f t="shared" si="589"/>
        <v>0</v>
      </c>
      <c r="EX212" s="240">
        <f t="shared" si="589"/>
        <v>0</v>
      </c>
      <c r="EY212" s="240">
        <f t="shared" si="589"/>
        <v>0</v>
      </c>
      <c r="EZ212" s="240">
        <f>SUM(EZ213:EZ217)</f>
        <v>0</v>
      </c>
      <c r="FA212" s="498">
        <f t="shared" si="589"/>
        <v>0</v>
      </c>
      <c r="FB212" s="197">
        <f t="shared" si="589"/>
        <v>0</v>
      </c>
      <c r="FC212" s="233">
        <f t="shared" si="589"/>
        <v>0</v>
      </c>
      <c r="FD212" s="171">
        <f t="shared" si="589"/>
        <v>0</v>
      </c>
      <c r="FE212" s="240">
        <f t="shared" si="589"/>
        <v>0</v>
      </c>
      <c r="FF212" s="498">
        <f t="shared" si="589"/>
        <v>6.2</v>
      </c>
      <c r="FG212" s="197">
        <f t="shared" si="589"/>
        <v>6.2</v>
      </c>
      <c r="FH212" s="171">
        <f t="shared" si="589"/>
        <v>0</v>
      </c>
      <c r="FI212" s="240">
        <f t="shared" si="589"/>
        <v>206440.25</v>
      </c>
      <c r="FJ212" s="240">
        <f t="shared" si="589"/>
        <v>0</v>
      </c>
      <c r="FK212" s="240">
        <f t="shared" si="589"/>
        <v>0</v>
      </c>
      <c r="FL212" s="498">
        <f t="shared" si="589"/>
        <v>0</v>
      </c>
      <c r="FM212" s="197">
        <f t="shared" si="589"/>
        <v>206440.25</v>
      </c>
      <c r="FN212" s="171">
        <f>SUM(FN213:FN217)</f>
        <v>0</v>
      </c>
      <c r="FO212" s="240">
        <f>SUM(FO213:FO217)</f>
        <v>0</v>
      </c>
      <c r="FP212" s="240">
        <f>SUM(FP213:FP217)</f>
        <v>0</v>
      </c>
      <c r="FQ212" s="240">
        <f>SUM(FQ213:FQ217)</f>
        <v>1642.8</v>
      </c>
      <c r="FR212" s="197">
        <f t="shared" si="589"/>
        <v>1642.8</v>
      </c>
      <c r="FS212" s="171">
        <f t="shared" si="589"/>
        <v>0</v>
      </c>
      <c r="FT212" s="240">
        <f t="shared" si="589"/>
        <v>23400</v>
      </c>
      <c r="FU212" s="240">
        <f t="shared" si="589"/>
        <v>0</v>
      </c>
      <c r="FV212" s="240">
        <f t="shared" si="589"/>
        <v>0</v>
      </c>
      <c r="FW212" s="498">
        <f t="shared" si="589"/>
        <v>0</v>
      </c>
      <c r="FX212" s="197">
        <f t="shared" si="589"/>
        <v>23400</v>
      </c>
      <c r="FY212" s="171">
        <f t="shared" ref="FY212:GD212" si="590">SUM(FY213:FY217)</f>
        <v>0</v>
      </c>
      <c r="FZ212" s="240">
        <f t="shared" si="590"/>
        <v>140.41999999999999</v>
      </c>
      <c r="GA212" s="240">
        <f t="shared" si="590"/>
        <v>920</v>
      </c>
      <c r="GB212" s="240">
        <f t="shared" si="590"/>
        <v>0</v>
      </c>
      <c r="GC212" s="498">
        <f t="shared" si="590"/>
        <v>0</v>
      </c>
      <c r="GD212" s="197">
        <f t="shared" si="590"/>
        <v>1060.42</v>
      </c>
      <c r="GE212" s="233">
        <f t="shared" si="589"/>
        <v>232549.66999999998</v>
      </c>
      <c r="GF212" s="171">
        <f t="shared" si="589"/>
        <v>0</v>
      </c>
      <c r="GG212" s="240">
        <f t="shared" si="589"/>
        <v>0</v>
      </c>
      <c r="GH212" s="240">
        <f t="shared" si="589"/>
        <v>0</v>
      </c>
      <c r="GI212" s="240">
        <f t="shared" si="589"/>
        <v>0</v>
      </c>
      <c r="GJ212" s="240">
        <f t="shared" si="589"/>
        <v>0</v>
      </c>
      <c r="GK212" s="197">
        <f t="shared" si="589"/>
        <v>0</v>
      </c>
      <c r="GL212" s="171">
        <f t="shared" si="589"/>
        <v>0</v>
      </c>
      <c r="GM212" s="240">
        <f t="shared" si="589"/>
        <v>0</v>
      </c>
      <c r="GN212" s="240">
        <f t="shared" si="589"/>
        <v>0</v>
      </c>
      <c r="GO212" s="498">
        <f t="shared" si="589"/>
        <v>8960</v>
      </c>
      <c r="GP212" s="197">
        <f t="shared" si="589"/>
        <v>8960</v>
      </c>
      <c r="GQ212" s="171">
        <f t="shared" si="589"/>
        <v>0</v>
      </c>
      <c r="GR212" s="240">
        <f t="shared" si="589"/>
        <v>0</v>
      </c>
      <c r="GS212" s="240">
        <f t="shared" si="589"/>
        <v>0</v>
      </c>
      <c r="GT212" s="240">
        <f t="shared" si="589"/>
        <v>0</v>
      </c>
      <c r="GU212" s="498">
        <f t="shared" si="589"/>
        <v>0</v>
      </c>
      <c r="GV212" s="197">
        <f t="shared" si="589"/>
        <v>0</v>
      </c>
      <c r="GW212" s="171">
        <f t="shared" si="589"/>
        <v>0</v>
      </c>
      <c r="GX212" s="240">
        <f t="shared" si="589"/>
        <v>0</v>
      </c>
      <c r="GY212" s="240">
        <f t="shared" si="589"/>
        <v>0</v>
      </c>
      <c r="GZ212" s="240">
        <f>SUM(GZ213:GZ217)</f>
        <v>0</v>
      </c>
      <c r="HA212" s="240">
        <f>SUM(HA213:HA217)</f>
        <v>0</v>
      </c>
      <c r="HB212" s="498">
        <f t="shared" si="589"/>
        <v>0</v>
      </c>
      <c r="HC212" s="197">
        <f t="shared" si="589"/>
        <v>0</v>
      </c>
      <c r="HD212" s="233">
        <f t="shared" si="589"/>
        <v>8960</v>
      </c>
      <c r="HE212" s="171">
        <f t="shared" si="589"/>
        <v>0</v>
      </c>
      <c r="HF212" s="240">
        <f t="shared" si="589"/>
        <v>0</v>
      </c>
      <c r="HG212" s="240">
        <f t="shared" si="589"/>
        <v>0</v>
      </c>
      <c r="HH212" s="240">
        <f t="shared" si="589"/>
        <v>0</v>
      </c>
      <c r="HI212" s="197">
        <f t="shared" si="589"/>
        <v>0</v>
      </c>
      <c r="HJ212" s="171">
        <f t="shared" si="589"/>
        <v>0</v>
      </c>
      <c r="HK212" s="240">
        <f t="shared" si="589"/>
        <v>0</v>
      </c>
      <c r="HL212" s="240">
        <f t="shared" si="589"/>
        <v>0</v>
      </c>
      <c r="HM212" s="240">
        <f t="shared" si="589"/>
        <v>0</v>
      </c>
      <c r="HN212" s="498">
        <f t="shared" si="589"/>
        <v>0</v>
      </c>
      <c r="HO212" s="197">
        <f t="shared" si="589"/>
        <v>0</v>
      </c>
      <c r="HP212" s="171">
        <f t="shared" si="589"/>
        <v>0</v>
      </c>
      <c r="HQ212" s="240">
        <f t="shared" si="589"/>
        <v>0</v>
      </c>
      <c r="HR212" s="240">
        <f t="shared" si="589"/>
        <v>0</v>
      </c>
      <c r="HS212" s="240">
        <f t="shared" si="589"/>
        <v>0</v>
      </c>
      <c r="HT212" s="498">
        <f t="shared" si="589"/>
        <v>0</v>
      </c>
      <c r="HU212" s="197">
        <f t="shared" si="589"/>
        <v>0</v>
      </c>
      <c r="HV212" s="171">
        <f t="shared" si="589"/>
        <v>0</v>
      </c>
      <c r="HW212" s="240">
        <f t="shared" si="589"/>
        <v>0</v>
      </c>
      <c r="HX212" s="240">
        <f t="shared" si="589"/>
        <v>0</v>
      </c>
      <c r="HY212" s="197">
        <f t="shared" si="589"/>
        <v>0</v>
      </c>
      <c r="HZ212" s="171">
        <f t="shared" si="589"/>
        <v>0</v>
      </c>
      <c r="IA212" s="240">
        <f>SUM(IA213:IA217)</f>
        <v>0</v>
      </c>
      <c r="IB212" s="498">
        <f>SUM(IB213:IB217)</f>
        <v>0</v>
      </c>
      <c r="IC212" s="197">
        <f t="shared" si="589"/>
        <v>0</v>
      </c>
      <c r="ID212" s="233">
        <f t="shared" si="589"/>
        <v>0</v>
      </c>
      <c r="IE212" s="171">
        <f t="shared" si="589"/>
        <v>0</v>
      </c>
      <c r="IF212" s="498">
        <f t="shared" si="589"/>
        <v>0</v>
      </c>
      <c r="IG212" s="197">
        <f t="shared" si="589"/>
        <v>0</v>
      </c>
      <c r="IH212" s="171">
        <f t="shared" si="589"/>
        <v>0</v>
      </c>
      <c r="II212" s="240">
        <f t="shared" si="589"/>
        <v>0</v>
      </c>
      <c r="IJ212" s="240">
        <f t="shared" si="589"/>
        <v>0</v>
      </c>
      <c r="IK212" s="240">
        <f t="shared" si="589"/>
        <v>0</v>
      </c>
      <c r="IL212" s="498">
        <f t="shared" si="589"/>
        <v>0</v>
      </c>
      <c r="IM212" s="197">
        <f t="shared" si="589"/>
        <v>0</v>
      </c>
      <c r="IN212" s="171">
        <f t="shared" si="589"/>
        <v>0</v>
      </c>
      <c r="IO212" s="240">
        <f t="shared" si="589"/>
        <v>0</v>
      </c>
      <c r="IP212" s="498">
        <f t="shared" si="589"/>
        <v>0</v>
      </c>
      <c r="IQ212" s="197">
        <f t="shared" si="589"/>
        <v>0</v>
      </c>
      <c r="IR212" s="171">
        <f t="shared" si="589"/>
        <v>0</v>
      </c>
      <c r="IS212" s="240">
        <f t="shared" si="589"/>
        <v>0</v>
      </c>
      <c r="IT212" s="240">
        <f t="shared" si="589"/>
        <v>0</v>
      </c>
      <c r="IU212" s="240">
        <f t="shared" si="589"/>
        <v>0</v>
      </c>
      <c r="IV212" s="498">
        <f t="shared" si="589"/>
        <v>0</v>
      </c>
      <c r="IW212" s="197">
        <f t="shared" si="589"/>
        <v>0</v>
      </c>
      <c r="IX212" s="171">
        <f t="shared" si="589"/>
        <v>0</v>
      </c>
      <c r="IY212" s="240">
        <f t="shared" si="589"/>
        <v>0</v>
      </c>
      <c r="IZ212" s="240">
        <f t="shared" si="589"/>
        <v>34883.69</v>
      </c>
      <c r="JA212" s="240">
        <f t="shared" si="589"/>
        <v>0</v>
      </c>
      <c r="JB212" s="498">
        <f t="shared" si="589"/>
        <v>0</v>
      </c>
      <c r="JC212" s="197">
        <f t="shared" si="589"/>
        <v>34883.69</v>
      </c>
      <c r="JD212" s="233">
        <f t="shared" si="589"/>
        <v>34883.69</v>
      </c>
      <c r="JE212" s="171">
        <f t="shared" si="589"/>
        <v>0</v>
      </c>
      <c r="JF212" s="240">
        <f t="shared" si="589"/>
        <v>0</v>
      </c>
      <c r="JG212" s="240">
        <f t="shared" si="589"/>
        <v>12</v>
      </c>
      <c r="JH212" s="240">
        <f t="shared" si="589"/>
        <v>0</v>
      </c>
      <c r="JI212" s="498">
        <f t="shared" si="589"/>
        <v>0</v>
      </c>
      <c r="JJ212" s="197">
        <f t="shared" si="589"/>
        <v>12</v>
      </c>
      <c r="JK212" s="428">
        <f t="shared" si="589"/>
        <v>0</v>
      </c>
      <c r="JL212" s="429">
        <f t="shared" si="589"/>
        <v>0</v>
      </c>
      <c r="JM212" s="429">
        <f t="shared" si="589"/>
        <v>0</v>
      </c>
      <c r="JN212" s="429">
        <f t="shared" si="589"/>
        <v>0</v>
      </c>
      <c r="JO212" s="430">
        <f t="shared" si="589"/>
        <v>0</v>
      </c>
      <c r="JP212" s="147">
        <f t="shared" si="589"/>
        <v>0</v>
      </c>
      <c r="JQ212" s="428">
        <f t="shared" si="589"/>
        <v>0</v>
      </c>
      <c r="JR212" s="429">
        <f t="shared" si="589"/>
        <v>0</v>
      </c>
      <c r="JS212" s="429">
        <f t="shared" si="589"/>
        <v>0</v>
      </c>
      <c r="JT212" s="429">
        <f t="shared" si="589"/>
        <v>0</v>
      </c>
      <c r="JU212" s="430">
        <f t="shared" si="589"/>
        <v>0</v>
      </c>
      <c r="JV212" s="147">
        <f t="shared" si="589"/>
        <v>0</v>
      </c>
      <c r="JW212" s="428">
        <f t="shared" si="589"/>
        <v>0</v>
      </c>
      <c r="JX212" s="429">
        <f t="shared" si="589"/>
        <v>0</v>
      </c>
      <c r="JY212" s="429">
        <f t="shared" si="589"/>
        <v>0</v>
      </c>
      <c r="JZ212" s="429">
        <f t="shared" si="589"/>
        <v>0</v>
      </c>
      <c r="KA212" s="429"/>
      <c r="KB212" s="430">
        <f t="shared" si="589"/>
        <v>0</v>
      </c>
      <c r="KC212" s="147">
        <f t="shared" si="589"/>
        <v>0</v>
      </c>
      <c r="KD212" s="147">
        <f t="shared" si="589"/>
        <v>12</v>
      </c>
      <c r="KE212" s="428">
        <f t="shared" si="589"/>
        <v>0</v>
      </c>
      <c r="KF212" s="429">
        <f t="shared" si="589"/>
        <v>0</v>
      </c>
      <c r="KG212" s="429">
        <f t="shared" si="589"/>
        <v>0</v>
      </c>
      <c r="KH212" s="429">
        <f t="shared" si="589"/>
        <v>0</v>
      </c>
      <c r="KI212" s="430">
        <f t="shared" si="589"/>
        <v>0</v>
      </c>
      <c r="KJ212" s="147">
        <f t="shared" si="589"/>
        <v>0</v>
      </c>
      <c r="KK212" s="428">
        <f t="shared" si="589"/>
        <v>0</v>
      </c>
      <c r="KL212" s="429">
        <f t="shared" si="589"/>
        <v>0</v>
      </c>
      <c r="KM212" s="429">
        <f t="shared" si="589"/>
        <v>0</v>
      </c>
      <c r="KN212" s="429">
        <f t="shared" si="589"/>
        <v>0</v>
      </c>
      <c r="KO212" s="430">
        <f t="shared" si="589"/>
        <v>0</v>
      </c>
      <c r="KP212" s="147">
        <f t="shared" si="589"/>
        <v>0</v>
      </c>
      <c r="KQ212" s="428">
        <f t="shared" si="589"/>
        <v>0</v>
      </c>
      <c r="KR212" s="429">
        <f t="shared" si="589"/>
        <v>0</v>
      </c>
      <c r="KS212" s="429">
        <f t="shared" si="589"/>
        <v>0</v>
      </c>
      <c r="KT212" s="429">
        <f t="shared" si="589"/>
        <v>0</v>
      </c>
      <c r="KU212" s="430">
        <f t="shared" si="589"/>
        <v>0</v>
      </c>
      <c r="KV212" s="147">
        <f t="shared" si="589"/>
        <v>0</v>
      </c>
      <c r="KW212" s="428">
        <f t="shared" si="589"/>
        <v>0</v>
      </c>
      <c r="KX212" s="429">
        <f t="shared" si="589"/>
        <v>0</v>
      </c>
      <c r="KY212" s="429">
        <f t="shared" si="589"/>
        <v>0</v>
      </c>
      <c r="KZ212" s="429">
        <f t="shared" si="589"/>
        <v>0</v>
      </c>
      <c r="LA212" s="430">
        <f t="shared" si="589"/>
        <v>0</v>
      </c>
      <c r="LB212" s="147">
        <f t="shared" si="589"/>
        <v>0</v>
      </c>
      <c r="LC212" s="428">
        <f t="shared" si="589"/>
        <v>0</v>
      </c>
      <c r="LD212" s="429">
        <f t="shared" si="589"/>
        <v>0</v>
      </c>
      <c r="LE212" s="430">
        <f t="shared" si="589"/>
        <v>0</v>
      </c>
      <c r="LF212" s="147">
        <f t="shared" si="589"/>
        <v>0</v>
      </c>
      <c r="LG212" s="147">
        <f t="shared" si="589"/>
        <v>0</v>
      </c>
    </row>
    <row r="213" spans="2:322" s="1" customFormat="1">
      <c r="B213" s="96" t="s">
        <v>98</v>
      </c>
      <c r="C213" s="203"/>
      <c r="D213" s="202">
        <f>SUM(C213:C213)</f>
        <v>0</v>
      </c>
      <c r="E213" s="203"/>
      <c r="F213" s="205"/>
      <c r="G213" s="205"/>
      <c r="H213" s="205"/>
      <c r="I213" s="204"/>
      <c r="J213" s="202">
        <f>SUM(E213:I213)</f>
        <v>0</v>
      </c>
      <c r="K213" s="203"/>
      <c r="L213" s="205"/>
      <c r="M213" s="205"/>
      <c r="N213" s="204"/>
      <c r="O213" s="202">
        <f>SUM(K213:N213)</f>
        <v>0</v>
      </c>
      <c r="P213" s="203"/>
      <c r="Q213" s="205"/>
      <c r="R213" s="205"/>
      <c r="S213" s="205"/>
      <c r="T213" s="204"/>
      <c r="U213" s="202">
        <f>SUM(P213:T213)</f>
        <v>0</v>
      </c>
      <c r="V213" s="203"/>
      <c r="W213" s="205"/>
      <c r="X213" s="205"/>
      <c r="Y213" s="205"/>
      <c r="Z213" s="204"/>
      <c r="AA213" s="208">
        <f>SUM(V213:Z213)</f>
        <v>0</v>
      </c>
      <c r="AB213" s="208">
        <f>AA213+U213+O213+J213+D213</f>
        <v>0</v>
      </c>
      <c r="AC213" s="202"/>
      <c r="AD213" s="244"/>
      <c r="AE213" s="244"/>
      <c r="AF213" s="244"/>
      <c r="AG213" s="245"/>
      <c r="AH213" s="208">
        <f>SUM(AC213:AG213)</f>
        <v>0</v>
      </c>
      <c r="AI213" s="203"/>
      <c r="AJ213" s="205"/>
      <c r="AK213" s="205"/>
      <c r="AL213" s="205"/>
      <c r="AM213" s="204"/>
      <c r="AN213" s="208">
        <f>SUM(AI213:AM213)</f>
        <v>0</v>
      </c>
      <c r="AO213" s="203"/>
      <c r="AP213" s="205"/>
      <c r="AQ213" s="205"/>
      <c r="AR213" s="205"/>
      <c r="AS213" s="204"/>
      <c r="AT213" s="208">
        <f>SUM(AO213:AS213)</f>
        <v>0</v>
      </c>
      <c r="AU213" s="203"/>
      <c r="AV213" s="205"/>
      <c r="AW213" s="205"/>
      <c r="AX213" s="205"/>
      <c r="AY213" s="204"/>
      <c r="AZ213" s="208">
        <f>SUM(AU213:AY213)</f>
        <v>0</v>
      </c>
      <c r="BA213" s="208">
        <f>AZ213+AT213+AN213+AH213</f>
        <v>0</v>
      </c>
      <c r="BB213" s="203"/>
      <c r="BC213" s="205"/>
      <c r="BD213" s="205"/>
      <c r="BE213" s="205"/>
      <c r="BF213" s="204"/>
      <c r="BG213" s="208">
        <f>SUM(BB213:BF213)</f>
        <v>0</v>
      </c>
      <c r="BH213" s="203"/>
      <c r="BI213" s="205"/>
      <c r="BJ213" s="205"/>
      <c r="BK213" s="205"/>
      <c r="BL213" s="204"/>
      <c r="BM213" s="208">
        <f>SUM(BH213:BL213)</f>
        <v>0</v>
      </c>
      <c r="BN213" s="203"/>
      <c r="BO213" s="205"/>
      <c r="BP213" s="205"/>
      <c r="BQ213" s="204"/>
      <c r="BR213" s="208">
        <f>SUM(BN213:BQ213)</f>
        <v>0</v>
      </c>
      <c r="BS213" s="203"/>
      <c r="BT213" s="205"/>
      <c r="BU213" s="205"/>
      <c r="BV213" s="205"/>
      <c r="BW213" s="204"/>
      <c r="BX213" s="208">
        <f>SUM(BS213:BW213)</f>
        <v>0</v>
      </c>
      <c r="BY213" s="203"/>
      <c r="BZ213" s="205"/>
      <c r="CA213" s="208">
        <f>SUM(BY213:BZ213)</f>
        <v>0</v>
      </c>
      <c r="CB213" s="208">
        <f>CA213+BX213+BR213+BM213+BG213</f>
        <v>0</v>
      </c>
      <c r="CC213" s="203"/>
      <c r="CD213" s="205"/>
      <c r="CE213" s="205"/>
      <c r="CF213" s="208">
        <f>SUM(CC213:CE213)</f>
        <v>0</v>
      </c>
      <c r="CG213" s="203"/>
      <c r="CH213" s="205"/>
      <c r="CI213" s="205"/>
      <c r="CJ213" s="204"/>
      <c r="CK213" s="308">
        <f>SUM(CG213:CJ213)</f>
        <v>0</v>
      </c>
      <c r="CL213" s="203"/>
      <c r="CM213" s="205"/>
      <c r="CN213" s="205"/>
      <c r="CO213" s="205"/>
      <c r="CP213" s="204"/>
      <c r="CQ213" s="208">
        <f>SUM(CL213:CP213)</f>
        <v>0</v>
      </c>
      <c r="CR213" s="203"/>
      <c r="CS213" s="205"/>
      <c r="CT213" s="205"/>
      <c r="CU213" s="205"/>
      <c r="CV213" s="204"/>
      <c r="CW213" s="208">
        <f>SUM(CR213:CV213)</f>
        <v>0</v>
      </c>
      <c r="CX213" s="203"/>
      <c r="CY213" s="205"/>
      <c r="CZ213" s="205"/>
      <c r="DA213" s="204"/>
      <c r="DB213" s="208">
        <f>SUM(CX213:DA213)</f>
        <v>0</v>
      </c>
      <c r="DC213" s="208">
        <f>DB213+CW213+CK213+CQ213+CF213</f>
        <v>0</v>
      </c>
      <c r="DD213" s="203"/>
      <c r="DE213" s="205"/>
      <c r="DF213" s="205"/>
      <c r="DG213" s="205"/>
      <c r="DH213" s="205"/>
      <c r="DI213" s="208">
        <f>SUM(DD213:DH213)</f>
        <v>0</v>
      </c>
      <c r="DJ213" s="203"/>
      <c r="DK213" s="205"/>
      <c r="DL213" s="205"/>
      <c r="DM213" s="205"/>
      <c r="DN213" s="204"/>
      <c r="DO213" s="208">
        <f>SUM(DJ213:DN213)</f>
        <v>0</v>
      </c>
      <c r="DP213" s="203"/>
      <c r="DQ213" s="205"/>
      <c r="DR213" s="205"/>
      <c r="DS213" s="205"/>
      <c r="DT213" s="204"/>
      <c r="DU213" s="208">
        <f>SUM(DP213:DT213)</f>
        <v>0</v>
      </c>
      <c r="DV213" s="203"/>
      <c r="DW213" s="205"/>
      <c r="DX213" s="205"/>
      <c r="DY213" s="205"/>
      <c r="DZ213" s="204"/>
      <c r="EA213" s="208">
        <f>SUM(DV213:DZ213)</f>
        <v>0</v>
      </c>
      <c r="EB213" s="208">
        <f>+DI213+DO213+DU213+EA213</f>
        <v>0</v>
      </c>
      <c r="EC213" s="203"/>
      <c r="ED213" s="205"/>
      <c r="EE213" s="205"/>
      <c r="EF213" s="205"/>
      <c r="EG213" s="204"/>
      <c r="EH213" s="208">
        <f>SUM(EC213:EG213)</f>
        <v>0</v>
      </c>
      <c r="EI213" s="203"/>
      <c r="EJ213" s="205"/>
      <c r="EK213" s="205"/>
      <c r="EL213" s="205"/>
      <c r="EM213" s="204"/>
      <c r="EN213" s="208">
        <f>SUM(EI213:EM213)</f>
        <v>0</v>
      </c>
      <c r="EO213" s="203"/>
      <c r="EP213" s="205"/>
      <c r="EQ213" s="205"/>
      <c r="ER213" s="205"/>
      <c r="ES213" s="204"/>
      <c r="ET213" s="208">
        <f>SUM(EO213:ES213)</f>
        <v>0</v>
      </c>
      <c r="EU213" s="203"/>
      <c r="EV213" s="205"/>
      <c r="EW213" s="205"/>
      <c r="EX213" s="205"/>
      <c r="EY213" s="205"/>
      <c r="EZ213" s="205"/>
      <c r="FA213" s="204"/>
      <c r="FB213" s="208">
        <f>SUM(EU213:FA213)</f>
        <v>0</v>
      </c>
      <c r="FC213" s="208">
        <f>FB213+ET213+EN213+EH213</f>
        <v>0</v>
      </c>
      <c r="FD213" s="203"/>
      <c r="FE213" s="205"/>
      <c r="FF213" s="204"/>
      <c r="FG213" s="208">
        <f>SUM(FD213:FF213)</f>
        <v>0</v>
      </c>
      <c r="FH213" s="203"/>
      <c r="FI213" s="205"/>
      <c r="FJ213" s="205"/>
      <c r="FK213" s="205"/>
      <c r="FL213" s="204"/>
      <c r="FM213" s="208">
        <f>SUM(FH213:FL213)</f>
        <v>0</v>
      </c>
      <c r="FN213" s="203"/>
      <c r="FO213" s="205"/>
      <c r="FP213" s="205"/>
      <c r="FQ213" s="205"/>
      <c r="FR213" s="208">
        <f>SUM(FN213:FQ213)</f>
        <v>0</v>
      </c>
      <c r="FS213" s="203"/>
      <c r="FT213" s="205"/>
      <c r="FU213" s="205"/>
      <c r="FV213" s="205"/>
      <c r="FW213" s="204"/>
      <c r="FX213" s="208">
        <f>SUM(FS213:FW213)</f>
        <v>0</v>
      </c>
      <c r="FY213" s="203"/>
      <c r="FZ213" s="205"/>
      <c r="GA213" s="205">
        <v>920</v>
      </c>
      <c r="GB213" s="205"/>
      <c r="GC213" s="204"/>
      <c r="GD213" s="208">
        <f>SUM(FY213:GC213)</f>
        <v>920</v>
      </c>
      <c r="GE213" s="208">
        <f>FG213+FM213+FR213+FX213+GD213</f>
        <v>920</v>
      </c>
      <c r="GF213" s="203"/>
      <c r="GG213" s="205"/>
      <c r="GH213" s="205"/>
      <c r="GI213" s="205"/>
      <c r="GJ213" s="205"/>
      <c r="GK213" s="208">
        <f>SUM(GF213:GJ213)</f>
        <v>0</v>
      </c>
      <c r="GL213" s="203"/>
      <c r="GM213" s="205"/>
      <c r="GN213" s="205"/>
      <c r="GO213" s="204">
        <f>4077+4853</f>
        <v>8930</v>
      </c>
      <c r="GP213" s="208">
        <f>SUM(GL213:GO213)</f>
        <v>8930</v>
      </c>
      <c r="GQ213" s="203"/>
      <c r="GR213" s="205"/>
      <c r="GS213" s="205"/>
      <c r="GT213" s="205"/>
      <c r="GU213" s="204"/>
      <c r="GV213" s="208">
        <v>0</v>
      </c>
      <c r="GW213" s="203"/>
      <c r="GX213" s="205"/>
      <c r="GY213" s="205"/>
      <c r="GZ213" s="205"/>
      <c r="HA213" s="205"/>
      <c r="HB213" s="204"/>
      <c r="HC213" s="208">
        <f>SUM(GW213:HB213)</f>
        <v>0</v>
      </c>
      <c r="HD213" s="208">
        <f>GK213+GP213+GV213+HC213</f>
        <v>8930</v>
      </c>
      <c r="HE213" s="203"/>
      <c r="HF213" s="205"/>
      <c r="HG213" s="205"/>
      <c r="HH213" s="205"/>
      <c r="HI213" s="208">
        <f>SUM(HE213:HH213)</f>
        <v>0</v>
      </c>
      <c r="HJ213" s="203"/>
      <c r="HK213" s="205"/>
      <c r="HL213" s="205"/>
      <c r="HM213" s="205"/>
      <c r="HN213" s="204"/>
      <c r="HO213" s="208">
        <f>SUM(HJ213:HN213)</f>
        <v>0</v>
      </c>
      <c r="HP213" s="203"/>
      <c r="HQ213" s="205"/>
      <c r="HR213" s="205"/>
      <c r="HS213" s="205"/>
      <c r="HT213" s="204"/>
      <c r="HU213" s="208">
        <f>SUM(HP213:HT213)</f>
        <v>0</v>
      </c>
      <c r="HV213" s="203"/>
      <c r="HW213" s="205"/>
      <c r="HX213" s="205"/>
      <c r="HY213" s="208">
        <f>SUM(HV213:HX213)</f>
        <v>0</v>
      </c>
      <c r="HZ213" s="203"/>
      <c r="IA213" s="205"/>
      <c r="IB213" s="204"/>
      <c r="IC213" s="208">
        <f>SUM(HZ213:IB213)</f>
        <v>0</v>
      </c>
      <c r="ID213" s="208">
        <f>HI213+HO213+HU213+HY213+IC213</f>
        <v>0</v>
      </c>
      <c r="IE213" s="203"/>
      <c r="IF213" s="204"/>
      <c r="IG213" s="208">
        <f>SUM(IE213:IF213)</f>
        <v>0</v>
      </c>
      <c r="IH213" s="203"/>
      <c r="II213" s="205"/>
      <c r="IJ213" s="205"/>
      <c r="IK213" s="205"/>
      <c r="IL213" s="204"/>
      <c r="IM213" s="208">
        <f>SUM(IH213:IL213)</f>
        <v>0</v>
      </c>
      <c r="IN213" s="202"/>
      <c r="IO213" s="244"/>
      <c r="IP213" s="245"/>
      <c r="IQ213" s="208">
        <f>SUM(IN213:IP213)</f>
        <v>0</v>
      </c>
      <c r="IR213" s="202"/>
      <c r="IS213" s="244"/>
      <c r="IT213" s="244"/>
      <c r="IU213" s="244"/>
      <c r="IV213" s="245"/>
      <c r="IW213" s="208">
        <f>SUM(IR213:IV213)</f>
        <v>0</v>
      </c>
      <c r="IX213" s="203"/>
      <c r="IY213" s="205"/>
      <c r="IZ213" s="205"/>
      <c r="JA213" s="205"/>
      <c r="JB213" s="204"/>
      <c r="JC213" s="208">
        <f>SUM(IX213:JB213)</f>
        <v>0</v>
      </c>
      <c r="JD213" s="208">
        <f>IG213+IM213+IQ213+IW213+JC213</f>
        <v>0</v>
      </c>
      <c r="JE213" s="203"/>
      <c r="JF213" s="205"/>
      <c r="JG213" s="205"/>
      <c r="JH213" s="205"/>
      <c r="JI213" s="204"/>
      <c r="JJ213" s="208">
        <f>SUM(JE213:JI213)</f>
        <v>0</v>
      </c>
      <c r="JK213" s="202"/>
      <c r="JL213" s="244"/>
      <c r="JM213" s="244"/>
      <c r="JN213" s="244"/>
      <c r="JO213" s="245"/>
      <c r="JP213" s="208"/>
      <c r="JQ213" s="203"/>
      <c r="JR213" s="205"/>
      <c r="JS213" s="205"/>
      <c r="JT213" s="205"/>
      <c r="JU213" s="204"/>
      <c r="JV213" s="208">
        <f>SUM(JQ213:JU213)</f>
        <v>0</v>
      </c>
      <c r="JW213" s="203"/>
      <c r="JX213" s="205"/>
      <c r="JY213" s="205"/>
      <c r="JZ213" s="205"/>
      <c r="KA213" s="205"/>
      <c r="KB213" s="204"/>
      <c r="KC213" s="208">
        <f>SUM(JW213:KB213)</f>
        <v>0</v>
      </c>
      <c r="KD213" s="208">
        <f>JJ213+JP213+JV213+KC213</f>
        <v>0</v>
      </c>
      <c r="KE213" s="203"/>
      <c r="KF213" s="205"/>
      <c r="KG213" s="205"/>
      <c r="KH213" s="205"/>
      <c r="KI213" s="204"/>
      <c r="KJ213" s="208">
        <f>SUM(KE213:KI213)</f>
        <v>0</v>
      </c>
      <c r="KK213" s="202"/>
      <c r="KL213" s="244"/>
      <c r="KM213" s="244"/>
      <c r="KN213" s="244"/>
      <c r="KO213" s="245"/>
      <c r="KP213" s="208">
        <f>SUM(KK213:KO213)</f>
        <v>0</v>
      </c>
      <c r="KQ213" s="203"/>
      <c r="KR213" s="205"/>
      <c r="KS213" s="205"/>
      <c r="KT213" s="205"/>
      <c r="KU213" s="204"/>
      <c r="KV213" s="208">
        <f>SUM(KQ213:KU213)</f>
        <v>0</v>
      </c>
      <c r="KW213" s="202"/>
      <c r="KX213" s="244"/>
      <c r="KY213" s="244"/>
      <c r="KZ213" s="244"/>
      <c r="LA213" s="245"/>
      <c r="LB213" s="208">
        <f>SUM(KW213:LA213)</f>
        <v>0</v>
      </c>
      <c r="LC213" s="202"/>
      <c r="LD213" s="244"/>
      <c r="LE213" s="245"/>
      <c r="LF213" s="208">
        <f>SUM(LC213:LE213)</f>
        <v>0</v>
      </c>
      <c r="LG213" s="208">
        <f>LF213+LB213+KV213+KP213+KJ213</f>
        <v>0</v>
      </c>
      <c r="LJ213" s="206"/>
    </row>
    <row r="214" spans="2:322">
      <c r="B214" s="93" t="s">
        <v>78</v>
      </c>
      <c r="C214" s="167"/>
      <c r="D214" s="202">
        <f>SUM(C214:C214)</f>
        <v>0</v>
      </c>
      <c r="E214" s="167"/>
      <c r="F214" s="177"/>
      <c r="G214" s="177"/>
      <c r="H214" s="177"/>
      <c r="I214" s="178"/>
      <c r="J214" s="202">
        <f>SUM(E214:I214)</f>
        <v>0</v>
      </c>
      <c r="K214" s="167"/>
      <c r="L214" s="177"/>
      <c r="M214" s="177"/>
      <c r="N214" s="178"/>
      <c r="O214" s="202">
        <f>SUM(K214:N214)</f>
        <v>0</v>
      </c>
      <c r="P214" s="167"/>
      <c r="Q214" s="177"/>
      <c r="R214" s="177"/>
      <c r="S214" s="177"/>
      <c r="T214" s="178"/>
      <c r="U214" s="202">
        <f>SUM(P214:T214)</f>
        <v>0</v>
      </c>
      <c r="V214" s="167"/>
      <c r="W214" s="177"/>
      <c r="X214" s="177">
        <v>332.76</v>
      </c>
      <c r="Y214" s="177"/>
      <c r="Z214" s="178"/>
      <c r="AA214" s="208">
        <f>SUM(V214:Z214)</f>
        <v>332.76</v>
      </c>
      <c r="AB214" s="208">
        <f>AA214+U214+O214+J214+D214</f>
        <v>332.76</v>
      </c>
      <c r="AC214" s="202"/>
      <c r="AD214" s="244"/>
      <c r="AE214" s="244"/>
      <c r="AF214" s="244"/>
      <c r="AG214" s="245"/>
      <c r="AH214" s="208">
        <f>SUM(AC214:AG214)</f>
        <v>0</v>
      </c>
      <c r="AI214" s="203"/>
      <c r="AJ214" s="205"/>
      <c r="AK214" s="205"/>
      <c r="AL214" s="205"/>
      <c r="AM214" s="204">
        <v>1900.3</v>
      </c>
      <c r="AN214" s="208">
        <f>SUM(AI214:AM214)</f>
        <v>1900.3</v>
      </c>
      <c r="AO214" s="203"/>
      <c r="AP214" s="205"/>
      <c r="AQ214" s="205"/>
      <c r="AR214" s="205"/>
      <c r="AS214" s="204"/>
      <c r="AT214" s="208">
        <f>SUM(AO214:AS214)</f>
        <v>0</v>
      </c>
      <c r="AU214" s="203"/>
      <c r="AV214" s="205"/>
      <c r="AW214" s="205"/>
      <c r="AX214" s="205"/>
      <c r="AY214" s="204"/>
      <c r="AZ214" s="208">
        <f>SUM(AU214:AY214)</f>
        <v>0</v>
      </c>
      <c r="BA214" s="208">
        <f>AZ214+AT214+AN214+AH214</f>
        <v>1900.3</v>
      </c>
      <c r="BB214" s="203"/>
      <c r="BC214" s="205"/>
      <c r="BD214" s="205"/>
      <c r="BE214" s="205"/>
      <c r="BF214" s="204"/>
      <c r="BG214" s="208">
        <f>SUM(BB214:BF214)</f>
        <v>0</v>
      </c>
      <c r="BH214" s="203"/>
      <c r="BI214" s="205"/>
      <c r="BJ214" s="205"/>
      <c r="BK214" s="205"/>
      <c r="BL214" s="204"/>
      <c r="BM214" s="208">
        <f>SUM(BH214:BL214)</f>
        <v>0</v>
      </c>
      <c r="BN214" s="203"/>
      <c r="BO214" s="205"/>
      <c r="BP214" s="205"/>
      <c r="BQ214" s="204"/>
      <c r="BR214" s="208">
        <f>SUM(BN214:BQ214)</f>
        <v>0</v>
      </c>
      <c r="BS214" s="203"/>
      <c r="BT214" s="205"/>
      <c r="BU214" s="205"/>
      <c r="BV214" s="205"/>
      <c r="BW214" s="204"/>
      <c r="BX214" s="208">
        <f>SUM(BS214:BW214)</f>
        <v>0</v>
      </c>
      <c r="BY214" s="203"/>
      <c r="BZ214" s="205"/>
      <c r="CA214" s="208">
        <f>SUM(BY214:BZ214)</f>
        <v>0</v>
      </c>
      <c r="CB214" s="208">
        <f>CA214+BX214+BR214+BM214+BG214</f>
        <v>0</v>
      </c>
      <c r="CC214" s="203"/>
      <c r="CD214" s="205"/>
      <c r="CE214" s="205"/>
      <c r="CF214" s="208">
        <f>SUM(CC214:CE214)</f>
        <v>0</v>
      </c>
      <c r="CG214" s="203"/>
      <c r="CH214" s="205"/>
      <c r="CI214" s="205"/>
      <c r="CJ214" s="204"/>
      <c r="CK214" s="308">
        <f>SUM(CG214:CJ214)</f>
        <v>0</v>
      </c>
      <c r="CL214" s="203"/>
      <c r="CM214" s="205"/>
      <c r="CN214" s="205"/>
      <c r="CO214" s="205"/>
      <c r="CP214" s="204"/>
      <c r="CQ214" s="208">
        <f>SUM(CL214:CP214)</f>
        <v>0</v>
      </c>
      <c r="CR214" s="203"/>
      <c r="CS214" s="205"/>
      <c r="CT214" s="205"/>
      <c r="CU214" s="205"/>
      <c r="CV214" s="204"/>
      <c r="CW214" s="208">
        <f>SUM(CR214:CV214)</f>
        <v>0</v>
      </c>
      <c r="CX214" s="203"/>
      <c r="CY214" s="205"/>
      <c r="CZ214" s="205"/>
      <c r="DA214" s="204"/>
      <c r="DB214" s="208">
        <f>SUM(CX214:DA214)</f>
        <v>0</v>
      </c>
      <c r="DC214" s="208">
        <f>DB214+CW214+CQ214+CK214+CF214</f>
        <v>0</v>
      </c>
      <c r="DD214" s="203"/>
      <c r="DE214" s="205"/>
      <c r="DF214" s="205"/>
      <c r="DG214" s="205"/>
      <c r="DH214" s="205"/>
      <c r="DI214" s="208">
        <f>SUM(DD214:DH214)</f>
        <v>0</v>
      </c>
      <c r="DJ214" s="203"/>
      <c r="DK214" s="205"/>
      <c r="DL214" s="205"/>
      <c r="DM214" s="205">
        <v>5187.75</v>
      </c>
      <c r="DN214" s="204"/>
      <c r="DO214" s="208">
        <f>SUM(DJ214:DN214)</f>
        <v>5187.75</v>
      </c>
      <c r="DP214" s="203"/>
      <c r="DQ214" s="205"/>
      <c r="DR214" s="205"/>
      <c r="DS214" s="205"/>
      <c r="DT214" s="204"/>
      <c r="DU214" s="208">
        <f>SUM(DP214:DT214)</f>
        <v>0</v>
      </c>
      <c r="DV214" s="203"/>
      <c r="DW214" s="205"/>
      <c r="DX214" s="205"/>
      <c r="DY214" s="205"/>
      <c r="DZ214" s="204">
        <v>-5187.75</v>
      </c>
      <c r="EA214" s="208">
        <f>SUM(DV214:DZ214)</f>
        <v>-5187.75</v>
      </c>
      <c r="EB214" s="208">
        <f>+DI214+DO214+DU214+EA214</f>
        <v>0</v>
      </c>
      <c r="EC214" s="203"/>
      <c r="ED214" s="205"/>
      <c r="EE214" s="205"/>
      <c r="EF214" s="205"/>
      <c r="EG214" s="204"/>
      <c r="EH214" s="208">
        <f>SUM(EC214:EG214)</f>
        <v>0</v>
      </c>
      <c r="EI214" s="203"/>
      <c r="EJ214" s="205"/>
      <c r="EK214" s="205"/>
      <c r="EL214" s="205"/>
      <c r="EM214" s="204"/>
      <c r="EN214" s="208">
        <f>SUM(EI214:EM214)</f>
        <v>0</v>
      </c>
      <c r="EO214" s="203"/>
      <c r="EP214" s="205"/>
      <c r="EQ214" s="205"/>
      <c r="ER214" s="205"/>
      <c r="ES214" s="204"/>
      <c r="ET214" s="208">
        <f>SUM(EO214:ES214)</f>
        <v>0</v>
      </c>
      <c r="EU214" s="203"/>
      <c r="EV214" s="205"/>
      <c r="EW214" s="205"/>
      <c r="EX214" s="205"/>
      <c r="EY214" s="205"/>
      <c r="EZ214" s="205"/>
      <c r="FA214" s="204"/>
      <c r="FB214" s="208">
        <f>SUM(EU214:FA214)</f>
        <v>0</v>
      </c>
      <c r="FC214" s="208">
        <f>FB214+ET214+EN214+EH214</f>
        <v>0</v>
      </c>
      <c r="FD214" s="203"/>
      <c r="FE214" s="205"/>
      <c r="FF214" s="204"/>
      <c r="FG214" s="208">
        <f>SUM(FD214:FF214)</f>
        <v>0</v>
      </c>
      <c r="FH214" s="203"/>
      <c r="FI214" s="205"/>
      <c r="FJ214" s="205"/>
      <c r="FK214" s="205"/>
      <c r="FL214" s="204"/>
      <c r="FM214" s="208">
        <f>SUM(FH214:FL214)</f>
        <v>0</v>
      </c>
      <c r="FN214" s="203"/>
      <c r="FO214" s="205"/>
      <c r="FP214" s="205"/>
      <c r="FQ214" s="205">
        <v>1642.8</v>
      </c>
      <c r="FR214" s="208">
        <f>SUM(FN214:FQ214)</f>
        <v>1642.8</v>
      </c>
      <c r="FS214" s="203"/>
      <c r="FT214" s="205"/>
      <c r="FU214" s="205"/>
      <c r="FV214" s="205"/>
      <c r="FW214" s="204"/>
      <c r="FX214" s="208">
        <f>SUM(FS214:FW214)</f>
        <v>0</v>
      </c>
      <c r="FY214" s="203"/>
      <c r="FZ214" s="205"/>
      <c r="GA214" s="205"/>
      <c r="GB214" s="205"/>
      <c r="GC214" s="204"/>
      <c r="GD214" s="208">
        <f>SUM(FY214:GC214)</f>
        <v>0</v>
      </c>
      <c r="GE214" s="208">
        <f>FG214+FM214+FR214+FX214+GD214</f>
        <v>1642.8</v>
      </c>
      <c r="GF214" s="203"/>
      <c r="GG214" s="205"/>
      <c r="GH214" s="205"/>
      <c r="GI214" s="205"/>
      <c r="GJ214" s="205"/>
      <c r="GK214" s="208">
        <f>SUM(GF214:GJ214)</f>
        <v>0</v>
      </c>
      <c r="GL214" s="203"/>
      <c r="GM214" s="205"/>
      <c r="GN214" s="205"/>
      <c r="GO214" s="204"/>
      <c r="GP214" s="208">
        <f>SUM(GL214:GO214)</f>
        <v>0</v>
      </c>
      <c r="GQ214" s="203"/>
      <c r="GR214" s="205"/>
      <c r="GS214" s="205"/>
      <c r="GT214" s="205"/>
      <c r="GU214" s="204"/>
      <c r="GV214" s="208">
        <v>0</v>
      </c>
      <c r="GW214" s="203"/>
      <c r="GX214" s="205"/>
      <c r="GY214" s="205"/>
      <c r="GZ214" s="205"/>
      <c r="HA214" s="205"/>
      <c r="HB214" s="204"/>
      <c r="HC214" s="208">
        <f>SUM(GW214:HB214)</f>
        <v>0</v>
      </c>
      <c r="HD214" s="208">
        <f>GK214+GP214+GV214+HC214</f>
        <v>0</v>
      </c>
      <c r="HE214" s="203"/>
      <c r="HF214" s="205"/>
      <c r="HG214" s="205"/>
      <c r="HH214" s="205"/>
      <c r="HI214" s="208">
        <f>SUM(HE214:HH214)</f>
        <v>0</v>
      </c>
      <c r="HJ214" s="203"/>
      <c r="HK214" s="205"/>
      <c r="HL214" s="205"/>
      <c r="HM214" s="205"/>
      <c r="HN214" s="204"/>
      <c r="HO214" s="208">
        <f>SUM(HJ214:HN214)</f>
        <v>0</v>
      </c>
      <c r="HP214" s="203"/>
      <c r="HQ214" s="205"/>
      <c r="HR214" s="205"/>
      <c r="HS214" s="205"/>
      <c r="HT214" s="204"/>
      <c r="HU214" s="208">
        <f>SUM(HP214:HT214)</f>
        <v>0</v>
      </c>
      <c r="HV214" s="203"/>
      <c r="HW214" s="205"/>
      <c r="HX214" s="205"/>
      <c r="HY214" s="208">
        <f>SUM(HV214:HX214)</f>
        <v>0</v>
      </c>
      <c r="HZ214" s="203"/>
      <c r="IA214" s="205"/>
      <c r="IB214" s="204"/>
      <c r="IC214" s="208">
        <f>SUM(HZ214:IB214)</f>
        <v>0</v>
      </c>
      <c r="ID214" s="208">
        <f>HI214+HO214+HU214+HY214+IC214</f>
        <v>0</v>
      </c>
      <c r="IE214" s="203"/>
      <c r="IF214" s="204"/>
      <c r="IG214" s="208">
        <f>SUM(IE214:IF214)</f>
        <v>0</v>
      </c>
      <c r="IH214" s="203"/>
      <c r="II214" s="205"/>
      <c r="IJ214" s="205"/>
      <c r="IK214" s="205"/>
      <c r="IL214" s="204"/>
      <c r="IM214" s="208">
        <f>SUM(IH214:IL214)</f>
        <v>0</v>
      </c>
      <c r="IN214" s="202"/>
      <c r="IO214" s="244"/>
      <c r="IP214" s="245"/>
      <c r="IQ214" s="208">
        <f>SUM(IN214:IP214)</f>
        <v>0</v>
      </c>
      <c r="IR214" s="202"/>
      <c r="IS214" s="244"/>
      <c r="IT214" s="244"/>
      <c r="IU214" s="244"/>
      <c r="IV214" s="245"/>
      <c r="IW214" s="208">
        <f>SUM(IR214:IV214)</f>
        <v>0</v>
      </c>
      <c r="IX214" s="203"/>
      <c r="IY214" s="205"/>
      <c r="IZ214" s="205"/>
      <c r="JA214" s="205"/>
      <c r="JB214" s="204"/>
      <c r="JC214" s="208">
        <f>SUM(IX214:JB214)</f>
        <v>0</v>
      </c>
      <c r="JD214" s="208">
        <f t="shared" ref="JD214:JD216" si="591">IG214+IM214+IQ214+IW214+JC214</f>
        <v>0</v>
      </c>
      <c r="JE214" s="203"/>
      <c r="JF214" s="205"/>
      <c r="JG214" s="205"/>
      <c r="JH214" s="205"/>
      <c r="JI214" s="204"/>
      <c r="JJ214" s="208">
        <f t="shared" ref="JJ214:JJ216" si="592">SUM(JE214:JI214)</f>
        <v>0</v>
      </c>
      <c r="JK214" s="202"/>
      <c r="JL214" s="244"/>
      <c r="JM214" s="244"/>
      <c r="JN214" s="244"/>
      <c r="JO214" s="245"/>
      <c r="JP214" s="208"/>
      <c r="JQ214" s="203"/>
      <c r="JR214" s="205"/>
      <c r="JS214" s="205"/>
      <c r="JT214" s="205"/>
      <c r="JU214" s="204"/>
      <c r="JV214" s="208">
        <f>SUM(JQ214:JU214)</f>
        <v>0</v>
      </c>
      <c r="JW214" s="203"/>
      <c r="JX214" s="205"/>
      <c r="JY214" s="205"/>
      <c r="JZ214" s="205"/>
      <c r="KA214" s="205"/>
      <c r="KB214" s="204"/>
      <c r="KC214" s="208">
        <f>SUM(JW214:KB214)</f>
        <v>0</v>
      </c>
      <c r="KD214" s="208">
        <f>JJ214+JP214+JV214+KC214</f>
        <v>0</v>
      </c>
      <c r="KE214" s="203"/>
      <c r="KF214" s="205"/>
      <c r="KG214" s="205"/>
      <c r="KH214" s="205"/>
      <c r="KI214" s="204"/>
      <c r="KJ214" s="208">
        <f>SUM(KE214:KI214)</f>
        <v>0</v>
      </c>
      <c r="KK214" s="202"/>
      <c r="KL214" s="244"/>
      <c r="KM214" s="244"/>
      <c r="KN214" s="244"/>
      <c r="KO214" s="245"/>
      <c r="KP214" s="208">
        <f>SUM(KK214:KO214)</f>
        <v>0</v>
      </c>
      <c r="KQ214" s="203"/>
      <c r="KR214" s="205"/>
      <c r="KS214" s="205"/>
      <c r="KT214" s="205"/>
      <c r="KU214" s="204"/>
      <c r="KV214" s="208">
        <f>SUM(KQ214:KU214)</f>
        <v>0</v>
      </c>
      <c r="KW214" s="202"/>
      <c r="KX214" s="244"/>
      <c r="KY214" s="244"/>
      <c r="KZ214" s="244"/>
      <c r="LA214" s="245"/>
      <c r="LB214" s="208">
        <f>SUM(KW214:LA214)</f>
        <v>0</v>
      </c>
      <c r="LC214" s="202"/>
      <c r="LD214" s="244"/>
      <c r="LE214" s="245"/>
      <c r="LF214" s="208">
        <f>SUM(LC214:LE214)</f>
        <v>0</v>
      </c>
      <c r="LG214" s="208">
        <f>LF214+LB214+KV214+KP214+KJ214</f>
        <v>0</v>
      </c>
    </row>
    <row r="215" spans="2:322">
      <c r="B215" s="93" t="s">
        <v>181</v>
      </c>
      <c r="C215" s="167"/>
      <c r="D215" s="202">
        <f>SUM(C215:C215)</f>
        <v>0</v>
      </c>
      <c r="E215" s="167"/>
      <c r="F215" s="177"/>
      <c r="G215" s="177"/>
      <c r="H215" s="177"/>
      <c r="I215" s="178"/>
      <c r="J215" s="202">
        <f>SUM(E215:I215)</f>
        <v>0</v>
      </c>
      <c r="K215" s="167"/>
      <c r="L215" s="177"/>
      <c r="M215" s="177"/>
      <c r="N215" s="178"/>
      <c r="O215" s="202">
        <f>SUM(K215:N215)</f>
        <v>0</v>
      </c>
      <c r="P215" s="167"/>
      <c r="Q215" s="177"/>
      <c r="R215" s="177"/>
      <c r="S215" s="177"/>
      <c r="T215" s="178"/>
      <c r="U215" s="202">
        <f>SUM(P215:T215)</f>
        <v>0</v>
      </c>
      <c r="V215" s="167"/>
      <c r="W215" s="177"/>
      <c r="X215" s="177"/>
      <c r="Y215" s="177"/>
      <c r="Z215" s="178"/>
      <c r="AA215" s="208">
        <f>SUM(V215:Z215)</f>
        <v>0</v>
      </c>
      <c r="AB215" s="208">
        <f>AA215+U215+O215+J215+D215</f>
        <v>0</v>
      </c>
      <c r="AC215" s="202"/>
      <c r="AD215" s="244"/>
      <c r="AE215" s="244"/>
      <c r="AF215" s="244"/>
      <c r="AG215" s="245"/>
      <c r="AH215" s="208">
        <f>SUM(AC215:AG215)</f>
        <v>0</v>
      </c>
      <c r="AI215" s="203"/>
      <c r="AJ215" s="205"/>
      <c r="AK215" s="205"/>
      <c r="AL215" s="205"/>
      <c r="AM215" s="204"/>
      <c r="AN215" s="208">
        <f>SUM(AI215:AM215)</f>
        <v>0</v>
      </c>
      <c r="AO215" s="203"/>
      <c r="AP215" s="205"/>
      <c r="AQ215" s="205"/>
      <c r="AR215" s="205"/>
      <c r="AS215" s="204"/>
      <c r="AT215" s="208">
        <f>SUM(AO215:AS215)</f>
        <v>0</v>
      </c>
      <c r="AU215" s="203"/>
      <c r="AV215" s="205"/>
      <c r="AW215" s="205"/>
      <c r="AX215" s="205"/>
      <c r="AY215" s="204">
        <v>0</v>
      </c>
      <c r="AZ215" s="208">
        <f>SUM(AU215:AY215)</f>
        <v>0</v>
      </c>
      <c r="BA215" s="208">
        <f>AZ215+AT215+AN215+AH215</f>
        <v>0</v>
      </c>
      <c r="BB215" s="203"/>
      <c r="BC215" s="205"/>
      <c r="BD215" s="205"/>
      <c r="BE215" s="205"/>
      <c r="BF215" s="204">
        <v>1000</v>
      </c>
      <c r="BG215" s="208">
        <f>SUM(BB215:BF215)</f>
        <v>1000</v>
      </c>
      <c r="BH215" s="203"/>
      <c r="BI215" s="205"/>
      <c r="BJ215" s="205"/>
      <c r="BK215" s="205"/>
      <c r="BL215" s="204"/>
      <c r="BM215" s="208">
        <f>SUM(BH215:BL215)</f>
        <v>0</v>
      </c>
      <c r="BN215" s="203"/>
      <c r="BO215" s="205"/>
      <c r="BP215" s="205"/>
      <c r="BQ215" s="204"/>
      <c r="BR215" s="208">
        <f>SUM(BN215:BQ215)</f>
        <v>0</v>
      </c>
      <c r="BS215" s="203"/>
      <c r="BT215" s="205"/>
      <c r="BU215" s="205"/>
      <c r="BV215" s="205"/>
      <c r="BW215" s="204"/>
      <c r="BX215" s="208">
        <f>SUM(BS215:BW215)</f>
        <v>0</v>
      </c>
      <c r="BY215" s="203"/>
      <c r="BZ215" s="205"/>
      <c r="CA215" s="208">
        <f>SUM(BY215:BZ215)</f>
        <v>0</v>
      </c>
      <c r="CB215" s="208">
        <f>CA215+BX215+BR215+BM215+BG215</f>
        <v>1000</v>
      </c>
      <c r="CC215" s="203"/>
      <c r="CD215" s="205"/>
      <c r="CE215" s="205"/>
      <c r="CF215" s="208">
        <f>SUM(CC215:CE215)</f>
        <v>0</v>
      </c>
      <c r="CG215" s="203"/>
      <c r="CH215" s="205"/>
      <c r="CI215" s="205"/>
      <c r="CJ215" s="204"/>
      <c r="CK215" s="308">
        <f>SUM(CG215:CJ215)</f>
        <v>0</v>
      </c>
      <c r="CL215" s="203"/>
      <c r="CM215" s="205"/>
      <c r="CN215" s="205"/>
      <c r="CO215" s="205"/>
      <c r="CP215" s="204"/>
      <c r="CQ215" s="208">
        <f>SUM(CL215:CP215)</f>
        <v>0</v>
      </c>
      <c r="CR215" s="203"/>
      <c r="CS215" s="205"/>
      <c r="CT215" s="205"/>
      <c r="CU215" s="205"/>
      <c r="CV215" s="204"/>
      <c r="CW215" s="208">
        <f>SUM(CR215:CV215)</f>
        <v>0</v>
      </c>
      <c r="CX215" s="203"/>
      <c r="CY215" s="205"/>
      <c r="CZ215" s="205"/>
      <c r="DA215" s="204"/>
      <c r="DB215" s="208">
        <f>SUM(CX215:DA215)</f>
        <v>0</v>
      </c>
      <c r="DC215" s="208">
        <f>DB215+CW215+CQ215+CK215+CF215</f>
        <v>0</v>
      </c>
      <c r="DD215" s="203"/>
      <c r="DE215" s="205"/>
      <c r="DF215" s="205"/>
      <c r="DG215" s="205"/>
      <c r="DH215" s="205"/>
      <c r="DI215" s="208">
        <f>SUM(DD215:DH215)</f>
        <v>0</v>
      </c>
      <c r="DJ215" s="203"/>
      <c r="DK215" s="205"/>
      <c r="DL215" s="205"/>
      <c r="DM215" s="205"/>
      <c r="DN215" s="204"/>
      <c r="DO215" s="208">
        <f>SUM(DJ215:DN215)</f>
        <v>0</v>
      </c>
      <c r="DP215" s="203"/>
      <c r="DQ215" s="205"/>
      <c r="DR215" s="205">
        <v>35000</v>
      </c>
      <c r="DS215" s="205"/>
      <c r="DT215" s="204"/>
      <c r="DU215" s="208">
        <f>SUM(DP215:DT215)</f>
        <v>35000</v>
      </c>
      <c r="DV215" s="331"/>
      <c r="DW215" s="332"/>
      <c r="DX215" s="332"/>
      <c r="DY215" s="332"/>
      <c r="DZ215" s="333"/>
      <c r="EA215" s="208">
        <f>SUM(DV215:DZ215)</f>
        <v>0</v>
      </c>
      <c r="EB215" s="208">
        <f>+DI215+DO215+DU215+EA215</f>
        <v>35000</v>
      </c>
      <c r="EC215" s="203"/>
      <c r="ED215" s="205"/>
      <c r="EE215" s="205"/>
      <c r="EF215" s="205"/>
      <c r="EG215" s="204"/>
      <c r="EH215" s="208">
        <f>SUM(EC215:EG215)</f>
        <v>0</v>
      </c>
      <c r="EI215" s="203"/>
      <c r="EJ215" s="205"/>
      <c r="EK215" s="205"/>
      <c r="EL215" s="205"/>
      <c r="EM215" s="204"/>
      <c r="EN215" s="208">
        <f>SUM(EI215:EM215)</f>
        <v>0</v>
      </c>
      <c r="EO215" s="203"/>
      <c r="EP215" s="205"/>
      <c r="EQ215" s="205"/>
      <c r="ER215" s="205"/>
      <c r="ES215" s="204"/>
      <c r="ET215" s="208">
        <f>SUM(EO215:ES215)</f>
        <v>0</v>
      </c>
      <c r="EU215" s="203"/>
      <c r="EV215" s="205"/>
      <c r="EW215" s="205"/>
      <c r="EX215" s="205"/>
      <c r="EY215" s="205"/>
      <c r="EZ215" s="205"/>
      <c r="FA215" s="374"/>
      <c r="FB215" s="208">
        <f>SUM(EU215:FA215)</f>
        <v>0</v>
      </c>
      <c r="FC215" s="208">
        <f>FB215+ET215+EN215+EH215</f>
        <v>0</v>
      </c>
      <c r="FD215" s="203"/>
      <c r="FE215" s="205"/>
      <c r="FF215" s="204"/>
      <c r="FG215" s="208">
        <f>SUM(FD215:FF215)</f>
        <v>0</v>
      </c>
      <c r="FH215" s="203"/>
      <c r="FI215" s="205">
        <f>45000+161440.25</f>
        <v>206440.25</v>
      </c>
      <c r="FJ215" s="205"/>
      <c r="FK215" s="205"/>
      <c r="FL215" s="204"/>
      <c r="FM215" s="208">
        <f>SUM(FH215:FL215)</f>
        <v>206440.25</v>
      </c>
      <c r="FN215" s="203"/>
      <c r="FO215" s="205"/>
      <c r="FP215" s="205"/>
      <c r="FQ215" s="205"/>
      <c r="FR215" s="208">
        <f>SUM(FN215:FQ215)</f>
        <v>0</v>
      </c>
      <c r="FS215" s="203"/>
      <c r="FT215" s="205">
        <v>23400</v>
      </c>
      <c r="FU215" s="205"/>
      <c r="FV215" s="205"/>
      <c r="FW215" s="204"/>
      <c r="FX215" s="208">
        <f>SUM(FS215:FW215)</f>
        <v>23400</v>
      </c>
      <c r="FY215" s="203"/>
      <c r="FZ215" s="205"/>
      <c r="GA215" s="205"/>
      <c r="GB215" s="205"/>
      <c r="GC215" s="204"/>
      <c r="GD215" s="208">
        <f>SUM(FY215:GC215)</f>
        <v>0</v>
      </c>
      <c r="GE215" s="208">
        <f>FG215+FM215+FR215+FX215+GD215</f>
        <v>229840.25</v>
      </c>
      <c r="GF215" s="203"/>
      <c r="GG215" s="205"/>
      <c r="GH215" s="205"/>
      <c r="GI215" s="205"/>
      <c r="GJ215" s="205"/>
      <c r="GK215" s="208">
        <f>SUM(GF215:GJ215)</f>
        <v>0</v>
      </c>
      <c r="GL215" s="203"/>
      <c r="GM215" s="205"/>
      <c r="GN215" s="205"/>
      <c r="GO215" s="204"/>
      <c r="GP215" s="208">
        <f>SUM(GL215:GO215)</f>
        <v>0</v>
      </c>
      <c r="GQ215" s="203"/>
      <c r="GR215" s="205"/>
      <c r="GS215" s="205"/>
      <c r="GT215" s="205"/>
      <c r="GU215" s="204"/>
      <c r="GV215" s="208">
        <v>0</v>
      </c>
      <c r="GW215" s="203"/>
      <c r="GX215" s="205"/>
      <c r="GY215" s="205"/>
      <c r="GZ215" s="205"/>
      <c r="HA215" s="205"/>
      <c r="HB215" s="204"/>
      <c r="HC215" s="208">
        <f>SUM(GW215:HB215)</f>
        <v>0</v>
      </c>
      <c r="HD215" s="208">
        <f>GK215+GP215+GV215+HC215</f>
        <v>0</v>
      </c>
      <c r="HE215" s="203"/>
      <c r="HF215" s="205"/>
      <c r="HG215" s="205"/>
      <c r="HH215" s="205"/>
      <c r="HI215" s="208">
        <f>SUM(HE215:HH215)</f>
        <v>0</v>
      </c>
      <c r="HJ215" s="203"/>
      <c r="HK215" s="205"/>
      <c r="HL215" s="205"/>
      <c r="HM215" s="205"/>
      <c r="HN215" s="204"/>
      <c r="HO215" s="208">
        <f>SUM(HJ215:HN215)</f>
        <v>0</v>
      </c>
      <c r="HP215" s="203"/>
      <c r="HQ215" s="205"/>
      <c r="HR215" s="205"/>
      <c r="HS215" s="205"/>
      <c r="HT215" s="204"/>
      <c r="HU215" s="208">
        <f>SUM(HP215:HT215)</f>
        <v>0</v>
      </c>
      <c r="HV215" s="203"/>
      <c r="HW215" s="205"/>
      <c r="HX215" s="205"/>
      <c r="HY215" s="208">
        <f>SUM(HV215:HX215)</f>
        <v>0</v>
      </c>
      <c r="HZ215" s="203"/>
      <c r="IA215" s="205"/>
      <c r="IB215" s="204"/>
      <c r="IC215" s="208">
        <f>SUM(HZ215:IB215)</f>
        <v>0</v>
      </c>
      <c r="ID215" s="208">
        <f>HI215+HO215+HU215+HY215+IC215</f>
        <v>0</v>
      </c>
      <c r="IE215" s="203"/>
      <c r="IF215" s="204"/>
      <c r="IG215" s="208">
        <f>SUM(IE215:IF215)</f>
        <v>0</v>
      </c>
      <c r="IH215" s="203"/>
      <c r="II215" s="205"/>
      <c r="IJ215" s="205"/>
      <c r="IK215" s="205"/>
      <c r="IL215" s="204"/>
      <c r="IM215" s="208">
        <f>SUM(IH215:IL215)</f>
        <v>0</v>
      </c>
      <c r="IN215" s="202"/>
      <c r="IO215" s="244"/>
      <c r="IP215" s="245"/>
      <c r="IQ215" s="208">
        <f>SUM(IN215:IP215)</f>
        <v>0</v>
      </c>
      <c r="IR215" s="202"/>
      <c r="IS215" s="244"/>
      <c r="IT215" s="244"/>
      <c r="IU215" s="244"/>
      <c r="IV215" s="245"/>
      <c r="IW215" s="208">
        <f>SUM(IR215:IV215)</f>
        <v>0</v>
      </c>
      <c r="IX215" s="203"/>
      <c r="IY215" s="205"/>
      <c r="IZ215" s="205">
        <v>34883.69</v>
      </c>
      <c r="JA215" s="205"/>
      <c r="JB215" s="204"/>
      <c r="JC215" s="208">
        <f>SUM(IX215:JB215)</f>
        <v>34883.69</v>
      </c>
      <c r="JD215" s="208">
        <f t="shared" si="591"/>
        <v>34883.69</v>
      </c>
      <c r="JE215" s="203"/>
      <c r="JF215" s="205"/>
      <c r="JG215" s="205"/>
      <c r="JH215" s="205"/>
      <c r="JI215" s="204"/>
      <c r="JJ215" s="208">
        <f t="shared" si="592"/>
        <v>0</v>
      </c>
      <c r="JK215" s="202"/>
      <c r="JL215" s="244"/>
      <c r="JM215" s="244"/>
      <c r="JN215" s="244"/>
      <c r="JO215" s="245"/>
      <c r="JP215" s="208"/>
      <c r="JQ215" s="203"/>
      <c r="JR215" s="205"/>
      <c r="JS215" s="205"/>
      <c r="JT215" s="205"/>
      <c r="JU215" s="204"/>
      <c r="JV215" s="208">
        <f>SUM(JQ215:JU215)</f>
        <v>0</v>
      </c>
      <c r="JW215" s="203"/>
      <c r="JX215" s="205"/>
      <c r="JY215" s="205"/>
      <c r="JZ215" s="205"/>
      <c r="KA215" s="205"/>
      <c r="KB215" s="204"/>
      <c r="KC215" s="208">
        <f>SUM(JW215:KB215)</f>
        <v>0</v>
      </c>
      <c r="KD215" s="208">
        <f>JJ215+JP215+JV215+KC215</f>
        <v>0</v>
      </c>
      <c r="KE215" s="203"/>
      <c r="KF215" s="205"/>
      <c r="KG215" s="205"/>
      <c r="KH215" s="205"/>
      <c r="KI215" s="204"/>
      <c r="KJ215" s="208">
        <f>SUM(KE215:KI215)</f>
        <v>0</v>
      </c>
      <c r="KK215" s="202"/>
      <c r="KL215" s="244"/>
      <c r="KM215" s="244"/>
      <c r="KN215" s="244"/>
      <c r="KO215" s="245"/>
      <c r="KP215" s="208">
        <f>SUM(KK215:KO215)</f>
        <v>0</v>
      </c>
      <c r="KQ215" s="203"/>
      <c r="KR215" s="205"/>
      <c r="KS215" s="205"/>
      <c r="KT215" s="205"/>
      <c r="KU215" s="204"/>
      <c r="KV215" s="208">
        <f>SUM(KQ215:KU215)</f>
        <v>0</v>
      </c>
      <c r="KW215" s="202"/>
      <c r="KX215" s="244"/>
      <c r="KY215" s="244"/>
      <c r="KZ215" s="244"/>
      <c r="LA215" s="245"/>
      <c r="LB215" s="208">
        <f>SUM(KW215:LA215)</f>
        <v>0</v>
      </c>
      <c r="LC215" s="202"/>
      <c r="LD215" s="244"/>
      <c r="LE215" s="245"/>
      <c r="LF215" s="208">
        <f>SUM(LC215:LE215)</f>
        <v>0</v>
      </c>
      <c r="LG215" s="208">
        <v>0</v>
      </c>
    </row>
    <row r="216" spans="2:322">
      <c r="B216" s="93" t="s">
        <v>115</v>
      </c>
      <c r="C216" s="167"/>
      <c r="D216" s="202">
        <f>SUM(C216:C216)</f>
        <v>0</v>
      </c>
      <c r="E216" s="167"/>
      <c r="F216" s="177"/>
      <c r="G216" s="177"/>
      <c r="H216" s="177"/>
      <c r="I216" s="178"/>
      <c r="J216" s="202">
        <f>SUM(E216:I216)</f>
        <v>0</v>
      </c>
      <c r="K216" s="167"/>
      <c r="L216" s="177"/>
      <c r="M216" s="177">
        <v>6.34</v>
      </c>
      <c r="N216" s="178"/>
      <c r="O216" s="202">
        <f>SUM(K216:N216)</f>
        <v>6.34</v>
      </c>
      <c r="P216" s="167"/>
      <c r="Q216" s="177"/>
      <c r="R216" s="177"/>
      <c r="S216" s="177"/>
      <c r="T216" s="178"/>
      <c r="U216" s="202">
        <f>SUM(P216:T216)</f>
        <v>0</v>
      </c>
      <c r="V216" s="167"/>
      <c r="W216" s="177"/>
      <c r="X216" s="177"/>
      <c r="Y216" s="177"/>
      <c r="Z216" s="178"/>
      <c r="AA216" s="208">
        <f>SUM(V216:Z216)</f>
        <v>0</v>
      </c>
      <c r="AB216" s="208">
        <f>AA216+U216+O216+J216+D216</f>
        <v>6.34</v>
      </c>
      <c r="AC216" s="202"/>
      <c r="AD216" s="244"/>
      <c r="AE216" s="244"/>
      <c r="AF216" s="244"/>
      <c r="AG216" s="245"/>
      <c r="AH216" s="208">
        <f>SUM(AC216:AG216)</f>
        <v>0</v>
      </c>
      <c r="AI216" s="203">
        <v>15</v>
      </c>
      <c r="AJ216" s="205"/>
      <c r="AK216" s="205"/>
      <c r="AL216" s="205"/>
      <c r="AM216" s="204"/>
      <c r="AN216" s="208">
        <f>SUM(AI216:AM216)</f>
        <v>15</v>
      </c>
      <c r="AO216" s="203"/>
      <c r="AP216" s="205"/>
      <c r="AQ216" s="205"/>
      <c r="AR216" s="205"/>
      <c r="AS216" s="204"/>
      <c r="AT216" s="208">
        <f>SUM(AO216:AS216)</f>
        <v>0</v>
      </c>
      <c r="AU216" s="203">
        <v>30</v>
      </c>
      <c r="AV216" s="205"/>
      <c r="AW216" s="205"/>
      <c r="AX216" s="205"/>
      <c r="AY216" s="204"/>
      <c r="AZ216" s="208">
        <f>SUM(AU216:AY216)</f>
        <v>30</v>
      </c>
      <c r="BA216" s="208">
        <f>AZ216+AT216+AN216+AH216</f>
        <v>45</v>
      </c>
      <c r="BB216" s="203"/>
      <c r="BC216" s="205"/>
      <c r="BD216" s="205"/>
      <c r="BE216" s="205"/>
      <c r="BF216" s="204"/>
      <c r="BG216" s="208">
        <f>SUM(BB216:BF216)</f>
        <v>0</v>
      </c>
      <c r="BH216" s="203"/>
      <c r="BI216" s="205"/>
      <c r="BJ216" s="205"/>
      <c r="BK216" s="205"/>
      <c r="BL216" s="204"/>
      <c r="BM216" s="208">
        <f>SUM(BH216:BL216)</f>
        <v>0</v>
      </c>
      <c r="BN216" s="203"/>
      <c r="BO216" s="205"/>
      <c r="BP216" s="205"/>
      <c r="BQ216" s="204"/>
      <c r="BR216" s="208">
        <f>SUM(BN216:BQ216)</f>
        <v>0</v>
      </c>
      <c r="BS216" s="203"/>
      <c r="BT216" s="205"/>
      <c r="BU216" s="205"/>
      <c r="BV216" s="205"/>
      <c r="BW216" s="204"/>
      <c r="BX216" s="208">
        <f>SUM(BS216:BW216)</f>
        <v>0</v>
      </c>
      <c r="BY216" s="203"/>
      <c r="BZ216" s="205"/>
      <c r="CA216" s="208">
        <f>SUM(BY216:BZ216)</f>
        <v>0</v>
      </c>
      <c r="CB216" s="208">
        <f>CA216+BX216+BR216+BM216+BG216</f>
        <v>0</v>
      </c>
      <c r="CC216" s="203"/>
      <c r="CD216" s="205">
        <v>6.18</v>
      </c>
      <c r="CE216" s="205"/>
      <c r="CF216" s="208">
        <f>SUM(CC216:CE216)</f>
        <v>6.18</v>
      </c>
      <c r="CG216" s="203"/>
      <c r="CH216" s="205"/>
      <c r="CI216" s="205"/>
      <c r="CJ216" s="204"/>
      <c r="CK216" s="308">
        <f>SUM(CG216:CJ216)</f>
        <v>0</v>
      </c>
      <c r="CL216" s="203"/>
      <c r="CM216" s="205"/>
      <c r="CN216" s="205"/>
      <c r="CO216" s="205"/>
      <c r="CP216" s="204"/>
      <c r="CQ216" s="208">
        <f>SUM(CL216:CP216)</f>
        <v>0</v>
      </c>
      <c r="CR216" s="203"/>
      <c r="CS216" s="205"/>
      <c r="CT216" s="205"/>
      <c r="CU216" s="205"/>
      <c r="CV216" s="204"/>
      <c r="CW216" s="208">
        <f>SUM(CR216:CV216)</f>
        <v>0</v>
      </c>
      <c r="CX216" s="203"/>
      <c r="CY216" s="205"/>
      <c r="CZ216" s="205"/>
      <c r="DA216" s="204"/>
      <c r="DB216" s="208">
        <f>SUM(CX216:DA216)</f>
        <v>0</v>
      </c>
      <c r="DC216" s="208">
        <f>DB216+CW216+CQ216+CK216+CF216</f>
        <v>6.18</v>
      </c>
      <c r="DD216" s="203"/>
      <c r="DE216" s="205"/>
      <c r="DF216" s="205"/>
      <c r="DG216" s="205"/>
      <c r="DH216" s="205"/>
      <c r="DI216" s="208">
        <f>SUM(DD216:DH216)</f>
        <v>0</v>
      </c>
      <c r="DJ216" s="203"/>
      <c r="DK216" s="205"/>
      <c r="DL216" s="205">
        <v>14</v>
      </c>
      <c r="DM216" s="205"/>
      <c r="DN216" s="204"/>
      <c r="DO216" s="208">
        <f>SUM(DJ216:DN216)</f>
        <v>14</v>
      </c>
      <c r="DP216" s="203"/>
      <c r="DQ216" s="205"/>
      <c r="DR216" s="205"/>
      <c r="DS216" s="205">
        <v>30</v>
      </c>
      <c r="DT216" s="204"/>
      <c r="DU216" s="208">
        <f>SUM(DP216:DT216)</f>
        <v>30</v>
      </c>
      <c r="DV216" s="203"/>
      <c r="DW216" s="205"/>
      <c r="DX216" s="205"/>
      <c r="DY216" s="205"/>
      <c r="DZ216" s="204"/>
      <c r="EA216" s="208">
        <f>SUM(DV216:DZ216)</f>
        <v>0</v>
      </c>
      <c r="EB216" s="208">
        <f>+DI216+DO216+DU216+EA216</f>
        <v>44</v>
      </c>
      <c r="EC216" s="203"/>
      <c r="ED216" s="205"/>
      <c r="EE216" s="205"/>
      <c r="EF216" s="205"/>
      <c r="EG216" s="204"/>
      <c r="EH216" s="208">
        <f>SUM(EC216:EG216)</f>
        <v>0</v>
      </c>
      <c r="EI216" s="203"/>
      <c r="EJ216" s="205"/>
      <c r="EK216" s="205"/>
      <c r="EL216" s="205"/>
      <c r="EM216" s="204"/>
      <c r="EN216" s="208">
        <f>SUM(EI216:EM216)</f>
        <v>0</v>
      </c>
      <c r="EO216" s="203"/>
      <c r="EP216" s="205"/>
      <c r="EQ216" s="205"/>
      <c r="ER216" s="205"/>
      <c r="ES216" s="204"/>
      <c r="ET216" s="208">
        <f>SUM(EO216:ES216)</f>
        <v>0</v>
      </c>
      <c r="EU216" s="203"/>
      <c r="EV216" s="205"/>
      <c r="EW216" s="205"/>
      <c r="EX216" s="205"/>
      <c r="EY216" s="205"/>
      <c r="EZ216" s="205"/>
      <c r="FA216" s="204"/>
      <c r="FB216" s="208">
        <f>SUM(EU216:FA216)</f>
        <v>0</v>
      </c>
      <c r="FC216" s="208">
        <f>FB216+ET216+EN216+EH216</f>
        <v>0</v>
      </c>
      <c r="FD216" s="203"/>
      <c r="FE216" s="205"/>
      <c r="FF216" s="204">
        <v>6.2</v>
      </c>
      <c r="FG216" s="208">
        <f>SUM(FD216:FF216)</f>
        <v>6.2</v>
      </c>
      <c r="FH216" s="203"/>
      <c r="FI216" s="205"/>
      <c r="FJ216" s="205"/>
      <c r="FK216" s="205"/>
      <c r="FL216" s="204"/>
      <c r="FM216" s="208">
        <f>SUM(FH216:FL216)</f>
        <v>0</v>
      </c>
      <c r="FN216" s="203"/>
      <c r="FO216" s="205"/>
      <c r="FP216" s="205"/>
      <c r="FQ216" s="205"/>
      <c r="FR216" s="208">
        <f>SUM(FN216:FQ216)</f>
        <v>0</v>
      </c>
      <c r="FS216" s="203"/>
      <c r="FT216" s="205"/>
      <c r="FU216" s="205"/>
      <c r="FV216" s="205"/>
      <c r="FW216" s="204"/>
      <c r="FX216" s="208">
        <f>SUM(FS216:FW216)</f>
        <v>0</v>
      </c>
      <c r="FY216" s="203"/>
      <c r="FZ216" s="205">
        <v>140.41999999999999</v>
      </c>
      <c r="GA216" s="205"/>
      <c r="GB216" s="205"/>
      <c r="GC216" s="204"/>
      <c r="GD216" s="208">
        <f>SUM(FY216:GC216)</f>
        <v>140.41999999999999</v>
      </c>
      <c r="GE216" s="208">
        <f>FG216+FM216+FR216+FX216+GD216</f>
        <v>146.61999999999998</v>
      </c>
      <c r="GF216" s="203"/>
      <c r="GG216" s="205"/>
      <c r="GH216" s="205"/>
      <c r="GI216" s="205"/>
      <c r="GJ216" s="205"/>
      <c r="GK216" s="208">
        <f>SUM(GF216:GJ216)</f>
        <v>0</v>
      </c>
      <c r="GL216" s="203"/>
      <c r="GM216" s="205"/>
      <c r="GN216" s="205"/>
      <c r="GO216" s="204">
        <v>30</v>
      </c>
      <c r="GP216" s="208">
        <f>SUM(GL216:GO216)</f>
        <v>30</v>
      </c>
      <c r="GQ216" s="203"/>
      <c r="GR216" s="205"/>
      <c r="GS216" s="205"/>
      <c r="GT216" s="205"/>
      <c r="GU216" s="204"/>
      <c r="GV216" s="208">
        <v>0</v>
      </c>
      <c r="GW216" s="203"/>
      <c r="GX216" s="205"/>
      <c r="GY216" s="205"/>
      <c r="GZ216" s="205"/>
      <c r="HA216" s="205"/>
      <c r="HB216" s="204"/>
      <c r="HC216" s="208">
        <f>SUM(GW216:HB216)</f>
        <v>0</v>
      </c>
      <c r="HD216" s="208">
        <f>GK216+GP216+GV216+HC216</f>
        <v>30</v>
      </c>
      <c r="HE216" s="203"/>
      <c r="HF216" s="205"/>
      <c r="HG216" s="205"/>
      <c r="HH216" s="205"/>
      <c r="HI216" s="208">
        <f>SUM(HE216:HH216)</f>
        <v>0</v>
      </c>
      <c r="HJ216" s="203"/>
      <c r="HK216" s="205"/>
      <c r="HL216" s="205"/>
      <c r="HM216" s="205"/>
      <c r="HN216" s="204"/>
      <c r="HO216" s="208">
        <f>SUM(HJ216:HN216)</f>
        <v>0</v>
      </c>
      <c r="HP216" s="203"/>
      <c r="HQ216" s="205"/>
      <c r="HR216" s="205"/>
      <c r="HS216" s="205"/>
      <c r="HT216" s="204"/>
      <c r="HU216" s="208">
        <f>SUM(HP216:HT216)</f>
        <v>0</v>
      </c>
      <c r="HV216" s="203"/>
      <c r="HW216" s="205"/>
      <c r="HX216" s="205"/>
      <c r="HY216" s="208">
        <f>SUM(HV216:HX216)</f>
        <v>0</v>
      </c>
      <c r="HZ216" s="203"/>
      <c r="IA216" s="205"/>
      <c r="IB216" s="204"/>
      <c r="IC216" s="208">
        <f>SUM(HZ216:IB216)</f>
        <v>0</v>
      </c>
      <c r="ID216" s="208">
        <f>HI216+HO216+HU216+HY216+IC216</f>
        <v>0</v>
      </c>
      <c r="IE216" s="203"/>
      <c r="IF216" s="204"/>
      <c r="IG216" s="208">
        <f>SUM(IE216:IF216)</f>
        <v>0</v>
      </c>
      <c r="IH216" s="203"/>
      <c r="II216" s="205"/>
      <c r="IJ216" s="205"/>
      <c r="IK216" s="205"/>
      <c r="IL216" s="204"/>
      <c r="IM216" s="208">
        <f>SUM(IH216:IL216)</f>
        <v>0</v>
      </c>
      <c r="IN216" s="202"/>
      <c r="IO216" s="244"/>
      <c r="IP216" s="245"/>
      <c r="IQ216" s="208">
        <f>SUM(IN216:IP216)</f>
        <v>0</v>
      </c>
      <c r="IR216" s="202"/>
      <c r="IS216" s="244"/>
      <c r="IT216" s="244"/>
      <c r="IU216" s="244"/>
      <c r="IV216" s="245"/>
      <c r="IW216" s="208">
        <f>SUM(IR216:IV216)</f>
        <v>0</v>
      </c>
      <c r="IX216" s="203"/>
      <c r="IY216" s="205"/>
      <c r="IZ216" s="205"/>
      <c r="JA216" s="205"/>
      <c r="JB216" s="204"/>
      <c r="JC216" s="208">
        <f>SUM(IX216:JB216)</f>
        <v>0</v>
      </c>
      <c r="JD216" s="208">
        <f t="shared" si="591"/>
        <v>0</v>
      </c>
      <c r="JE216" s="203"/>
      <c r="JF216" s="205"/>
      <c r="JG216" s="205">
        <v>12</v>
      </c>
      <c r="JH216" s="205"/>
      <c r="JI216" s="204"/>
      <c r="JJ216" s="208">
        <f t="shared" si="592"/>
        <v>12</v>
      </c>
      <c r="JK216" s="202"/>
      <c r="JL216" s="244"/>
      <c r="JM216" s="244"/>
      <c r="JN216" s="244"/>
      <c r="JO216" s="245"/>
      <c r="JP216" s="208"/>
      <c r="JQ216" s="203"/>
      <c r="JR216" s="205"/>
      <c r="JS216" s="205"/>
      <c r="JT216" s="205"/>
      <c r="JU216" s="204"/>
      <c r="JV216" s="208">
        <f>SUM(JQ216:JU216)</f>
        <v>0</v>
      </c>
      <c r="JW216" s="203"/>
      <c r="JX216" s="205"/>
      <c r="JY216" s="205"/>
      <c r="JZ216" s="205"/>
      <c r="KA216" s="205"/>
      <c r="KB216" s="204"/>
      <c r="KC216" s="208">
        <f>SUM(JW216:KB216)</f>
        <v>0</v>
      </c>
      <c r="KD216" s="208">
        <f>JJ216+JP216+JV216+KC216</f>
        <v>12</v>
      </c>
      <c r="KE216" s="203"/>
      <c r="KF216" s="205"/>
      <c r="KG216" s="205"/>
      <c r="KH216" s="205"/>
      <c r="KI216" s="204"/>
      <c r="KJ216" s="208">
        <f>SUM(KE216:KI216)</f>
        <v>0</v>
      </c>
      <c r="KK216" s="202"/>
      <c r="KL216" s="244"/>
      <c r="KM216" s="244"/>
      <c r="KN216" s="244"/>
      <c r="KO216" s="245"/>
      <c r="KP216" s="208">
        <f>SUM(KK216:KO216)</f>
        <v>0</v>
      </c>
      <c r="KQ216" s="203"/>
      <c r="KR216" s="205"/>
      <c r="KS216" s="205"/>
      <c r="KT216" s="205"/>
      <c r="KU216" s="204"/>
      <c r="KV216" s="208">
        <f>SUM(KQ216:KU216)</f>
        <v>0</v>
      </c>
      <c r="KW216" s="202"/>
      <c r="KX216" s="244"/>
      <c r="KY216" s="244"/>
      <c r="KZ216" s="244"/>
      <c r="LA216" s="245"/>
      <c r="LB216" s="208">
        <f>SUM(KW216:LA216)</f>
        <v>0</v>
      </c>
      <c r="LC216" s="202"/>
      <c r="LD216" s="244"/>
      <c r="LE216" s="245"/>
      <c r="LF216" s="208">
        <f>SUM(LC216:LE216)</f>
        <v>0</v>
      </c>
      <c r="LG216" s="208">
        <f>LF216+LB216+KV216+KP216+KJ216</f>
        <v>0</v>
      </c>
    </row>
    <row r="217" spans="2:322">
      <c r="B217" s="93"/>
      <c r="C217" s="167"/>
      <c r="D217" s="181"/>
      <c r="E217" s="167"/>
      <c r="F217" s="177"/>
      <c r="G217" s="177"/>
      <c r="H217" s="177"/>
      <c r="I217" s="178"/>
      <c r="J217" s="181"/>
      <c r="K217" s="167"/>
      <c r="L217" s="177"/>
      <c r="M217" s="177"/>
      <c r="N217" s="178"/>
      <c r="O217" s="181"/>
      <c r="P217" s="167"/>
      <c r="Q217" s="177"/>
      <c r="R217" s="177"/>
      <c r="S217" s="177"/>
      <c r="T217" s="178"/>
      <c r="U217" s="181"/>
      <c r="V217" s="167"/>
      <c r="W217" s="177"/>
      <c r="X217" s="177"/>
      <c r="Y217" s="177"/>
      <c r="Z217" s="178"/>
      <c r="AA217" s="168"/>
      <c r="AB217" s="168"/>
      <c r="AC217" s="181"/>
      <c r="AD217" s="238"/>
      <c r="AE217" s="238"/>
      <c r="AF217" s="238"/>
      <c r="AG217" s="239"/>
      <c r="AH217" s="168"/>
      <c r="AI217" s="181"/>
      <c r="AJ217" s="238"/>
      <c r="AK217" s="238"/>
      <c r="AL217" s="238"/>
      <c r="AM217" s="239"/>
      <c r="AN217" s="168"/>
      <c r="AO217" s="181"/>
      <c r="AP217" s="238"/>
      <c r="AQ217" s="238"/>
      <c r="AR217" s="238"/>
      <c r="AS217" s="239"/>
      <c r="AT217" s="168"/>
      <c r="AU217" s="181"/>
      <c r="AV217" s="238"/>
      <c r="AW217" s="238"/>
      <c r="AX217" s="238"/>
      <c r="AY217" s="239"/>
      <c r="AZ217" s="168"/>
      <c r="BA217" s="168"/>
      <c r="BB217" s="181"/>
      <c r="BC217" s="238"/>
      <c r="BD217" s="238"/>
      <c r="BE217" s="238"/>
      <c r="BF217" s="239"/>
      <c r="BG217" s="168"/>
      <c r="BH217" s="181"/>
      <c r="BI217" s="238"/>
      <c r="BJ217" s="238"/>
      <c r="BK217" s="238"/>
      <c r="BL217" s="239"/>
      <c r="BM217" s="168"/>
      <c r="BN217" s="242"/>
      <c r="BO217" s="224"/>
      <c r="BP217" s="224"/>
      <c r="BQ217" s="243"/>
      <c r="BR217" s="168"/>
      <c r="BS217" s="181"/>
      <c r="BT217" s="238"/>
      <c r="BU217" s="238"/>
      <c r="BV217" s="238"/>
      <c r="BW217" s="239"/>
      <c r="BX217" s="168"/>
      <c r="BY217" s="181"/>
      <c r="BZ217" s="238"/>
      <c r="CA217" s="168"/>
      <c r="CB217" s="168"/>
      <c r="CC217" s="242"/>
      <c r="CD217" s="224"/>
      <c r="CE217" s="224"/>
      <c r="CF217" s="168"/>
      <c r="CG217" s="242"/>
      <c r="CH217" s="224"/>
      <c r="CI217" s="224"/>
      <c r="CJ217" s="243"/>
      <c r="CK217" s="181"/>
      <c r="CL217" s="242"/>
      <c r="CM217" s="224"/>
      <c r="CN217" s="224"/>
      <c r="CO217" s="224"/>
      <c r="CP217" s="243"/>
      <c r="CQ217" s="168"/>
      <c r="CR217" s="242"/>
      <c r="CS217" s="224"/>
      <c r="CT217" s="224"/>
      <c r="CU217" s="224"/>
      <c r="CV217" s="243"/>
      <c r="CW217" s="168"/>
      <c r="CX217" s="242"/>
      <c r="CY217" s="224"/>
      <c r="CZ217" s="224"/>
      <c r="DA217" s="243"/>
      <c r="DB217" s="168"/>
      <c r="DC217" s="168"/>
      <c r="DD217" s="242"/>
      <c r="DE217" s="224"/>
      <c r="DF217" s="224"/>
      <c r="DG217" s="224"/>
      <c r="DH217" s="224"/>
      <c r="DI217" s="168"/>
      <c r="DJ217" s="181"/>
      <c r="DK217" s="238"/>
      <c r="DL217" s="238"/>
      <c r="DM217" s="238"/>
      <c r="DN217" s="239"/>
      <c r="DO217" s="168"/>
      <c r="DP217" s="242"/>
      <c r="DQ217" s="224"/>
      <c r="DR217" s="224"/>
      <c r="DS217" s="224"/>
      <c r="DT217" s="243"/>
      <c r="DU217" s="168"/>
      <c r="DV217" s="242"/>
      <c r="DW217" s="224"/>
      <c r="DX217" s="224"/>
      <c r="DY217" s="224"/>
      <c r="DZ217" s="243"/>
      <c r="EA217" s="168"/>
      <c r="EB217" s="168"/>
      <c r="EC217" s="242"/>
      <c r="ED217" s="224"/>
      <c r="EE217" s="224"/>
      <c r="EF217" s="224"/>
      <c r="EG217" s="243"/>
      <c r="EH217" s="168"/>
      <c r="EI217" s="242"/>
      <c r="EJ217" s="224"/>
      <c r="EK217" s="224"/>
      <c r="EL217" s="224"/>
      <c r="EM217" s="243"/>
      <c r="EN217" s="168"/>
      <c r="EO217" s="242"/>
      <c r="EP217" s="224"/>
      <c r="EQ217" s="224"/>
      <c r="ER217" s="224"/>
      <c r="ES217" s="243"/>
      <c r="ET217" s="168"/>
      <c r="EU217" s="242"/>
      <c r="EV217" s="224"/>
      <c r="EW217" s="224"/>
      <c r="EX217" s="224"/>
      <c r="EY217" s="224"/>
      <c r="EZ217" s="224"/>
      <c r="FA217" s="243"/>
      <c r="FB217" s="168"/>
      <c r="FC217" s="168"/>
      <c r="FD217" s="242"/>
      <c r="FE217" s="224"/>
      <c r="FF217" s="243"/>
      <c r="FG217" s="168"/>
      <c r="FH217" s="181"/>
      <c r="FI217" s="238"/>
      <c r="FJ217" s="238"/>
      <c r="FK217" s="238"/>
      <c r="FL217" s="239"/>
      <c r="FM217" s="168"/>
      <c r="FN217" s="181"/>
      <c r="FO217" s="238"/>
      <c r="FP217" s="238"/>
      <c r="FQ217" s="238"/>
      <c r="FR217" s="168"/>
      <c r="FS217" s="181"/>
      <c r="FT217" s="238"/>
      <c r="FU217" s="238"/>
      <c r="FV217" s="238"/>
      <c r="FW217" s="239"/>
      <c r="FX217" s="168"/>
      <c r="FY217" s="181"/>
      <c r="FZ217" s="238"/>
      <c r="GA217" s="238"/>
      <c r="GB217" s="238"/>
      <c r="GC217" s="239"/>
      <c r="GD217" s="168"/>
      <c r="GE217" s="208"/>
      <c r="GF217" s="202"/>
      <c r="GG217" s="244"/>
      <c r="GH217" s="244"/>
      <c r="GI217" s="244"/>
      <c r="GJ217" s="244"/>
      <c r="GK217" s="208"/>
      <c r="GL217" s="202"/>
      <c r="GM217" s="244"/>
      <c r="GN217" s="244"/>
      <c r="GO217" s="245"/>
      <c r="GP217" s="208"/>
      <c r="GQ217" s="202"/>
      <c r="GR217" s="244"/>
      <c r="GS217" s="244"/>
      <c r="GT217" s="244"/>
      <c r="GU217" s="245"/>
      <c r="GV217" s="208"/>
      <c r="GW217" s="203"/>
      <c r="GX217" s="205"/>
      <c r="GY217" s="205"/>
      <c r="GZ217" s="205"/>
      <c r="HA217" s="205"/>
      <c r="HB217" s="204"/>
      <c r="HC217" s="208"/>
      <c r="HD217" s="168"/>
      <c r="HE217" s="181"/>
      <c r="HF217" s="238"/>
      <c r="HG217" s="238"/>
      <c r="HH217" s="238"/>
      <c r="HI217" s="168"/>
      <c r="HJ217" s="242"/>
      <c r="HK217" s="224"/>
      <c r="HL217" s="224"/>
      <c r="HM217" s="224"/>
      <c r="HN217" s="243"/>
      <c r="HO217" s="168"/>
      <c r="HP217" s="181"/>
      <c r="HQ217" s="238"/>
      <c r="HR217" s="238"/>
      <c r="HS217" s="238"/>
      <c r="HT217" s="239"/>
      <c r="HU217" s="168"/>
      <c r="HV217" s="181"/>
      <c r="HW217" s="238"/>
      <c r="HX217" s="238"/>
      <c r="HY217" s="168"/>
      <c r="HZ217" s="181"/>
      <c r="IA217" s="238"/>
      <c r="IB217" s="239"/>
      <c r="IC217" s="168"/>
      <c r="ID217" s="168"/>
      <c r="IE217" s="181"/>
      <c r="IF217" s="239"/>
      <c r="IG217" s="168"/>
      <c r="IH217" s="181"/>
      <c r="II217" s="238"/>
      <c r="IJ217" s="238"/>
      <c r="IK217" s="238"/>
      <c r="IL217" s="239"/>
      <c r="IM217" s="168"/>
      <c r="IN217" s="181"/>
      <c r="IO217" s="238"/>
      <c r="IP217" s="239"/>
      <c r="IQ217" s="168"/>
      <c r="IR217" s="181"/>
      <c r="IS217" s="238"/>
      <c r="IT217" s="238"/>
      <c r="IU217" s="238"/>
      <c r="IV217" s="239"/>
      <c r="IW217" s="168"/>
      <c r="IX217" s="181"/>
      <c r="IY217" s="238"/>
      <c r="IZ217" s="238"/>
      <c r="JA217" s="238"/>
      <c r="JB217" s="239"/>
      <c r="JC217" s="168"/>
      <c r="JD217" s="168"/>
      <c r="JE217" s="181"/>
      <c r="JF217" s="238"/>
      <c r="JG217" s="238"/>
      <c r="JH217" s="238"/>
      <c r="JI217" s="239"/>
      <c r="JJ217" s="168"/>
      <c r="JK217" s="181"/>
      <c r="JL217" s="238"/>
      <c r="JM217" s="238"/>
      <c r="JN217" s="238"/>
      <c r="JO217" s="239"/>
      <c r="JP217" s="168"/>
      <c r="JQ217" s="181"/>
      <c r="JR217" s="238"/>
      <c r="JS217" s="238"/>
      <c r="JT217" s="238"/>
      <c r="JU217" s="239"/>
      <c r="JV217" s="168"/>
      <c r="JW217" s="242"/>
      <c r="JX217" s="224"/>
      <c r="JY217" s="224"/>
      <c r="JZ217" s="224"/>
      <c r="KA217" s="224"/>
      <c r="KB217" s="243"/>
      <c r="KC217" s="168"/>
      <c r="KD217" s="168"/>
      <c r="KE217" s="242"/>
      <c r="KF217" s="224"/>
      <c r="KG217" s="224"/>
      <c r="KH217" s="224"/>
      <c r="KI217" s="243"/>
      <c r="KJ217" s="168"/>
      <c r="KK217" s="181"/>
      <c r="KL217" s="238"/>
      <c r="KM217" s="238"/>
      <c r="KN217" s="238"/>
      <c r="KO217" s="239"/>
      <c r="KP217" s="168"/>
      <c r="KQ217" s="242"/>
      <c r="KR217" s="224"/>
      <c r="KS217" s="224"/>
      <c r="KT217" s="224"/>
      <c r="KU217" s="243"/>
      <c r="KV217" s="168"/>
      <c r="KW217" s="181"/>
      <c r="KX217" s="238"/>
      <c r="KY217" s="238"/>
      <c r="KZ217" s="238"/>
      <c r="LA217" s="239"/>
      <c r="LB217" s="168"/>
      <c r="LC217" s="181"/>
      <c r="LD217" s="238"/>
      <c r="LE217" s="239"/>
      <c r="LF217" s="168"/>
      <c r="LG217" s="168"/>
    </row>
    <row r="218" spans="2:322">
      <c r="B218" s="94" t="s">
        <v>90</v>
      </c>
      <c r="C218" s="172">
        <f>SUM(C219)</f>
        <v>0</v>
      </c>
      <c r="D218" s="172">
        <f t="shared" ref="D218:AA218" si="593">SUM(D219)</f>
        <v>0</v>
      </c>
      <c r="E218" s="172">
        <f t="shared" si="593"/>
        <v>0</v>
      </c>
      <c r="F218" s="172">
        <f t="shared" si="593"/>
        <v>0</v>
      </c>
      <c r="G218" s="172">
        <f t="shared" si="593"/>
        <v>0</v>
      </c>
      <c r="H218" s="172">
        <f t="shared" si="593"/>
        <v>0</v>
      </c>
      <c r="I218" s="172">
        <f t="shared" si="593"/>
        <v>0</v>
      </c>
      <c r="J218" s="172">
        <f t="shared" si="593"/>
        <v>0</v>
      </c>
      <c r="K218" s="172">
        <f t="shared" si="593"/>
        <v>0</v>
      </c>
      <c r="L218" s="172">
        <f t="shared" si="593"/>
        <v>0</v>
      </c>
      <c r="M218" s="172">
        <f t="shared" si="593"/>
        <v>0</v>
      </c>
      <c r="N218" s="172">
        <f t="shared" si="593"/>
        <v>0</v>
      </c>
      <c r="O218" s="172">
        <f t="shared" si="593"/>
        <v>0</v>
      </c>
      <c r="P218" s="172">
        <f t="shared" si="593"/>
        <v>0</v>
      </c>
      <c r="Q218" s="172">
        <f t="shared" si="593"/>
        <v>0</v>
      </c>
      <c r="R218" s="172">
        <f t="shared" si="593"/>
        <v>0</v>
      </c>
      <c r="S218" s="172">
        <f t="shared" si="593"/>
        <v>0</v>
      </c>
      <c r="T218" s="172">
        <f t="shared" si="593"/>
        <v>0</v>
      </c>
      <c r="U218" s="172">
        <f t="shared" si="593"/>
        <v>0</v>
      </c>
      <c r="V218" s="172">
        <f t="shared" si="593"/>
        <v>0</v>
      </c>
      <c r="W218" s="172">
        <f t="shared" si="593"/>
        <v>0</v>
      </c>
      <c r="X218" s="172">
        <f t="shared" si="593"/>
        <v>0</v>
      </c>
      <c r="Y218" s="172">
        <f t="shared" si="593"/>
        <v>0</v>
      </c>
      <c r="Z218" s="172">
        <f t="shared" si="593"/>
        <v>0</v>
      </c>
      <c r="AA218" s="172">
        <f t="shared" si="593"/>
        <v>0</v>
      </c>
      <c r="AB218" s="234">
        <f>SUM(AB219:AB219)</f>
        <v>0</v>
      </c>
      <c r="AC218" s="172">
        <f>SUM(AC219:AC220)</f>
        <v>0</v>
      </c>
      <c r="AD218" s="179">
        <f>SUM(AD219:AD220)</f>
        <v>0</v>
      </c>
      <c r="AE218" s="179">
        <f>SUM(AE219:AE220)</f>
        <v>0</v>
      </c>
      <c r="AF218" s="179">
        <f>SUM(AF219:AF220)</f>
        <v>0</v>
      </c>
      <c r="AG218" s="180">
        <f>SUM(AG219:AG220)</f>
        <v>0</v>
      </c>
      <c r="AH218" s="198">
        <f t="shared" ref="AH218:AZ218" si="594">SUM(AH219:AH220)</f>
        <v>0</v>
      </c>
      <c r="AI218" s="172">
        <f t="shared" si="594"/>
        <v>0</v>
      </c>
      <c r="AJ218" s="179">
        <f t="shared" si="594"/>
        <v>0</v>
      </c>
      <c r="AK218" s="179">
        <f t="shared" si="594"/>
        <v>0</v>
      </c>
      <c r="AL218" s="179">
        <f t="shared" si="594"/>
        <v>0</v>
      </c>
      <c r="AM218" s="180">
        <f t="shared" si="594"/>
        <v>0</v>
      </c>
      <c r="AN218" s="198">
        <f t="shared" si="594"/>
        <v>0</v>
      </c>
      <c r="AO218" s="172">
        <f t="shared" si="594"/>
        <v>0</v>
      </c>
      <c r="AP218" s="179">
        <f t="shared" si="594"/>
        <v>0</v>
      </c>
      <c r="AQ218" s="179">
        <f t="shared" si="594"/>
        <v>0</v>
      </c>
      <c r="AR218" s="179">
        <f t="shared" si="594"/>
        <v>0</v>
      </c>
      <c r="AS218" s="180">
        <f t="shared" si="594"/>
        <v>0</v>
      </c>
      <c r="AT218" s="198">
        <f t="shared" si="594"/>
        <v>0</v>
      </c>
      <c r="AU218" s="172">
        <f t="shared" si="594"/>
        <v>0</v>
      </c>
      <c r="AV218" s="179">
        <f t="shared" si="594"/>
        <v>0</v>
      </c>
      <c r="AW218" s="179">
        <f t="shared" si="594"/>
        <v>0</v>
      </c>
      <c r="AX218" s="179">
        <f t="shared" si="594"/>
        <v>0</v>
      </c>
      <c r="AY218" s="180">
        <f t="shared" si="594"/>
        <v>0</v>
      </c>
      <c r="AZ218" s="198">
        <f t="shared" si="594"/>
        <v>0</v>
      </c>
      <c r="BA218" s="234">
        <f t="shared" ref="BA218:KW218" si="595">SUM(BA219:BA220)</f>
        <v>0</v>
      </c>
      <c r="BB218" s="172">
        <f t="shared" si="595"/>
        <v>0</v>
      </c>
      <c r="BC218" s="179">
        <f t="shared" si="595"/>
        <v>0</v>
      </c>
      <c r="BD218" s="179">
        <f t="shared" si="595"/>
        <v>0</v>
      </c>
      <c r="BE218" s="179">
        <f t="shared" si="595"/>
        <v>0</v>
      </c>
      <c r="BF218" s="180">
        <f t="shared" si="595"/>
        <v>0</v>
      </c>
      <c r="BG218" s="198">
        <f t="shared" si="595"/>
        <v>0</v>
      </c>
      <c r="BH218" s="172">
        <f t="shared" si="595"/>
        <v>0</v>
      </c>
      <c r="BI218" s="179">
        <f t="shared" si="595"/>
        <v>0</v>
      </c>
      <c r="BJ218" s="179">
        <f t="shared" si="595"/>
        <v>0</v>
      </c>
      <c r="BK218" s="179">
        <f t="shared" si="595"/>
        <v>0</v>
      </c>
      <c r="BL218" s="180">
        <f t="shared" si="595"/>
        <v>0</v>
      </c>
      <c r="BM218" s="198">
        <f t="shared" si="595"/>
        <v>0</v>
      </c>
      <c r="BN218" s="172">
        <f t="shared" si="595"/>
        <v>0</v>
      </c>
      <c r="BO218" s="179">
        <f t="shared" si="595"/>
        <v>0</v>
      </c>
      <c r="BP218" s="179">
        <f t="shared" si="595"/>
        <v>0</v>
      </c>
      <c r="BQ218" s="180">
        <f t="shared" si="595"/>
        <v>0</v>
      </c>
      <c r="BR218" s="198">
        <f t="shared" si="595"/>
        <v>0</v>
      </c>
      <c r="BS218" s="172">
        <f t="shared" si="595"/>
        <v>0</v>
      </c>
      <c r="BT218" s="179">
        <f t="shared" si="595"/>
        <v>0</v>
      </c>
      <c r="BU218" s="179">
        <f t="shared" si="595"/>
        <v>0</v>
      </c>
      <c r="BV218" s="179">
        <f t="shared" si="595"/>
        <v>0</v>
      </c>
      <c r="BW218" s="180">
        <f t="shared" si="595"/>
        <v>0</v>
      </c>
      <c r="BX218" s="198">
        <f t="shared" si="595"/>
        <v>0</v>
      </c>
      <c r="BY218" s="172">
        <f>SUM(BY219:BY220)</f>
        <v>0</v>
      </c>
      <c r="BZ218" s="179">
        <f>SUM(BZ219:BZ220)</f>
        <v>0</v>
      </c>
      <c r="CA218" s="198">
        <f t="shared" si="595"/>
        <v>0</v>
      </c>
      <c r="CB218" s="234">
        <f t="shared" si="595"/>
        <v>0</v>
      </c>
      <c r="CC218" s="172">
        <f t="shared" si="595"/>
        <v>0</v>
      </c>
      <c r="CD218" s="179">
        <f t="shared" si="595"/>
        <v>0</v>
      </c>
      <c r="CE218" s="179">
        <f t="shared" si="595"/>
        <v>0</v>
      </c>
      <c r="CF218" s="198">
        <f t="shared" si="595"/>
        <v>0</v>
      </c>
      <c r="CG218" s="172">
        <f t="shared" si="595"/>
        <v>0</v>
      </c>
      <c r="CH218" s="179">
        <f t="shared" si="595"/>
        <v>0</v>
      </c>
      <c r="CI218" s="179">
        <f t="shared" si="595"/>
        <v>0</v>
      </c>
      <c r="CJ218" s="180">
        <f t="shared" si="595"/>
        <v>0</v>
      </c>
      <c r="CK218" s="172">
        <f t="shared" si="595"/>
        <v>0</v>
      </c>
      <c r="CL218" s="172">
        <f t="shared" si="595"/>
        <v>0</v>
      </c>
      <c r="CM218" s="179">
        <f t="shared" si="595"/>
        <v>0</v>
      </c>
      <c r="CN218" s="179">
        <f t="shared" si="595"/>
        <v>0</v>
      </c>
      <c r="CO218" s="179">
        <f t="shared" si="595"/>
        <v>0</v>
      </c>
      <c r="CP218" s="180">
        <f t="shared" si="595"/>
        <v>0</v>
      </c>
      <c r="CQ218" s="198">
        <f t="shared" si="595"/>
        <v>0</v>
      </c>
      <c r="CR218" s="172">
        <f t="shared" si="595"/>
        <v>0</v>
      </c>
      <c r="CS218" s="179">
        <f t="shared" si="595"/>
        <v>0</v>
      </c>
      <c r="CT218" s="179">
        <f t="shared" si="595"/>
        <v>0</v>
      </c>
      <c r="CU218" s="179">
        <f t="shared" si="595"/>
        <v>0</v>
      </c>
      <c r="CV218" s="180">
        <f t="shared" si="595"/>
        <v>0</v>
      </c>
      <c r="CW218" s="198">
        <f t="shared" si="595"/>
        <v>0</v>
      </c>
      <c r="CX218" s="172">
        <f t="shared" si="595"/>
        <v>0</v>
      </c>
      <c r="CY218" s="179">
        <f>SUM(CY219:CY220)</f>
        <v>0</v>
      </c>
      <c r="CZ218" s="179">
        <f t="shared" si="595"/>
        <v>0</v>
      </c>
      <c r="DA218" s="180">
        <f t="shared" si="595"/>
        <v>0</v>
      </c>
      <c r="DB218" s="198">
        <f t="shared" si="595"/>
        <v>0</v>
      </c>
      <c r="DC218" s="234">
        <f t="shared" si="595"/>
        <v>0</v>
      </c>
      <c r="DD218" s="172">
        <f t="shared" si="595"/>
        <v>0</v>
      </c>
      <c r="DE218" s="179">
        <f t="shared" si="595"/>
        <v>0</v>
      </c>
      <c r="DF218" s="179">
        <f t="shared" si="595"/>
        <v>0</v>
      </c>
      <c r="DG218" s="179">
        <f t="shared" si="595"/>
        <v>0</v>
      </c>
      <c r="DH218" s="179">
        <f t="shared" si="595"/>
        <v>0</v>
      </c>
      <c r="DI218" s="198">
        <f t="shared" si="595"/>
        <v>0</v>
      </c>
      <c r="DJ218" s="172">
        <f t="shared" si="595"/>
        <v>0</v>
      </c>
      <c r="DK218" s="179">
        <f t="shared" si="595"/>
        <v>0</v>
      </c>
      <c r="DL218" s="179">
        <f t="shared" si="595"/>
        <v>46463</v>
      </c>
      <c r="DM218" s="179">
        <f t="shared" si="595"/>
        <v>0</v>
      </c>
      <c r="DN218" s="180">
        <f t="shared" si="595"/>
        <v>0</v>
      </c>
      <c r="DO218" s="198">
        <f t="shared" si="595"/>
        <v>46463</v>
      </c>
      <c r="DP218" s="172">
        <f t="shared" si="595"/>
        <v>0</v>
      </c>
      <c r="DQ218" s="179">
        <f t="shared" si="595"/>
        <v>0</v>
      </c>
      <c r="DR218" s="179">
        <f t="shared" si="595"/>
        <v>0</v>
      </c>
      <c r="DS218" s="179">
        <f t="shared" si="595"/>
        <v>0</v>
      </c>
      <c r="DT218" s="180">
        <f t="shared" si="595"/>
        <v>0</v>
      </c>
      <c r="DU218" s="198">
        <f t="shared" si="595"/>
        <v>0</v>
      </c>
      <c r="DV218" s="172">
        <f t="shared" si="595"/>
        <v>0</v>
      </c>
      <c r="DW218" s="179">
        <f t="shared" si="595"/>
        <v>0</v>
      </c>
      <c r="DX218" s="179">
        <f t="shared" si="595"/>
        <v>0</v>
      </c>
      <c r="DY218" s="179">
        <f t="shared" si="595"/>
        <v>0</v>
      </c>
      <c r="DZ218" s="180">
        <f t="shared" si="595"/>
        <v>0</v>
      </c>
      <c r="EA218" s="198">
        <f t="shared" si="595"/>
        <v>0</v>
      </c>
      <c r="EB218" s="234">
        <f t="shared" si="595"/>
        <v>46463</v>
      </c>
      <c r="EC218" s="172">
        <f t="shared" si="595"/>
        <v>0</v>
      </c>
      <c r="ED218" s="179">
        <f t="shared" si="595"/>
        <v>0</v>
      </c>
      <c r="EE218" s="179">
        <f t="shared" si="595"/>
        <v>0</v>
      </c>
      <c r="EF218" s="179">
        <f t="shared" si="595"/>
        <v>0</v>
      </c>
      <c r="EG218" s="180">
        <f t="shared" si="595"/>
        <v>0</v>
      </c>
      <c r="EH218" s="198">
        <f t="shared" si="595"/>
        <v>0</v>
      </c>
      <c r="EI218" s="172">
        <f t="shared" si="595"/>
        <v>0</v>
      </c>
      <c r="EJ218" s="179">
        <f t="shared" si="595"/>
        <v>0</v>
      </c>
      <c r="EK218" s="179">
        <f t="shared" si="595"/>
        <v>0</v>
      </c>
      <c r="EL218" s="179">
        <f t="shared" si="595"/>
        <v>0</v>
      </c>
      <c r="EM218" s="180">
        <f t="shared" si="595"/>
        <v>0</v>
      </c>
      <c r="EN218" s="198">
        <f t="shared" si="595"/>
        <v>0</v>
      </c>
      <c r="EO218" s="172">
        <f t="shared" si="595"/>
        <v>0</v>
      </c>
      <c r="EP218" s="179">
        <f t="shared" si="595"/>
        <v>0</v>
      </c>
      <c r="EQ218" s="179">
        <f t="shared" si="595"/>
        <v>0</v>
      </c>
      <c r="ER218" s="179">
        <f t="shared" si="595"/>
        <v>0</v>
      </c>
      <c r="ES218" s="180">
        <f t="shared" si="595"/>
        <v>0</v>
      </c>
      <c r="ET218" s="198">
        <f t="shared" si="595"/>
        <v>0</v>
      </c>
      <c r="EU218" s="172">
        <f t="shared" si="595"/>
        <v>0</v>
      </c>
      <c r="EV218" s="179">
        <f t="shared" si="595"/>
        <v>0</v>
      </c>
      <c r="EW218" s="179">
        <f t="shared" si="595"/>
        <v>0</v>
      </c>
      <c r="EX218" s="179">
        <f t="shared" si="595"/>
        <v>0</v>
      </c>
      <c r="EY218" s="179">
        <f t="shared" si="595"/>
        <v>0</v>
      </c>
      <c r="EZ218" s="179">
        <f>SUM(EZ219:EZ220)</f>
        <v>0</v>
      </c>
      <c r="FA218" s="180">
        <f t="shared" si="595"/>
        <v>0</v>
      </c>
      <c r="FB218" s="198">
        <f t="shared" si="595"/>
        <v>0</v>
      </c>
      <c r="FC218" s="234">
        <f t="shared" si="595"/>
        <v>0</v>
      </c>
      <c r="FD218" s="172">
        <f t="shared" si="595"/>
        <v>0</v>
      </c>
      <c r="FE218" s="179">
        <f t="shared" si="595"/>
        <v>0</v>
      </c>
      <c r="FF218" s="180">
        <f t="shared" si="595"/>
        <v>0</v>
      </c>
      <c r="FG218" s="198">
        <f t="shared" si="595"/>
        <v>0</v>
      </c>
      <c r="FH218" s="172">
        <f t="shared" si="595"/>
        <v>0</v>
      </c>
      <c r="FI218" s="179">
        <f t="shared" si="595"/>
        <v>206440.25</v>
      </c>
      <c r="FJ218" s="179">
        <f t="shared" si="595"/>
        <v>0</v>
      </c>
      <c r="FK218" s="179">
        <f t="shared" si="595"/>
        <v>0</v>
      </c>
      <c r="FL218" s="180">
        <f t="shared" si="595"/>
        <v>0</v>
      </c>
      <c r="FM218" s="198">
        <f t="shared" si="595"/>
        <v>206440.25</v>
      </c>
      <c r="FN218" s="172">
        <f>SUM(FN219:FN220)</f>
        <v>0</v>
      </c>
      <c r="FO218" s="179">
        <f>SUM(FO219:FO220)</f>
        <v>0</v>
      </c>
      <c r="FP218" s="179">
        <f>SUM(FP219:FP220)</f>
        <v>0</v>
      </c>
      <c r="FQ218" s="179">
        <f>SUM(FQ219:FQ220)</f>
        <v>0</v>
      </c>
      <c r="FR218" s="198">
        <f t="shared" si="595"/>
        <v>0</v>
      </c>
      <c r="FS218" s="172">
        <f t="shared" si="595"/>
        <v>0</v>
      </c>
      <c r="FT218" s="179">
        <f t="shared" si="595"/>
        <v>23400</v>
      </c>
      <c r="FU218" s="179">
        <f t="shared" si="595"/>
        <v>0</v>
      </c>
      <c r="FV218" s="179">
        <f t="shared" si="595"/>
        <v>0</v>
      </c>
      <c r="FW218" s="180">
        <f t="shared" si="595"/>
        <v>0</v>
      </c>
      <c r="FX218" s="198">
        <f t="shared" si="595"/>
        <v>23400</v>
      </c>
      <c r="FY218" s="172">
        <f t="shared" ref="FY218:GD218" si="596">SUM(FY219:FY220)</f>
        <v>0</v>
      </c>
      <c r="FZ218" s="179">
        <f t="shared" si="596"/>
        <v>0</v>
      </c>
      <c r="GA218" s="179">
        <f t="shared" si="596"/>
        <v>0</v>
      </c>
      <c r="GB218" s="179">
        <f t="shared" si="596"/>
        <v>0</v>
      </c>
      <c r="GC218" s="180">
        <f t="shared" si="596"/>
        <v>0</v>
      </c>
      <c r="GD218" s="198">
        <f t="shared" si="596"/>
        <v>0</v>
      </c>
      <c r="GE218" s="234">
        <f t="shared" si="595"/>
        <v>229840.25</v>
      </c>
      <c r="GF218" s="172">
        <f t="shared" si="595"/>
        <v>0</v>
      </c>
      <c r="GG218" s="179">
        <f t="shared" si="595"/>
        <v>0</v>
      </c>
      <c r="GH218" s="179">
        <f t="shared" si="595"/>
        <v>0</v>
      </c>
      <c r="GI218" s="179">
        <f t="shared" si="595"/>
        <v>0</v>
      </c>
      <c r="GJ218" s="179">
        <f t="shared" si="595"/>
        <v>0</v>
      </c>
      <c r="GK218" s="198">
        <f t="shared" si="595"/>
        <v>0</v>
      </c>
      <c r="GL218" s="172">
        <f t="shared" si="595"/>
        <v>0</v>
      </c>
      <c r="GM218" s="179">
        <f t="shared" si="595"/>
        <v>0</v>
      </c>
      <c r="GN218" s="179">
        <f t="shared" si="595"/>
        <v>0</v>
      </c>
      <c r="GO218" s="180">
        <f t="shared" si="595"/>
        <v>0</v>
      </c>
      <c r="GP218" s="198">
        <f t="shared" si="595"/>
        <v>0</v>
      </c>
      <c r="GQ218" s="172">
        <f t="shared" si="595"/>
        <v>0</v>
      </c>
      <c r="GR218" s="179">
        <f t="shared" si="595"/>
        <v>0</v>
      </c>
      <c r="GS218" s="179">
        <f t="shared" si="595"/>
        <v>0</v>
      </c>
      <c r="GT218" s="179">
        <f t="shared" si="595"/>
        <v>0</v>
      </c>
      <c r="GU218" s="180">
        <f t="shared" si="595"/>
        <v>0</v>
      </c>
      <c r="GV218" s="198">
        <f t="shared" si="595"/>
        <v>0</v>
      </c>
      <c r="GW218" s="172">
        <f t="shared" si="595"/>
        <v>0</v>
      </c>
      <c r="GX218" s="179">
        <f t="shared" si="595"/>
        <v>0</v>
      </c>
      <c r="GY218" s="179">
        <f t="shared" si="595"/>
        <v>0</v>
      </c>
      <c r="GZ218" s="179">
        <f>SUM(GZ219:GZ220)</f>
        <v>0</v>
      </c>
      <c r="HA218" s="179">
        <f>SUM(HA219:HA220)</f>
        <v>0</v>
      </c>
      <c r="HB218" s="180">
        <f t="shared" si="595"/>
        <v>0</v>
      </c>
      <c r="HC218" s="198">
        <f t="shared" si="595"/>
        <v>0</v>
      </c>
      <c r="HD218" s="234">
        <f t="shared" si="595"/>
        <v>0</v>
      </c>
      <c r="HE218" s="172">
        <f t="shared" si="595"/>
        <v>0</v>
      </c>
      <c r="HF218" s="179">
        <f t="shared" si="595"/>
        <v>0</v>
      </c>
      <c r="HG218" s="179">
        <f t="shared" si="595"/>
        <v>0</v>
      </c>
      <c r="HH218" s="179">
        <f t="shared" si="595"/>
        <v>0</v>
      </c>
      <c r="HI218" s="198">
        <f t="shared" si="595"/>
        <v>0</v>
      </c>
      <c r="HJ218" s="172">
        <f t="shared" si="595"/>
        <v>0</v>
      </c>
      <c r="HK218" s="179">
        <f t="shared" si="595"/>
        <v>0</v>
      </c>
      <c r="HL218" s="179">
        <f t="shared" si="595"/>
        <v>0</v>
      </c>
      <c r="HM218" s="179">
        <f t="shared" si="595"/>
        <v>0</v>
      </c>
      <c r="HN218" s="180">
        <f t="shared" si="595"/>
        <v>0</v>
      </c>
      <c r="HO218" s="198">
        <f t="shared" si="595"/>
        <v>0</v>
      </c>
      <c r="HP218" s="172">
        <f t="shared" si="595"/>
        <v>0</v>
      </c>
      <c r="HQ218" s="179">
        <f t="shared" si="595"/>
        <v>0</v>
      </c>
      <c r="HR218" s="179">
        <f t="shared" si="595"/>
        <v>0</v>
      </c>
      <c r="HS218" s="179">
        <f t="shared" si="595"/>
        <v>0</v>
      </c>
      <c r="HT218" s="180">
        <f t="shared" si="595"/>
        <v>0</v>
      </c>
      <c r="HU218" s="198">
        <f t="shared" si="595"/>
        <v>0</v>
      </c>
      <c r="HV218" s="172">
        <f t="shared" si="595"/>
        <v>0</v>
      </c>
      <c r="HW218" s="179">
        <f t="shared" si="595"/>
        <v>0</v>
      </c>
      <c r="HX218" s="179">
        <f t="shared" si="595"/>
        <v>0</v>
      </c>
      <c r="HY218" s="198">
        <f t="shared" si="595"/>
        <v>0</v>
      </c>
      <c r="HZ218" s="172">
        <f t="shared" si="595"/>
        <v>0</v>
      </c>
      <c r="IA218" s="179">
        <f>SUM(IA219:IA220)</f>
        <v>0</v>
      </c>
      <c r="IB218" s="180">
        <f>SUM(IB219:IB220)</f>
        <v>0</v>
      </c>
      <c r="IC218" s="198">
        <f t="shared" si="595"/>
        <v>0</v>
      </c>
      <c r="ID218" s="234">
        <f t="shared" si="595"/>
        <v>0</v>
      </c>
      <c r="IE218" s="172">
        <f t="shared" si="595"/>
        <v>0</v>
      </c>
      <c r="IF218" s="180">
        <f t="shared" si="595"/>
        <v>0</v>
      </c>
      <c r="IG218" s="198">
        <f t="shared" si="595"/>
        <v>0</v>
      </c>
      <c r="IH218" s="172">
        <f t="shared" si="595"/>
        <v>0</v>
      </c>
      <c r="II218" s="179">
        <f t="shared" si="595"/>
        <v>0</v>
      </c>
      <c r="IJ218" s="179">
        <f t="shared" si="595"/>
        <v>0</v>
      </c>
      <c r="IK218" s="179">
        <f t="shared" si="595"/>
        <v>0</v>
      </c>
      <c r="IL218" s="180">
        <f t="shared" si="595"/>
        <v>0</v>
      </c>
      <c r="IM218" s="198">
        <f t="shared" si="595"/>
        <v>0</v>
      </c>
      <c r="IN218" s="172">
        <f t="shared" si="595"/>
        <v>0</v>
      </c>
      <c r="IO218" s="179">
        <f t="shared" si="595"/>
        <v>0</v>
      </c>
      <c r="IP218" s="180">
        <f t="shared" si="595"/>
        <v>0</v>
      </c>
      <c r="IQ218" s="198">
        <f t="shared" si="595"/>
        <v>0</v>
      </c>
      <c r="IR218" s="172">
        <f t="shared" si="595"/>
        <v>0</v>
      </c>
      <c r="IS218" s="179">
        <f t="shared" si="595"/>
        <v>0</v>
      </c>
      <c r="IT218" s="179">
        <f t="shared" si="595"/>
        <v>0</v>
      </c>
      <c r="IU218" s="179">
        <f t="shared" si="595"/>
        <v>0</v>
      </c>
      <c r="IV218" s="180">
        <f t="shared" si="595"/>
        <v>0</v>
      </c>
      <c r="IW218" s="198">
        <f t="shared" si="595"/>
        <v>0</v>
      </c>
      <c r="IX218" s="172">
        <f t="shared" si="595"/>
        <v>0</v>
      </c>
      <c r="IY218" s="179">
        <f t="shared" si="595"/>
        <v>4863</v>
      </c>
      <c r="IZ218" s="179">
        <f t="shared" si="595"/>
        <v>34883.69</v>
      </c>
      <c r="JA218" s="179">
        <f t="shared" si="595"/>
        <v>0</v>
      </c>
      <c r="JB218" s="180">
        <f t="shared" si="595"/>
        <v>0</v>
      </c>
      <c r="JC218" s="198">
        <f t="shared" si="595"/>
        <v>39746.69</v>
      </c>
      <c r="JD218" s="234">
        <f t="shared" si="595"/>
        <v>39746.69</v>
      </c>
      <c r="JE218" s="172">
        <f t="shared" si="595"/>
        <v>0</v>
      </c>
      <c r="JF218" s="179">
        <f t="shared" si="595"/>
        <v>0</v>
      </c>
      <c r="JG218" s="179">
        <f t="shared" si="595"/>
        <v>0</v>
      </c>
      <c r="JH218" s="179">
        <f t="shared" si="595"/>
        <v>0</v>
      </c>
      <c r="JI218" s="180">
        <f t="shared" si="595"/>
        <v>0</v>
      </c>
      <c r="JJ218" s="198">
        <f t="shared" si="595"/>
        <v>0</v>
      </c>
      <c r="JK218" s="431">
        <f t="shared" si="595"/>
        <v>0</v>
      </c>
      <c r="JL218" s="432">
        <f t="shared" si="595"/>
        <v>0</v>
      </c>
      <c r="JM218" s="432">
        <f t="shared" si="595"/>
        <v>0</v>
      </c>
      <c r="JN218" s="432">
        <f t="shared" si="595"/>
        <v>0</v>
      </c>
      <c r="JO218" s="433">
        <f t="shared" si="595"/>
        <v>0</v>
      </c>
      <c r="JP218" s="148">
        <f t="shared" si="595"/>
        <v>0</v>
      </c>
      <c r="JQ218" s="431">
        <f t="shared" si="595"/>
        <v>0</v>
      </c>
      <c r="JR218" s="432">
        <f t="shared" si="595"/>
        <v>0</v>
      </c>
      <c r="JS218" s="432">
        <f t="shared" si="595"/>
        <v>0</v>
      </c>
      <c r="JT218" s="432">
        <f t="shared" si="595"/>
        <v>0</v>
      </c>
      <c r="JU218" s="433">
        <f t="shared" si="595"/>
        <v>0</v>
      </c>
      <c r="JV218" s="148">
        <f t="shared" si="595"/>
        <v>0</v>
      </c>
      <c r="JW218" s="431">
        <f t="shared" si="595"/>
        <v>0</v>
      </c>
      <c r="JX218" s="432">
        <f t="shared" si="595"/>
        <v>0</v>
      </c>
      <c r="JY218" s="432">
        <f t="shared" si="595"/>
        <v>0</v>
      </c>
      <c r="JZ218" s="432">
        <f t="shared" si="595"/>
        <v>0</v>
      </c>
      <c r="KA218" s="432"/>
      <c r="KB218" s="433">
        <f t="shared" si="595"/>
        <v>0</v>
      </c>
      <c r="KC218" s="148">
        <f t="shared" si="595"/>
        <v>0</v>
      </c>
      <c r="KD218" s="148">
        <f t="shared" si="595"/>
        <v>0</v>
      </c>
      <c r="KE218" s="431">
        <f t="shared" si="595"/>
        <v>0</v>
      </c>
      <c r="KF218" s="432">
        <f t="shared" si="595"/>
        <v>0</v>
      </c>
      <c r="KG218" s="432">
        <f t="shared" si="595"/>
        <v>0</v>
      </c>
      <c r="KH218" s="432">
        <f t="shared" si="595"/>
        <v>0</v>
      </c>
      <c r="KI218" s="433">
        <f t="shared" si="595"/>
        <v>0</v>
      </c>
      <c r="KJ218" s="148">
        <f t="shared" si="595"/>
        <v>0</v>
      </c>
      <c r="KK218" s="431">
        <f t="shared" si="595"/>
        <v>0</v>
      </c>
      <c r="KL218" s="432">
        <f t="shared" si="595"/>
        <v>0</v>
      </c>
      <c r="KM218" s="432">
        <f t="shared" si="595"/>
        <v>0</v>
      </c>
      <c r="KN218" s="432">
        <f t="shared" si="595"/>
        <v>0</v>
      </c>
      <c r="KO218" s="433">
        <f t="shared" si="595"/>
        <v>0</v>
      </c>
      <c r="KP218" s="148">
        <f t="shared" si="595"/>
        <v>0</v>
      </c>
      <c r="KQ218" s="431">
        <f t="shared" si="595"/>
        <v>0</v>
      </c>
      <c r="KR218" s="432">
        <f t="shared" si="595"/>
        <v>0</v>
      </c>
      <c r="KS218" s="432">
        <f t="shared" si="595"/>
        <v>0</v>
      </c>
      <c r="KT218" s="432">
        <f t="shared" si="595"/>
        <v>0</v>
      </c>
      <c r="KU218" s="433">
        <f t="shared" si="595"/>
        <v>0</v>
      </c>
      <c r="KV218" s="148">
        <f t="shared" si="595"/>
        <v>0</v>
      </c>
      <c r="KW218" s="431">
        <f t="shared" si="595"/>
        <v>0</v>
      </c>
      <c r="KX218" s="432">
        <f t="shared" ref="KX218:LG218" si="597">SUM(KX219:KX220)</f>
        <v>0</v>
      </c>
      <c r="KY218" s="432">
        <f t="shared" si="597"/>
        <v>0</v>
      </c>
      <c r="KZ218" s="432">
        <f t="shared" si="597"/>
        <v>0</v>
      </c>
      <c r="LA218" s="433">
        <f t="shared" si="597"/>
        <v>0</v>
      </c>
      <c r="LB218" s="148">
        <f t="shared" si="597"/>
        <v>0</v>
      </c>
      <c r="LC218" s="431">
        <f t="shared" si="597"/>
        <v>0</v>
      </c>
      <c r="LD218" s="432">
        <f t="shared" si="597"/>
        <v>0</v>
      </c>
      <c r="LE218" s="433">
        <f t="shared" si="597"/>
        <v>0</v>
      </c>
      <c r="LF218" s="148">
        <f t="shared" si="597"/>
        <v>0</v>
      </c>
      <c r="LG218" s="148">
        <f t="shared" si="597"/>
        <v>0</v>
      </c>
    </row>
    <row r="219" spans="2:322">
      <c r="B219" s="93" t="s">
        <v>102</v>
      </c>
      <c r="C219" s="167"/>
      <c r="D219" s="181">
        <f>SUM(C219:C219)</f>
        <v>0</v>
      </c>
      <c r="E219" s="167"/>
      <c r="F219" s="177"/>
      <c r="G219" s="177"/>
      <c r="H219" s="177"/>
      <c r="I219" s="178"/>
      <c r="J219" s="181">
        <f>SUM(E219:I219)</f>
        <v>0</v>
      </c>
      <c r="K219" s="167"/>
      <c r="L219" s="177"/>
      <c r="M219" s="177"/>
      <c r="N219" s="178"/>
      <c r="O219" s="181"/>
      <c r="P219" s="167"/>
      <c r="Q219" s="177"/>
      <c r="R219" s="177"/>
      <c r="S219" s="177"/>
      <c r="T219" s="178"/>
      <c r="U219" s="181">
        <f>SUM(P219:T219)</f>
        <v>0</v>
      </c>
      <c r="V219" s="167"/>
      <c r="W219" s="177"/>
      <c r="X219" s="177"/>
      <c r="Y219" s="177"/>
      <c r="Z219" s="178"/>
      <c r="AA219" s="181">
        <f>SUM(V219:Z219)</f>
        <v>0</v>
      </c>
      <c r="AB219" s="168">
        <f>AA219+U219+O219+J219+D219</f>
        <v>0</v>
      </c>
      <c r="AC219" s="181"/>
      <c r="AD219" s="238"/>
      <c r="AE219" s="238"/>
      <c r="AF219" s="238"/>
      <c r="AG219" s="239"/>
      <c r="AH219" s="168">
        <f>SUM(AC219:AG219)</f>
        <v>0</v>
      </c>
      <c r="AI219" s="242"/>
      <c r="AJ219" s="224"/>
      <c r="AK219" s="224"/>
      <c r="AL219" s="224"/>
      <c r="AM219" s="243"/>
      <c r="AN219" s="168">
        <f>SUM(AI219:AM219)</f>
        <v>0</v>
      </c>
      <c r="AO219" s="242"/>
      <c r="AP219" s="224"/>
      <c r="AQ219" s="224"/>
      <c r="AR219" s="224"/>
      <c r="AS219" s="243"/>
      <c r="AT219" s="168">
        <f>SUM(AO219:AS219)</f>
        <v>0</v>
      </c>
      <c r="AU219" s="242"/>
      <c r="AV219" s="224"/>
      <c r="AW219" s="224"/>
      <c r="AX219" s="224"/>
      <c r="AY219" s="243"/>
      <c r="AZ219" s="168">
        <f>SUM(AU219:AY219)</f>
        <v>0</v>
      </c>
      <c r="BA219" s="168">
        <f>AZ219+AT219+AN219+AH219</f>
        <v>0</v>
      </c>
      <c r="BB219" s="242"/>
      <c r="BC219" s="224"/>
      <c r="BD219" s="224"/>
      <c r="BE219" s="224"/>
      <c r="BF219" s="243"/>
      <c r="BG219" s="168">
        <f>SUM(BB219:BF219)</f>
        <v>0</v>
      </c>
      <c r="BH219" s="242"/>
      <c r="BI219" s="224"/>
      <c r="BJ219" s="224"/>
      <c r="BK219" s="224"/>
      <c r="BL219" s="243"/>
      <c r="BM219" s="168">
        <f>SUM(BH219:BL219)</f>
        <v>0</v>
      </c>
      <c r="BN219" s="242"/>
      <c r="BO219" s="224"/>
      <c r="BP219" s="224"/>
      <c r="BQ219" s="243"/>
      <c r="BR219" s="168">
        <f>SUM(BN219:BQ219)</f>
        <v>0</v>
      </c>
      <c r="BS219" s="242"/>
      <c r="BT219" s="224"/>
      <c r="BU219" s="224"/>
      <c r="BV219" s="224"/>
      <c r="BW219" s="243"/>
      <c r="BX219" s="168">
        <f>SUM(BS219:BW219)</f>
        <v>0</v>
      </c>
      <c r="BY219" s="242"/>
      <c r="BZ219" s="224"/>
      <c r="CA219" s="168">
        <f>SUM(BY219:BZ219)</f>
        <v>0</v>
      </c>
      <c r="CB219" s="168">
        <f>CA219+BX219+BR219+BM219+BG219</f>
        <v>0</v>
      </c>
      <c r="CC219" s="242"/>
      <c r="CD219" s="224"/>
      <c r="CE219" s="224"/>
      <c r="CF219" s="168">
        <f>SUM(CC219:CE219)</f>
        <v>0</v>
      </c>
      <c r="CG219" s="242"/>
      <c r="CH219" s="224"/>
      <c r="CI219" s="224"/>
      <c r="CJ219" s="243"/>
      <c r="CK219" s="181">
        <f>SUM(CG219:CJ219)</f>
        <v>0</v>
      </c>
      <c r="CL219" s="242"/>
      <c r="CM219" s="224"/>
      <c r="CN219" s="224"/>
      <c r="CO219" s="224"/>
      <c r="CP219" s="243"/>
      <c r="CQ219" s="168">
        <f>SUM(CL219:CP219)</f>
        <v>0</v>
      </c>
      <c r="CR219" s="242"/>
      <c r="CS219" s="224"/>
      <c r="CT219" s="224"/>
      <c r="CU219" s="224"/>
      <c r="CV219" s="243"/>
      <c r="CW219" s="168">
        <f>SUM(CR219:CV219)</f>
        <v>0</v>
      </c>
      <c r="CX219" s="242"/>
      <c r="CY219" s="224"/>
      <c r="CZ219" s="224"/>
      <c r="DA219" s="243"/>
      <c r="DB219" s="168">
        <f>SUM(CX219:DA219)</f>
        <v>0</v>
      </c>
      <c r="DC219" s="168">
        <f>DB219+CW219+CQ219+CK219+CF219</f>
        <v>0</v>
      </c>
      <c r="DD219" s="242"/>
      <c r="DE219" s="224"/>
      <c r="DF219" s="224"/>
      <c r="DG219" s="224"/>
      <c r="DH219" s="224"/>
      <c r="DI219" s="168">
        <f>SUM(DD219:DH219)</f>
        <v>0</v>
      </c>
      <c r="DJ219" s="242"/>
      <c r="DK219" s="224"/>
      <c r="DL219" s="224">
        <v>46463</v>
      </c>
      <c r="DM219" s="224"/>
      <c r="DN219" s="243"/>
      <c r="DO219" s="168">
        <f>SUM(DJ219:DN219)</f>
        <v>46463</v>
      </c>
      <c r="DP219" s="242"/>
      <c r="DQ219" s="224"/>
      <c r="DR219" s="224"/>
      <c r="DS219" s="224"/>
      <c r="DT219" s="243"/>
      <c r="DU219" s="168">
        <f>SUM(DP219:DT219)</f>
        <v>0</v>
      </c>
      <c r="DV219" s="242"/>
      <c r="DW219" s="224"/>
      <c r="DX219" s="224"/>
      <c r="DY219" s="224"/>
      <c r="DZ219" s="243"/>
      <c r="EA219" s="168">
        <f>SUM(DV219:DZ219)</f>
        <v>0</v>
      </c>
      <c r="EB219" s="168">
        <f>DI219+DO219+DU219+EA219</f>
        <v>46463</v>
      </c>
      <c r="EC219" s="242"/>
      <c r="ED219" s="224"/>
      <c r="EE219" s="224"/>
      <c r="EF219" s="224"/>
      <c r="EG219" s="243"/>
      <c r="EH219" s="168">
        <f>SUM(EC219:EG219)</f>
        <v>0</v>
      </c>
      <c r="EI219" s="242"/>
      <c r="EJ219" s="224"/>
      <c r="EK219" s="224"/>
      <c r="EL219" s="224"/>
      <c r="EM219" s="243"/>
      <c r="EN219" s="168">
        <f>SUM(EI219:EM219)</f>
        <v>0</v>
      </c>
      <c r="EO219" s="242"/>
      <c r="EP219" s="224"/>
      <c r="EQ219" s="224"/>
      <c r="ER219" s="224"/>
      <c r="ES219" s="243"/>
      <c r="ET219" s="168">
        <f>SUM(EO219:ES219)</f>
        <v>0</v>
      </c>
      <c r="EU219" s="242"/>
      <c r="EV219" s="224"/>
      <c r="EW219" s="224"/>
      <c r="EX219" s="224"/>
      <c r="EY219" s="224"/>
      <c r="EZ219" s="224"/>
      <c r="FA219" s="243"/>
      <c r="FB219" s="168">
        <f>SUM(EU219:FA219)</f>
        <v>0</v>
      </c>
      <c r="FC219" s="168">
        <f>FB219+ET219+EN219+EH219</f>
        <v>0</v>
      </c>
      <c r="FD219" s="242"/>
      <c r="FE219" s="224"/>
      <c r="FF219" s="243"/>
      <c r="FG219" s="168">
        <f>SUM(FD219:FF219)</f>
        <v>0</v>
      </c>
      <c r="FH219" s="242"/>
      <c r="FI219" s="224">
        <f>161440.25+45000</f>
        <v>206440.25</v>
      </c>
      <c r="FJ219" s="224"/>
      <c r="FK219" s="224"/>
      <c r="FL219" s="243"/>
      <c r="FM219" s="168">
        <f>SUM(FH219:FL219)</f>
        <v>206440.25</v>
      </c>
      <c r="FN219" s="242"/>
      <c r="FO219" s="224"/>
      <c r="FP219" s="224"/>
      <c r="FQ219" s="224"/>
      <c r="FR219" s="168">
        <f>SUM(FN219:FQ219)</f>
        <v>0</v>
      </c>
      <c r="FS219" s="242"/>
      <c r="FT219" s="224">
        <v>23400</v>
      </c>
      <c r="FU219" s="224"/>
      <c r="FV219" s="224"/>
      <c r="FW219" s="243"/>
      <c r="FX219" s="168">
        <f>SUM(FS219:FW219)</f>
        <v>23400</v>
      </c>
      <c r="FY219" s="242"/>
      <c r="FZ219" s="224"/>
      <c r="GA219" s="224"/>
      <c r="GB219" s="224"/>
      <c r="GC219" s="243"/>
      <c r="GD219" s="168">
        <f>SUM(FY219:GC219)</f>
        <v>0</v>
      </c>
      <c r="GE219" s="168">
        <f>FG219+FM219+FR219+FX219+GD219</f>
        <v>229840.25</v>
      </c>
      <c r="GF219" s="242"/>
      <c r="GG219" s="224"/>
      <c r="GH219" s="224"/>
      <c r="GI219" s="224"/>
      <c r="GJ219" s="224"/>
      <c r="GK219" s="168">
        <f>SUM(GF219:GJ219)</f>
        <v>0</v>
      </c>
      <c r="GL219" s="242"/>
      <c r="GM219" s="224"/>
      <c r="GN219" s="224"/>
      <c r="GO219" s="243"/>
      <c r="GP219" s="168">
        <f>SUM(GL219:GO219)</f>
        <v>0</v>
      </c>
      <c r="GQ219" s="242"/>
      <c r="GR219" s="224"/>
      <c r="GS219" s="224"/>
      <c r="GT219" s="224"/>
      <c r="GU219" s="243"/>
      <c r="GV219" s="168">
        <v>0</v>
      </c>
      <c r="GW219" s="242"/>
      <c r="GX219" s="224"/>
      <c r="GY219" s="224"/>
      <c r="GZ219" s="224"/>
      <c r="HA219" s="224"/>
      <c r="HB219" s="243"/>
      <c r="HC219" s="168">
        <f>SUM(GW219:HB219)</f>
        <v>0</v>
      </c>
      <c r="HD219" s="168">
        <f>GK219+GP219+GV219+HC219</f>
        <v>0</v>
      </c>
      <c r="HE219" s="242"/>
      <c r="HF219" s="224"/>
      <c r="HG219" s="224"/>
      <c r="HH219" s="224"/>
      <c r="HI219" s="168">
        <f>SUM(HE219:HH219)</f>
        <v>0</v>
      </c>
      <c r="HJ219" s="242"/>
      <c r="HK219" s="224"/>
      <c r="HL219" s="224"/>
      <c r="HM219" s="224"/>
      <c r="HN219" s="243"/>
      <c r="HO219" s="168">
        <f>SUM(HJ219:HN219)</f>
        <v>0</v>
      </c>
      <c r="HP219" s="242"/>
      <c r="HQ219" s="224"/>
      <c r="HR219" s="224"/>
      <c r="HS219" s="224"/>
      <c r="HT219" s="243"/>
      <c r="HU219" s="168">
        <f>SUM(HP219:HT219)</f>
        <v>0</v>
      </c>
      <c r="HV219" s="242"/>
      <c r="HW219" s="224"/>
      <c r="HX219" s="224"/>
      <c r="HY219" s="168">
        <f>SUM(HV219:HX219)</f>
        <v>0</v>
      </c>
      <c r="HZ219" s="242"/>
      <c r="IA219" s="224"/>
      <c r="IB219" s="243"/>
      <c r="IC219" s="168">
        <f>SUM(HZ219:IB219)</f>
        <v>0</v>
      </c>
      <c r="ID219" s="168">
        <f>HI219+HO219+HU219+HY219+IC219</f>
        <v>0</v>
      </c>
      <c r="IE219" s="242"/>
      <c r="IF219" s="243"/>
      <c r="IG219" s="168">
        <f>SUM(IE219:IF219)</f>
        <v>0</v>
      </c>
      <c r="IH219" s="242"/>
      <c r="II219" s="224"/>
      <c r="IJ219" s="224"/>
      <c r="IK219" s="224"/>
      <c r="IL219" s="243"/>
      <c r="IM219" s="168">
        <f>SUM(IH219:IL219)</f>
        <v>0</v>
      </c>
      <c r="IN219" s="181"/>
      <c r="IO219" s="238"/>
      <c r="IP219" s="239"/>
      <c r="IQ219" s="168">
        <f>SUM(IN219:IP219)</f>
        <v>0</v>
      </c>
      <c r="IR219" s="181"/>
      <c r="IS219" s="238"/>
      <c r="IT219" s="238"/>
      <c r="IU219" s="238"/>
      <c r="IV219" s="239"/>
      <c r="IW219" s="168">
        <f>SUM(IR219:IV219)</f>
        <v>0</v>
      </c>
      <c r="IX219" s="242"/>
      <c r="IY219" s="224">
        <v>4863</v>
      </c>
      <c r="IZ219" s="224">
        <v>34883.69</v>
      </c>
      <c r="JA219" s="224"/>
      <c r="JB219" s="243"/>
      <c r="JC219" s="168">
        <f>SUM(IX219:JB219)</f>
        <v>39746.69</v>
      </c>
      <c r="JD219" s="168">
        <f>JC219+IW219+IQ219+IM219</f>
        <v>39746.69</v>
      </c>
      <c r="JE219" s="242"/>
      <c r="JF219" s="224"/>
      <c r="JG219" s="224"/>
      <c r="JH219" s="224"/>
      <c r="JI219" s="243"/>
      <c r="JJ219" s="168">
        <f>SUM(JE219:JI219)</f>
        <v>0</v>
      </c>
      <c r="JK219" s="181"/>
      <c r="JL219" s="238"/>
      <c r="JM219" s="238"/>
      <c r="JN219" s="238"/>
      <c r="JO219" s="239"/>
      <c r="JP219" s="168"/>
      <c r="JQ219" s="242"/>
      <c r="JR219" s="224"/>
      <c r="JS219" s="224"/>
      <c r="JT219" s="224"/>
      <c r="JU219" s="243"/>
      <c r="JV219" s="168">
        <f>SUM(JQ219:JU219)</f>
        <v>0</v>
      </c>
      <c r="JW219" s="242"/>
      <c r="JX219" s="224"/>
      <c r="JY219" s="224"/>
      <c r="JZ219" s="224"/>
      <c r="KA219" s="224"/>
      <c r="KB219" s="243"/>
      <c r="KC219" s="168">
        <f>SUM(JW219:KB219)</f>
        <v>0</v>
      </c>
      <c r="KD219" s="168">
        <f>JJ219+JP219+JV219+KC219</f>
        <v>0</v>
      </c>
      <c r="KE219" s="242"/>
      <c r="KF219" s="224"/>
      <c r="KG219" s="224"/>
      <c r="KH219" s="224"/>
      <c r="KI219" s="243"/>
      <c r="KJ219" s="168">
        <f>SUM(KE219:KI219)</f>
        <v>0</v>
      </c>
      <c r="KK219" s="181"/>
      <c r="KL219" s="238"/>
      <c r="KM219" s="238"/>
      <c r="KN219" s="238"/>
      <c r="KO219" s="239"/>
      <c r="KP219" s="168">
        <f>SUM(KK219:KO219)</f>
        <v>0</v>
      </c>
      <c r="KQ219" s="242"/>
      <c r="KR219" s="224"/>
      <c r="KS219" s="224"/>
      <c r="KT219" s="224"/>
      <c r="KU219" s="243"/>
      <c r="KV219" s="168">
        <f>SUM(KQ219:KU219)</f>
        <v>0</v>
      </c>
      <c r="KW219" s="181"/>
      <c r="KX219" s="238"/>
      <c r="KY219" s="238"/>
      <c r="KZ219" s="238"/>
      <c r="LA219" s="239"/>
      <c r="LB219" s="168">
        <f>SUM(KW219:LA219)</f>
        <v>0</v>
      </c>
      <c r="LC219" s="181"/>
      <c r="LD219" s="238"/>
      <c r="LE219" s="239"/>
      <c r="LF219" s="168"/>
      <c r="LG219" s="168"/>
    </row>
    <row r="220" spans="2:322">
      <c r="B220" s="93"/>
      <c r="C220" s="167"/>
      <c r="D220" s="181"/>
      <c r="E220" s="167"/>
      <c r="F220" s="177"/>
      <c r="G220" s="177"/>
      <c r="H220" s="177"/>
      <c r="I220" s="178"/>
      <c r="J220" s="181"/>
      <c r="K220" s="167"/>
      <c r="L220" s="177"/>
      <c r="M220" s="177"/>
      <c r="N220" s="178"/>
      <c r="O220" s="181"/>
      <c r="P220" s="167"/>
      <c r="Q220" s="177"/>
      <c r="R220" s="177"/>
      <c r="S220" s="177"/>
      <c r="T220" s="178"/>
      <c r="U220" s="181"/>
      <c r="V220" s="167"/>
      <c r="W220" s="177"/>
      <c r="X220" s="177"/>
      <c r="Y220" s="177"/>
      <c r="Z220" s="178"/>
      <c r="AA220" s="181"/>
      <c r="AB220" s="146"/>
      <c r="AC220" s="167"/>
      <c r="AD220" s="177"/>
      <c r="AE220" s="177"/>
      <c r="AF220" s="177"/>
      <c r="AG220" s="178"/>
      <c r="AH220" s="146"/>
      <c r="AI220" s="167"/>
      <c r="AJ220" s="177"/>
      <c r="AK220" s="177"/>
      <c r="AL220" s="177"/>
      <c r="AM220" s="178"/>
      <c r="AN220" s="146"/>
      <c r="AO220" s="242"/>
      <c r="AP220" s="224"/>
      <c r="AQ220" s="224"/>
      <c r="AR220" s="224"/>
      <c r="AS220" s="243"/>
      <c r="AT220" s="146"/>
      <c r="AU220" s="167"/>
      <c r="AV220" s="177"/>
      <c r="AW220" s="177"/>
      <c r="AX220" s="177"/>
      <c r="AY220" s="178"/>
      <c r="AZ220" s="146"/>
      <c r="BA220" s="168"/>
      <c r="BB220" s="181"/>
      <c r="BC220" s="238"/>
      <c r="BD220" s="238"/>
      <c r="BE220" s="238"/>
      <c r="BF220" s="239"/>
      <c r="BG220" s="168"/>
      <c r="BH220" s="181"/>
      <c r="BI220" s="238"/>
      <c r="BJ220" s="238"/>
      <c r="BK220" s="238"/>
      <c r="BL220" s="239"/>
      <c r="BM220" s="168"/>
      <c r="BN220" s="242"/>
      <c r="BO220" s="224"/>
      <c r="BP220" s="224"/>
      <c r="BQ220" s="243"/>
      <c r="BR220" s="168"/>
      <c r="BS220" s="242"/>
      <c r="BT220" s="224"/>
      <c r="BU220" s="224"/>
      <c r="BV220" s="224"/>
      <c r="BW220" s="243"/>
      <c r="BX220" s="168"/>
      <c r="BY220" s="242"/>
      <c r="BZ220" s="224"/>
      <c r="CA220" s="168"/>
      <c r="CB220" s="168"/>
      <c r="CC220" s="242"/>
      <c r="CD220" s="224"/>
      <c r="CE220" s="224"/>
      <c r="CF220" s="168"/>
      <c r="CG220" s="242"/>
      <c r="CH220" s="224"/>
      <c r="CI220" s="224"/>
      <c r="CJ220" s="243"/>
      <c r="CK220" s="181"/>
      <c r="CL220" s="242"/>
      <c r="CM220" s="224"/>
      <c r="CN220" s="224"/>
      <c r="CO220" s="224"/>
      <c r="CP220" s="243"/>
      <c r="CQ220" s="168"/>
      <c r="CR220" s="242"/>
      <c r="CS220" s="224"/>
      <c r="CT220" s="224"/>
      <c r="CU220" s="224"/>
      <c r="CV220" s="243"/>
      <c r="CW220" s="168"/>
      <c r="CX220" s="242"/>
      <c r="CY220" s="224"/>
      <c r="CZ220" s="224"/>
      <c r="DA220" s="243"/>
      <c r="DB220" s="168"/>
      <c r="DC220" s="168"/>
      <c r="DD220" s="242"/>
      <c r="DE220" s="224"/>
      <c r="DF220" s="224"/>
      <c r="DG220" s="224"/>
      <c r="DH220" s="224"/>
      <c r="DI220" s="168"/>
      <c r="DJ220" s="242"/>
      <c r="DK220" s="224"/>
      <c r="DL220" s="224"/>
      <c r="DM220" s="224"/>
      <c r="DN220" s="243"/>
      <c r="DO220" s="168"/>
      <c r="DP220" s="242"/>
      <c r="DQ220" s="224"/>
      <c r="DR220" s="224"/>
      <c r="DS220" s="224"/>
      <c r="DT220" s="243"/>
      <c r="DU220" s="168"/>
      <c r="DV220" s="242"/>
      <c r="DW220" s="224"/>
      <c r="DX220" s="224"/>
      <c r="DY220" s="224"/>
      <c r="DZ220" s="243"/>
      <c r="EA220" s="168"/>
      <c r="EB220" s="168"/>
      <c r="EC220" s="242"/>
      <c r="ED220" s="224"/>
      <c r="EE220" s="224"/>
      <c r="EF220" s="224"/>
      <c r="EG220" s="243"/>
      <c r="EH220" s="168"/>
      <c r="EI220" s="242"/>
      <c r="EJ220" s="224"/>
      <c r="EK220" s="224"/>
      <c r="EL220" s="224"/>
      <c r="EM220" s="243"/>
      <c r="EN220" s="168"/>
      <c r="EO220" s="242"/>
      <c r="EP220" s="224"/>
      <c r="EQ220" s="224"/>
      <c r="ER220" s="224"/>
      <c r="ES220" s="243"/>
      <c r="ET220" s="168"/>
      <c r="EU220" s="181"/>
      <c r="EV220" s="238"/>
      <c r="EW220" s="238"/>
      <c r="EX220" s="238"/>
      <c r="EY220" s="238"/>
      <c r="EZ220" s="238"/>
      <c r="FA220" s="239"/>
      <c r="FB220" s="168"/>
      <c r="FC220" s="168"/>
      <c r="FD220" s="181"/>
      <c r="FE220" s="238"/>
      <c r="FF220" s="239"/>
      <c r="FG220" s="168"/>
      <c r="FH220" s="181"/>
      <c r="FI220" s="238"/>
      <c r="FJ220" s="238"/>
      <c r="FK220" s="238"/>
      <c r="FL220" s="239"/>
      <c r="FM220" s="168"/>
      <c r="FN220" s="242"/>
      <c r="FO220" s="224"/>
      <c r="FP220" s="224"/>
      <c r="FQ220" s="224"/>
      <c r="FR220" s="168"/>
      <c r="FS220" s="181"/>
      <c r="FT220" s="238"/>
      <c r="FU220" s="238"/>
      <c r="FV220" s="238"/>
      <c r="FW220" s="239"/>
      <c r="FX220" s="168"/>
      <c r="FY220" s="181"/>
      <c r="FZ220" s="238"/>
      <c r="GA220" s="238"/>
      <c r="GB220" s="238"/>
      <c r="GC220" s="239"/>
      <c r="GD220" s="168"/>
      <c r="GE220" s="168"/>
      <c r="GF220" s="181"/>
      <c r="GG220" s="238"/>
      <c r="GH220" s="238"/>
      <c r="GI220" s="238"/>
      <c r="GJ220" s="238"/>
      <c r="GK220" s="168"/>
      <c r="GL220" s="181"/>
      <c r="GM220" s="238"/>
      <c r="GN220" s="238"/>
      <c r="GO220" s="239"/>
      <c r="GP220" s="168"/>
      <c r="GQ220" s="181"/>
      <c r="GR220" s="238"/>
      <c r="GS220" s="238"/>
      <c r="GT220" s="238"/>
      <c r="GU220" s="239"/>
      <c r="GV220" s="168"/>
      <c r="GW220" s="242"/>
      <c r="GX220" s="224"/>
      <c r="GY220" s="224"/>
      <c r="GZ220" s="224"/>
      <c r="HA220" s="224"/>
      <c r="HB220" s="243"/>
      <c r="HC220" s="168"/>
      <c r="HD220" s="168"/>
      <c r="HE220" s="181"/>
      <c r="HF220" s="238"/>
      <c r="HG220" s="238"/>
      <c r="HH220" s="238"/>
      <c r="HI220" s="168"/>
      <c r="HJ220" s="242"/>
      <c r="HK220" s="224"/>
      <c r="HL220" s="224"/>
      <c r="HM220" s="224"/>
      <c r="HN220" s="243"/>
      <c r="HO220" s="168"/>
      <c r="HP220" s="242"/>
      <c r="HQ220" s="224"/>
      <c r="HR220" s="224"/>
      <c r="HS220" s="224"/>
      <c r="HT220" s="243"/>
      <c r="HU220" s="168"/>
      <c r="HV220" s="181"/>
      <c r="HW220" s="238"/>
      <c r="HX220" s="238"/>
      <c r="HY220" s="168"/>
      <c r="HZ220" s="181"/>
      <c r="IA220" s="238"/>
      <c r="IB220" s="239"/>
      <c r="IC220" s="168"/>
      <c r="ID220" s="168"/>
      <c r="IE220" s="242"/>
      <c r="IF220" s="243"/>
      <c r="IG220" s="168"/>
      <c r="IH220" s="181"/>
      <c r="II220" s="238"/>
      <c r="IJ220" s="238"/>
      <c r="IK220" s="238"/>
      <c r="IL220" s="239"/>
      <c r="IM220" s="168"/>
      <c r="IN220" s="181"/>
      <c r="IO220" s="238"/>
      <c r="IP220" s="239"/>
      <c r="IQ220" s="168"/>
      <c r="IR220" s="181"/>
      <c r="IS220" s="238"/>
      <c r="IT220" s="238"/>
      <c r="IU220" s="238"/>
      <c r="IV220" s="239"/>
      <c r="IW220" s="168"/>
      <c r="IX220" s="242"/>
      <c r="IY220" s="224"/>
      <c r="IZ220" s="224"/>
      <c r="JA220" s="224"/>
      <c r="JB220" s="243"/>
      <c r="JC220" s="168"/>
      <c r="JD220" s="168"/>
      <c r="JE220" s="181"/>
      <c r="JF220" s="238"/>
      <c r="JG220" s="238"/>
      <c r="JH220" s="238"/>
      <c r="JI220" s="239"/>
      <c r="JJ220" s="168"/>
      <c r="JK220" s="181"/>
      <c r="JL220" s="238"/>
      <c r="JM220" s="238"/>
      <c r="JN220" s="238"/>
      <c r="JO220" s="239"/>
      <c r="JP220" s="168"/>
      <c r="JQ220" s="181"/>
      <c r="JR220" s="238"/>
      <c r="JS220" s="238"/>
      <c r="JT220" s="238"/>
      <c r="JU220" s="239"/>
      <c r="JV220" s="168"/>
      <c r="JW220" s="181"/>
      <c r="JX220" s="238"/>
      <c r="JY220" s="238"/>
      <c r="JZ220" s="238"/>
      <c r="KA220" s="238"/>
      <c r="KB220" s="239"/>
      <c r="KC220" s="168"/>
      <c r="KD220" s="168"/>
      <c r="KE220" s="242"/>
      <c r="KF220" s="224"/>
      <c r="KG220" s="224"/>
      <c r="KH220" s="224"/>
      <c r="KI220" s="243"/>
      <c r="KJ220" s="168"/>
      <c r="KK220" s="181"/>
      <c r="KL220" s="238"/>
      <c r="KM220" s="238"/>
      <c r="KN220" s="238"/>
      <c r="KO220" s="239"/>
      <c r="KP220" s="168"/>
      <c r="KQ220" s="242"/>
      <c r="KR220" s="224"/>
      <c r="KS220" s="224"/>
      <c r="KT220" s="224"/>
      <c r="KU220" s="243"/>
      <c r="KV220" s="168"/>
      <c r="KW220" s="181"/>
      <c r="KX220" s="238"/>
      <c r="KY220" s="238"/>
      <c r="KZ220" s="238"/>
      <c r="LA220" s="239"/>
      <c r="LB220" s="168"/>
      <c r="LC220" s="181"/>
      <c r="LD220" s="238"/>
      <c r="LE220" s="239"/>
      <c r="LF220" s="168"/>
      <c r="LG220" s="168"/>
    </row>
    <row r="221" spans="2:322" ht="15.75" thickBot="1">
      <c r="B221" s="95" t="s">
        <v>96</v>
      </c>
      <c r="C221" s="173">
        <f>C218-C212</f>
        <v>0</v>
      </c>
      <c r="D221" s="173">
        <f t="shared" ref="D221:AA221" si="598">D218-D212</f>
        <v>0</v>
      </c>
      <c r="E221" s="173">
        <f t="shared" si="598"/>
        <v>0</v>
      </c>
      <c r="F221" s="173">
        <f t="shared" si="598"/>
        <v>0</v>
      </c>
      <c r="G221" s="173">
        <f t="shared" si="598"/>
        <v>0</v>
      </c>
      <c r="H221" s="173">
        <f t="shared" si="598"/>
        <v>0</v>
      </c>
      <c r="I221" s="173">
        <f t="shared" si="598"/>
        <v>0</v>
      </c>
      <c r="J221" s="173">
        <f t="shared" si="598"/>
        <v>0</v>
      </c>
      <c r="K221" s="173">
        <f t="shared" si="598"/>
        <v>0</v>
      </c>
      <c r="L221" s="173">
        <f t="shared" si="598"/>
        <v>0</v>
      </c>
      <c r="M221" s="173">
        <f t="shared" si="598"/>
        <v>-6.34</v>
      </c>
      <c r="N221" s="173">
        <f t="shared" si="598"/>
        <v>0</v>
      </c>
      <c r="O221" s="173">
        <f t="shared" si="598"/>
        <v>-6.34</v>
      </c>
      <c r="P221" s="173">
        <f t="shared" si="598"/>
        <v>0</v>
      </c>
      <c r="Q221" s="173">
        <f t="shared" si="598"/>
        <v>0</v>
      </c>
      <c r="R221" s="173">
        <f t="shared" si="598"/>
        <v>0</v>
      </c>
      <c r="S221" s="173">
        <f t="shared" si="598"/>
        <v>0</v>
      </c>
      <c r="T221" s="173">
        <f t="shared" si="598"/>
        <v>0</v>
      </c>
      <c r="U221" s="173">
        <f t="shared" si="598"/>
        <v>0</v>
      </c>
      <c r="V221" s="173">
        <f t="shared" si="598"/>
        <v>0</v>
      </c>
      <c r="W221" s="173">
        <f t="shared" si="598"/>
        <v>0</v>
      </c>
      <c r="X221" s="173">
        <f t="shared" si="598"/>
        <v>-332.76</v>
      </c>
      <c r="Y221" s="173">
        <f t="shared" si="598"/>
        <v>0</v>
      </c>
      <c r="Z221" s="173">
        <f t="shared" si="598"/>
        <v>0</v>
      </c>
      <c r="AA221" s="173">
        <f t="shared" si="598"/>
        <v>-332.76</v>
      </c>
      <c r="AB221" s="235">
        <f t="shared" ref="AB221:LG221" si="599">AB218-AB212</f>
        <v>-339.09999999999997</v>
      </c>
      <c r="AC221" s="173">
        <f t="shared" si="599"/>
        <v>0</v>
      </c>
      <c r="AD221" s="241">
        <f t="shared" si="599"/>
        <v>0</v>
      </c>
      <c r="AE221" s="241">
        <f t="shared" si="599"/>
        <v>0</v>
      </c>
      <c r="AF221" s="241">
        <f t="shared" si="599"/>
        <v>0</v>
      </c>
      <c r="AG221" s="497">
        <f t="shared" si="599"/>
        <v>0</v>
      </c>
      <c r="AH221" s="199">
        <f t="shared" si="599"/>
        <v>0</v>
      </c>
      <c r="AI221" s="173">
        <f t="shared" si="599"/>
        <v>-15</v>
      </c>
      <c r="AJ221" s="241">
        <f t="shared" si="599"/>
        <v>0</v>
      </c>
      <c r="AK221" s="241">
        <f t="shared" si="599"/>
        <v>0</v>
      </c>
      <c r="AL221" s="241">
        <f t="shared" si="599"/>
        <v>0</v>
      </c>
      <c r="AM221" s="497">
        <f t="shared" si="599"/>
        <v>-1900.3</v>
      </c>
      <c r="AN221" s="199">
        <f t="shared" si="599"/>
        <v>-1915.3</v>
      </c>
      <c r="AO221" s="173">
        <f t="shared" si="599"/>
        <v>0</v>
      </c>
      <c r="AP221" s="241">
        <f t="shared" si="599"/>
        <v>0</v>
      </c>
      <c r="AQ221" s="241">
        <f t="shared" si="599"/>
        <v>0</v>
      </c>
      <c r="AR221" s="241">
        <f t="shared" si="599"/>
        <v>0</v>
      </c>
      <c r="AS221" s="497">
        <f t="shared" si="599"/>
        <v>0</v>
      </c>
      <c r="AT221" s="199">
        <f t="shared" si="599"/>
        <v>0</v>
      </c>
      <c r="AU221" s="173">
        <f t="shared" si="599"/>
        <v>-30</v>
      </c>
      <c r="AV221" s="241">
        <f t="shared" si="599"/>
        <v>0</v>
      </c>
      <c r="AW221" s="241">
        <f t="shared" si="599"/>
        <v>0</v>
      </c>
      <c r="AX221" s="241">
        <f t="shared" si="599"/>
        <v>0</v>
      </c>
      <c r="AY221" s="497">
        <f t="shared" si="599"/>
        <v>0</v>
      </c>
      <c r="AZ221" s="199">
        <f t="shared" si="599"/>
        <v>-30</v>
      </c>
      <c r="BA221" s="235">
        <f t="shared" si="599"/>
        <v>-1945.3</v>
      </c>
      <c r="BB221" s="173">
        <f t="shared" si="599"/>
        <v>0</v>
      </c>
      <c r="BC221" s="241">
        <f t="shared" si="599"/>
        <v>0</v>
      </c>
      <c r="BD221" s="241">
        <f t="shared" si="599"/>
        <v>0</v>
      </c>
      <c r="BE221" s="241">
        <f t="shared" si="599"/>
        <v>0</v>
      </c>
      <c r="BF221" s="497">
        <f t="shared" si="599"/>
        <v>-1000</v>
      </c>
      <c r="BG221" s="199">
        <f t="shared" si="599"/>
        <v>-1000</v>
      </c>
      <c r="BH221" s="173">
        <f t="shared" si="599"/>
        <v>0</v>
      </c>
      <c r="BI221" s="241">
        <f t="shared" si="599"/>
        <v>0</v>
      </c>
      <c r="BJ221" s="241">
        <f t="shared" si="599"/>
        <v>0</v>
      </c>
      <c r="BK221" s="241">
        <f t="shared" si="599"/>
        <v>0</v>
      </c>
      <c r="BL221" s="497">
        <f t="shared" si="599"/>
        <v>0</v>
      </c>
      <c r="BM221" s="199">
        <f t="shared" si="599"/>
        <v>0</v>
      </c>
      <c r="BN221" s="173">
        <f t="shared" si="599"/>
        <v>0</v>
      </c>
      <c r="BO221" s="241">
        <f t="shared" si="599"/>
        <v>0</v>
      </c>
      <c r="BP221" s="241">
        <f t="shared" si="599"/>
        <v>0</v>
      </c>
      <c r="BQ221" s="497">
        <f t="shared" si="599"/>
        <v>0</v>
      </c>
      <c r="BR221" s="199">
        <f t="shared" si="599"/>
        <v>0</v>
      </c>
      <c r="BS221" s="173">
        <f t="shared" si="599"/>
        <v>0</v>
      </c>
      <c r="BT221" s="241">
        <f t="shared" si="599"/>
        <v>0</v>
      </c>
      <c r="BU221" s="241">
        <f t="shared" si="599"/>
        <v>0</v>
      </c>
      <c r="BV221" s="241">
        <f t="shared" si="599"/>
        <v>0</v>
      </c>
      <c r="BW221" s="497">
        <f t="shared" si="599"/>
        <v>0</v>
      </c>
      <c r="BX221" s="199">
        <f t="shared" si="599"/>
        <v>0</v>
      </c>
      <c r="BY221" s="173">
        <f>BY218-BY212</f>
        <v>0</v>
      </c>
      <c r="BZ221" s="241">
        <f>BZ218-BZ212</f>
        <v>0</v>
      </c>
      <c r="CA221" s="199">
        <f t="shared" si="599"/>
        <v>0</v>
      </c>
      <c r="CB221" s="235">
        <f t="shared" si="599"/>
        <v>-1000</v>
      </c>
      <c r="CC221" s="173">
        <f t="shared" si="599"/>
        <v>0</v>
      </c>
      <c r="CD221" s="241">
        <f t="shared" si="599"/>
        <v>-6.18</v>
      </c>
      <c r="CE221" s="241">
        <f t="shared" si="599"/>
        <v>0</v>
      </c>
      <c r="CF221" s="199">
        <f t="shared" si="599"/>
        <v>-6.18</v>
      </c>
      <c r="CG221" s="173">
        <f t="shared" si="599"/>
        <v>0</v>
      </c>
      <c r="CH221" s="241">
        <f t="shared" si="599"/>
        <v>0</v>
      </c>
      <c r="CI221" s="241">
        <f t="shared" si="599"/>
        <v>0</v>
      </c>
      <c r="CJ221" s="497">
        <f t="shared" si="599"/>
        <v>0</v>
      </c>
      <c r="CK221" s="173">
        <f t="shared" si="599"/>
        <v>0</v>
      </c>
      <c r="CL221" s="173">
        <f t="shared" si="599"/>
        <v>0</v>
      </c>
      <c r="CM221" s="241">
        <f t="shared" si="599"/>
        <v>0</v>
      </c>
      <c r="CN221" s="241">
        <f t="shared" si="599"/>
        <v>0</v>
      </c>
      <c r="CO221" s="241">
        <f t="shared" si="599"/>
        <v>0</v>
      </c>
      <c r="CP221" s="497">
        <f t="shared" si="599"/>
        <v>0</v>
      </c>
      <c r="CQ221" s="199">
        <f t="shared" si="599"/>
        <v>0</v>
      </c>
      <c r="CR221" s="173">
        <f t="shared" si="599"/>
        <v>0</v>
      </c>
      <c r="CS221" s="241">
        <f t="shared" si="599"/>
        <v>0</v>
      </c>
      <c r="CT221" s="241">
        <f t="shared" si="599"/>
        <v>0</v>
      </c>
      <c r="CU221" s="241">
        <f t="shared" si="599"/>
        <v>0</v>
      </c>
      <c r="CV221" s="497">
        <f t="shared" si="599"/>
        <v>0</v>
      </c>
      <c r="CW221" s="199">
        <f t="shared" si="599"/>
        <v>0</v>
      </c>
      <c r="CX221" s="173">
        <f t="shared" si="599"/>
        <v>0</v>
      </c>
      <c r="CY221" s="241">
        <f>CY218-CY212</f>
        <v>0</v>
      </c>
      <c r="CZ221" s="241">
        <f t="shared" si="599"/>
        <v>0</v>
      </c>
      <c r="DA221" s="497">
        <f t="shared" si="599"/>
        <v>0</v>
      </c>
      <c r="DB221" s="199">
        <f t="shared" si="599"/>
        <v>0</v>
      </c>
      <c r="DC221" s="235">
        <f t="shared" si="599"/>
        <v>-6.18</v>
      </c>
      <c r="DD221" s="173">
        <f t="shared" si="599"/>
        <v>0</v>
      </c>
      <c r="DE221" s="241">
        <f t="shared" si="599"/>
        <v>0</v>
      </c>
      <c r="DF221" s="241">
        <f t="shared" si="599"/>
        <v>0</v>
      </c>
      <c r="DG221" s="241">
        <f t="shared" si="599"/>
        <v>0</v>
      </c>
      <c r="DH221" s="241">
        <f t="shared" si="599"/>
        <v>0</v>
      </c>
      <c r="DI221" s="199">
        <f t="shared" si="599"/>
        <v>0</v>
      </c>
      <c r="DJ221" s="173">
        <f t="shared" si="599"/>
        <v>0</v>
      </c>
      <c r="DK221" s="241">
        <f t="shared" si="599"/>
        <v>0</v>
      </c>
      <c r="DL221" s="241">
        <f t="shared" si="599"/>
        <v>46449</v>
      </c>
      <c r="DM221" s="241">
        <f t="shared" si="599"/>
        <v>-5187.75</v>
      </c>
      <c r="DN221" s="497">
        <f t="shared" si="599"/>
        <v>0</v>
      </c>
      <c r="DO221" s="199">
        <f t="shared" si="599"/>
        <v>41261.25</v>
      </c>
      <c r="DP221" s="173">
        <f t="shared" si="599"/>
        <v>0</v>
      </c>
      <c r="DQ221" s="241">
        <f t="shared" si="599"/>
        <v>0</v>
      </c>
      <c r="DR221" s="241">
        <f t="shared" si="599"/>
        <v>-35000</v>
      </c>
      <c r="DS221" s="241">
        <f t="shared" si="599"/>
        <v>-30</v>
      </c>
      <c r="DT221" s="497">
        <f t="shared" si="599"/>
        <v>0</v>
      </c>
      <c r="DU221" s="199">
        <f t="shared" si="599"/>
        <v>-35030</v>
      </c>
      <c r="DV221" s="173">
        <f t="shared" si="599"/>
        <v>0</v>
      </c>
      <c r="DW221" s="241">
        <f t="shared" si="599"/>
        <v>0</v>
      </c>
      <c r="DX221" s="241">
        <f t="shared" si="599"/>
        <v>0</v>
      </c>
      <c r="DY221" s="241">
        <f t="shared" si="599"/>
        <v>0</v>
      </c>
      <c r="DZ221" s="497">
        <f t="shared" si="599"/>
        <v>5187.75</v>
      </c>
      <c r="EA221" s="199">
        <f t="shared" si="599"/>
        <v>5187.75</v>
      </c>
      <c r="EB221" s="235">
        <f t="shared" si="599"/>
        <v>11419</v>
      </c>
      <c r="EC221" s="173">
        <f t="shared" si="599"/>
        <v>0</v>
      </c>
      <c r="ED221" s="241">
        <f t="shared" si="599"/>
        <v>0</v>
      </c>
      <c r="EE221" s="241">
        <f t="shared" si="599"/>
        <v>0</v>
      </c>
      <c r="EF221" s="241">
        <f t="shared" si="599"/>
        <v>0</v>
      </c>
      <c r="EG221" s="497">
        <f t="shared" si="599"/>
        <v>0</v>
      </c>
      <c r="EH221" s="199">
        <f t="shared" si="599"/>
        <v>0</v>
      </c>
      <c r="EI221" s="173">
        <f t="shared" si="599"/>
        <v>0</v>
      </c>
      <c r="EJ221" s="241">
        <f t="shared" si="599"/>
        <v>0</v>
      </c>
      <c r="EK221" s="241">
        <f t="shared" si="599"/>
        <v>0</v>
      </c>
      <c r="EL221" s="241">
        <f t="shared" si="599"/>
        <v>0</v>
      </c>
      <c r="EM221" s="497">
        <f t="shared" si="599"/>
        <v>0</v>
      </c>
      <c r="EN221" s="199">
        <f t="shared" si="599"/>
        <v>0</v>
      </c>
      <c r="EO221" s="173">
        <f t="shared" si="599"/>
        <v>0</v>
      </c>
      <c r="EP221" s="241">
        <f t="shared" si="599"/>
        <v>0</v>
      </c>
      <c r="EQ221" s="241">
        <f t="shared" si="599"/>
        <v>0</v>
      </c>
      <c r="ER221" s="241">
        <f t="shared" si="599"/>
        <v>0</v>
      </c>
      <c r="ES221" s="497">
        <f t="shared" si="599"/>
        <v>0</v>
      </c>
      <c r="ET221" s="199">
        <f t="shared" si="599"/>
        <v>0</v>
      </c>
      <c r="EU221" s="173">
        <f t="shared" si="599"/>
        <v>0</v>
      </c>
      <c r="EV221" s="241">
        <f t="shared" si="599"/>
        <v>0</v>
      </c>
      <c r="EW221" s="241">
        <f t="shared" si="599"/>
        <v>0</v>
      </c>
      <c r="EX221" s="241">
        <f t="shared" si="599"/>
        <v>0</v>
      </c>
      <c r="EY221" s="241">
        <f t="shared" si="599"/>
        <v>0</v>
      </c>
      <c r="EZ221" s="241">
        <f>EZ218-EZ212</f>
        <v>0</v>
      </c>
      <c r="FA221" s="497">
        <f t="shared" si="599"/>
        <v>0</v>
      </c>
      <c r="FB221" s="199">
        <f t="shared" si="599"/>
        <v>0</v>
      </c>
      <c r="FC221" s="235">
        <f t="shared" si="599"/>
        <v>0</v>
      </c>
      <c r="FD221" s="173">
        <f t="shared" si="599"/>
        <v>0</v>
      </c>
      <c r="FE221" s="241">
        <f t="shared" si="599"/>
        <v>0</v>
      </c>
      <c r="FF221" s="497">
        <f t="shared" si="599"/>
        <v>-6.2</v>
      </c>
      <c r="FG221" s="199">
        <f t="shared" si="599"/>
        <v>-6.2</v>
      </c>
      <c r="FH221" s="173">
        <f t="shared" si="599"/>
        <v>0</v>
      </c>
      <c r="FI221" s="241">
        <f t="shared" si="599"/>
        <v>0</v>
      </c>
      <c r="FJ221" s="241">
        <f t="shared" si="599"/>
        <v>0</v>
      </c>
      <c r="FK221" s="241">
        <f t="shared" si="599"/>
        <v>0</v>
      </c>
      <c r="FL221" s="497">
        <f t="shared" si="599"/>
        <v>0</v>
      </c>
      <c r="FM221" s="199">
        <f t="shared" si="599"/>
        <v>0</v>
      </c>
      <c r="FN221" s="173">
        <f>FN218-FN212</f>
        <v>0</v>
      </c>
      <c r="FO221" s="241">
        <f>FO218-FO212</f>
        <v>0</v>
      </c>
      <c r="FP221" s="241">
        <f>FP218-FP212</f>
        <v>0</v>
      </c>
      <c r="FQ221" s="241">
        <f>FQ218-FQ212</f>
        <v>-1642.8</v>
      </c>
      <c r="FR221" s="199">
        <f t="shared" si="599"/>
        <v>-1642.8</v>
      </c>
      <c r="FS221" s="173">
        <f t="shared" si="599"/>
        <v>0</v>
      </c>
      <c r="FT221" s="241">
        <f t="shared" si="599"/>
        <v>0</v>
      </c>
      <c r="FU221" s="241">
        <f t="shared" si="599"/>
        <v>0</v>
      </c>
      <c r="FV221" s="241">
        <f t="shared" si="599"/>
        <v>0</v>
      </c>
      <c r="FW221" s="497">
        <f t="shared" si="599"/>
        <v>0</v>
      </c>
      <c r="FX221" s="199">
        <f t="shared" si="599"/>
        <v>0</v>
      </c>
      <c r="FY221" s="173">
        <f t="shared" ref="FY221:GD221" si="600">FY218-FY212</f>
        <v>0</v>
      </c>
      <c r="FZ221" s="241">
        <f t="shared" si="600"/>
        <v>-140.41999999999999</v>
      </c>
      <c r="GA221" s="241">
        <f t="shared" si="600"/>
        <v>-920</v>
      </c>
      <c r="GB221" s="241">
        <f t="shared" si="600"/>
        <v>0</v>
      </c>
      <c r="GC221" s="497">
        <f t="shared" si="600"/>
        <v>0</v>
      </c>
      <c r="GD221" s="199">
        <f t="shared" si="600"/>
        <v>-1060.42</v>
      </c>
      <c r="GE221" s="235">
        <f t="shared" si="599"/>
        <v>-2709.4199999999837</v>
      </c>
      <c r="GF221" s="173">
        <f t="shared" si="599"/>
        <v>0</v>
      </c>
      <c r="GG221" s="241">
        <f t="shared" si="599"/>
        <v>0</v>
      </c>
      <c r="GH221" s="241">
        <f t="shared" si="599"/>
        <v>0</v>
      </c>
      <c r="GI221" s="241">
        <f t="shared" si="599"/>
        <v>0</v>
      </c>
      <c r="GJ221" s="241">
        <f t="shared" si="599"/>
        <v>0</v>
      </c>
      <c r="GK221" s="199">
        <f t="shared" si="599"/>
        <v>0</v>
      </c>
      <c r="GL221" s="173">
        <f t="shared" si="599"/>
        <v>0</v>
      </c>
      <c r="GM221" s="241">
        <f t="shared" si="599"/>
        <v>0</v>
      </c>
      <c r="GN221" s="241">
        <f t="shared" si="599"/>
        <v>0</v>
      </c>
      <c r="GO221" s="497">
        <f t="shared" si="599"/>
        <v>-8960</v>
      </c>
      <c r="GP221" s="199">
        <f t="shared" si="599"/>
        <v>-8960</v>
      </c>
      <c r="GQ221" s="173">
        <f t="shared" si="599"/>
        <v>0</v>
      </c>
      <c r="GR221" s="241">
        <f t="shared" si="599"/>
        <v>0</v>
      </c>
      <c r="GS221" s="241">
        <f t="shared" si="599"/>
        <v>0</v>
      </c>
      <c r="GT221" s="241">
        <f t="shared" si="599"/>
        <v>0</v>
      </c>
      <c r="GU221" s="497">
        <f t="shared" si="599"/>
        <v>0</v>
      </c>
      <c r="GV221" s="199">
        <f t="shared" si="599"/>
        <v>0</v>
      </c>
      <c r="GW221" s="173">
        <f t="shared" si="599"/>
        <v>0</v>
      </c>
      <c r="GX221" s="241">
        <f t="shared" si="599"/>
        <v>0</v>
      </c>
      <c r="GY221" s="241">
        <f t="shared" si="599"/>
        <v>0</v>
      </c>
      <c r="GZ221" s="241">
        <f>GZ218-GZ212</f>
        <v>0</v>
      </c>
      <c r="HA221" s="241">
        <f>HA218-HA212</f>
        <v>0</v>
      </c>
      <c r="HB221" s="497">
        <f t="shared" si="599"/>
        <v>0</v>
      </c>
      <c r="HC221" s="199">
        <f t="shared" si="599"/>
        <v>0</v>
      </c>
      <c r="HD221" s="235">
        <f t="shared" si="599"/>
        <v>-8960</v>
      </c>
      <c r="HE221" s="173">
        <f t="shared" si="599"/>
        <v>0</v>
      </c>
      <c r="HF221" s="241">
        <f t="shared" si="599"/>
        <v>0</v>
      </c>
      <c r="HG221" s="241">
        <f t="shared" si="599"/>
        <v>0</v>
      </c>
      <c r="HH221" s="241">
        <f t="shared" si="599"/>
        <v>0</v>
      </c>
      <c r="HI221" s="199">
        <f t="shared" si="599"/>
        <v>0</v>
      </c>
      <c r="HJ221" s="173">
        <f t="shared" si="599"/>
        <v>0</v>
      </c>
      <c r="HK221" s="241">
        <f t="shared" si="599"/>
        <v>0</v>
      </c>
      <c r="HL221" s="241">
        <f t="shared" si="599"/>
        <v>0</v>
      </c>
      <c r="HM221" s="241">
        <f t="shared" si="599"/>
        <v>0</v>
      </c>
      <c r="HN221" s="497">
        <f t="shared" si="599"/>
        <v>0</v>
      </c>
      <c r="HO221" s="199">
        <f t="shared" si="599"/>
        <v>0</v>
      </c>
      <c r="HP221" s="173">
        <f t="shared" si="599"/>
        <v>0</v>
      </c>
      <c r="HQ221" s="241">
        <f t="shared" si="599"/>
        <v>0</v>
      </c>
      <c r="HR221" s="241">
        <f t="shared" si="599"/>
        <v>0</v>
      </c>
      <c r="HS221" s="241">
        <f t="shared" si="599"/>
        <v>0</v>
      </c>
      <c r="HT221" s="497">
        <f t="shared" si="599"/>
        <v>0</v>
      </c>
      <c r="HU221" s="199">
        <f t="shared" si="599"/>
        <v>0</v>
      </c>
      <c r="HV221" s="173">
        <f t="shared" si="599"/>
        <v>0</v>
      </c>
      <c r="HW221" s="241">
        <f t="shared" si="599"/>
        <v>0</v>
      </c>
      <c r="HX221" s="241">
        <f t="shared" si="599"/>
        <v>0</v>
      </c>
      <c r="HY221" s="199">
        <f t="shared" si="599"/>
        <v>0</v>
      </c>
      <c r="HZ221" s="173">
        <f t="shared" si="599"/>
        <v>0</v>
      </c>
      <c r="IA221" s="241">
        <f>IA218-IA212</f>
        <v>0</v>
      </c>
      <c r="IB221" s="497">
        <f>IB218-IB212</f>
        <v>0</v>
      </c>
      <c r="IC221" s="199">
        <f t="shared" si="599"/>
        <v>0</v>
      </c>
      <c r="ID221" s="235">
        <f t="shared" si="599"/>
        <v>0</v>
      </c>
      <c r="IE221" s="173">
        <f t="shared" si="599"/>
        <v>0</v>
      </c>
      <c r="IF221" s="497">
        <f t="shared" si="599"/>
        <v>0</v>
      </c>
      <c r="IG221" s="199">
        <f t="shared" si="599"/>
        <v>0</v>
      </c>
      <c r="IH221" s="173">
        <f t="shared" si="599"/>
        <v>0</v>
      </c>
      <c r="II221" s="241">
        <f t="shared" si="599"/>
        <v>0</v>
      </c>
      <c r="IJ221" s="241">
        <f t="shared" si="599"/>
        <v>0</v>
      </c>
      <c r="IK221" s="241">
        <f t="shared" si="599"/>
        <v>0</v>
      </c>
      <c r="IL221" s="497">
        <f t="shared" si="599"/>
        <v>0</v>
      </c>
      <c r="IM221" s="199">
        <f t="shared" si="599"/>
        <v>0</v>
      </c>
      <c r="IN221" s="173">
        <f t="shared" si="599"/>
        <v>0</v>
      </c>
      <c r="IO221" s="241">
        <f t="shared" si="599"/>
        <v>0</v>
      </c>
      <c r="IP221" s="497">
        <f t="shared" si="599"/>
        <v>0</v>
      </c>
      <c r="IQ221" s="199">
        <f t="shared" si="599"/>
        <v>0</v>
      </c>
      <c r="IR221" s="173">
        <f t="shared" si="599"/>
        <v>0</v>
      </c>
      <c r="IS221" s="241">
        <f t="shared" si="599"/>
        <v>0</v>
      </c>
      <c r="IT221" s="241">
        <f t="shared" si="599"/>
        <v>0</v>
      </c>
      <c r="IU221" s="241">
        <f t="shared" si="599"/>
        <v>0</v>
      </c>
      <c r="IV221" s="497">
        <f t="shared" si="599"/>
        <v>0</v>
      </c>
      <c r="IW221" s="199">
        <f t="shared" si="599"/>
        <v>0</v>
      </c>
      <c r="IX221" s="173">
        <f t="shared" si="599"/>
        <v>0</v>
      </c>
      <c r="IY221" s="241">
        <f t="shared" si="599"/>
        <v>4863</v>
      </c>
      <c r="IZ221" s="241">
        <f t="shared" si="599"/>
        <v>0</v>
      </c>
      <c r="JA221" s="241">
        <f t="shared" si="599"/>
        <v>0</v>
      </c>
      <c r="JB221" s="497">
        <f t="shared" si="599"/>
        <v>0</v>
      </c>
      <c r="JC221" s="199">
        <f t="shared" si="599"/>
        <v>4863</v>
      </c>
      <c r="JD221" s="235">
        <f t="shared" si="599"/>
        <v>4863</v>
      </c>
      <c r="JE221" s="173">
        <f t="shared" si="599"/>
        <v>0</v>
      </c>
      <c r="JF221" s="241">
        <f t="shared" si="599"/>
        <v>0</v>
      </c>
      <c r="JG221" s="241">
        <f t="shared" si="599"/>
        <v>-12</v>
      </c>
      <c r="JH221" s="241">
        <f t="shared" si="599"/>
        <v>0</v>
      </c>
      <c r="JI221" s="497">
        <f t="shared" si="599"/>
        <v>0</v>
      </c>
      <c r="JJ221" s="199">
        <f t="shared" si="599"/>
        <v>-12</v>
      </c>
      <c r="JK221" s="434">
        <f t="shared" si="599"/>
        <v>0</v>
      </c>
      <c r="JL221" s="435">
        <f t="shared" si="599"/>
        <v>0</v>
      </c>
      <c r="JM221" s="435">
        <f t="shared" si="599"/>
        <v>0</v>
      </c>
      <c r="JN221" s="435">
        <f t="shared" si="599"/>
        <v>0</v>
      </c>
      <c r="JO221" s="436">
        <f t="shared" si="599"/>
        <v>0</v>
      </c>
      <c r="JP221" s="149">
        <f t="shared" si="599"/>
        <v>0</v>
      </c>
      <c r="JQ221" s="434">
        <f t="shared" si="599"/>
        <v>0</v>
      </c>
      <c r="JR221" s="435">
        <f t="shared" si="599"/>
        <v>0</v>
      </c>
      <c r="JS221" s="435">
        <f t="shared" si="599"/>
        <v>0</v>
      </c>
      <c r="JT221" s="435">
        <f t="shared" si="599"/>
        <v>0</v>
      </c>
      <c r="JU221" s="436">
        <f t="shared" si="599"/>
        <v>0</v>
      </c>
      <c r="JV221" s="149">
        <f t="shared" si="599"/>
        <v>0</v>
      </c>
      <c r="JW221" s="434">
        <f t="shared" ref="JW221:LF221" si="601">JW218-JW212</f>
        <v>0</v>
      </c>
      <c r="JX221" s="435">
        <f t="shared" si="601"/>
        <v>0</v>
      </c>
      <c r="JY221" s="435">
        <f t="shared" si="601"/>
        <v>0</v>
      </c>
      <c r="JZ221" s="435">
        <f t="shared" si="601"/>
        <v>0</v>
      </c>
      <c r="KA221" s="435"/>
      <c r="KB221" s="436">
        <f t="shared" si="601"/>
        <v>0</v>
      </c>
      <c r="KC221" s="149">
        <f t="shared" si="601"/>
        <v>0</v>
      </c>
      <c r="KD221" s="149">
        <f t="shared" si="601"/>
        <v>-12</v>
      </c>
      <c r="KE221" s="434">
        <f t="shared" si="601"/>
        <v>0</v>
      </c>
      <c r="KF221" s="435">
        <f t="shared" si="601"/>
        <v>0</v>
      </c>
      <c r="KG221" s="435">
        <f t="shared" si="601"/>
        <v>0</v>
      </c>
      <c r="KH221" s="435">
        <f t="shared" si="601"/>
        <v>0</v>
      </c>
      <c r="KI221" s="436">
        <f t="shared" si="601"/>
        <v>0</v>
      </c>
      <c r="KJ221" s="149">
        <f t="shared" si="601"/>
        <v>0</v>
      </c>
      <c r="KK221" s="434">
        <f t="shared" si="601"/>
        <v>0</v>
      </c>
      <c r="KL221" s="435">
        <f t="shared" si="601"/>
        <v>0</v>
      </c>
      <c r="KM221" s="435">
        <f t="shared" si="601"/>
        <v>0</v>
      </c>
      <c r="KN221" s="435">
        <f t="shared" si="601"/>
        <v>0</v>
      </c>
      <c r="KO221" s="436">
        <f t="shared" si="601"/>
        <v>0</v>
      </c>
      <c r="KP221" s="149">
        <f t="shared" si="601"/>
        <v>0</v>
      </c>
      <c r="KQ221" s="434">
        <f t="shared" si="601"/>
        <v>0</v>
      </c>
      <c r="KR221" s="435">
        <f t="shared" si="601"/>
        <v>0</v>
      </c>
      <c r="KS221" s="435">
        <f t="shared" si="601"/>
        <v>0</v>
      </c>
      <c r="KT221" s="435">
        <f t="shared" si="601"/>
        <v>0</v>
      </c>
      <c r="KU221" s="436">
        <f t="shared" si="601"/>
        <v>0</v>
      </c>
      <c r="KV221" s="149">
        <f t="shared" si="601"/>
        <v>0</v>
      </c>
      <c r="KW221" s="434">
        <f t="shared" si="601"/>
        <v>0</v>
      </c>
      <c r="KX221" s="435">
        <f t="shared" si="601"/>
        <v>0</v>
      </c>
      <c r="KY221" s="435">
        <f t="shared" si="601"/>
        <v>0</v>
      </c>
      <c r="KZ221" s="435">
        <f t="shared" si="601"/>
        <v>0</v>
      </c>
      <c r="LA221" s="436">
        <f t="shared" si="601"/>
        <v>0</v>
      </c>
      <c r="LB221" s="149">
        <f t="shared" si="601"/>
        <v>0</v>
      </c>
      <c r="LC221" s="434">
        <f t="shared" si="601"/>
        <v>0</v>
      </c>
      <c r="LD221" s="435">
        <f t="shared" si="601"/>
        <v>0</v>
      </c>
      <c r="LE221" s="436">
        <f t="shared" si="601"/>
        <v>0</v>
      </c>
      <c r="LF221" s="149">
        <f t="shared" si="601"/>
        <v>0</v>
      </c>
      <c r="LG221" s="149">
        <f t="shared" si="599"/>
        <v>0</v>
      </c>
    </row>
    <row r="222" spans="2:322">
      <c r="B222" s="363" t="s">
        <v>373</v>
      </c>
      <c r="C222" s="174">
        <v>3543.95</v>
      </c>
      <c r="D222" s="174">
        <v>3543.95</v>
      </c>
      <c r="AB222" s="174">
        <v>76.28</v>
      </c>
      <c r="AC222" s="207"/>
      <c r="AD222" s="207"/>
      <c r="AE222" s="207"/>
      <c r="AF222" s="207"/>
      <c r="AG222" s="207"/>
      <c r="AH222" s="207"/>
      <c r="AI222" s="207"/>
      <c r="AJ222" s="207"/>
      <c r="AK222" s="207"/>
      <c r="AL222" s="207"/>
      <c r="AM222" s="207"/>
      <c r="AN222" s="207"/>
      <c r="AO222" s="207"/>
      <c r="AP222" s="207"/>
      <c r="AQ222" s="207"/>
      <c r="AR222" s="207"/>
      <c r="AS222" s="207"/>
      <c r="AT222" s="207"/>
      <c r="AU222" s="207"/>
      <c r="AV222" s="207"/>
      <c r="AW222" s="207"/>
      <c r="AX222" s="207"/>
      <c r="AY222" s="207"/>
      <c r="AZ222" s="207"/>
      <c r="BA222" s="201"/>
      <c r="BB222" s="201"/>
      <c r="BC222" s="201"/>
      <c r="BD222" s="201"/>
      <c r="BE222" s="201"/>
      <c r="BF222" s="201"/>
      <c r="BG222" s="201"/>
      <c r="BH222" s="201"/>
      <c r="BI222" s="201"/>
      <c r="BJ222" s="201"/>
      <c r="BK222" s="201"/>
      <c r="BL222" s="201"/>
      <c r="BM222" s="201"/>
      <c r="BN222" s="201"/>
      <c r="BO222" s="201"/>
      <c r="BP222" s="201"/>
      <c r="BQ222" s="201"/>
      <c r="BR222" s="201"/>
      <c r="BS222" s="201"/>
      <c r="BT222" s="201"/>
      <c r="BU222" s="201"/>
      <c r="BV222" s="201"/>
      <c r="BW222" s="201"/>
      <c r="BX222" s="201"/>
      <c r="BY222" s="201"/>
      <c r="BZ222" s="201"/>
      <c r="CA222" s="201"/>
      <c r="CB222" s="201"/>
      <c r="CC222" s="201"/>
      <c r="CD222" s="201"/>
      <c r="CE222" s="201"/>
      <c r="CF222" s="201"/>
      <c r="CG222" s="201"/>
      <c r="CH222" s="201"/>
      <c r="CI222" s="201"/>
      <c r="CJ222" s="201"/>
      <c r="CK222" s="201"/>
      <c r="CL222" s="201"/>
      <c r="CM222" s="201"/>
      <c r="CN222" s="201"/>
      <c r="CO222" s="201"/>
      <c r="CP222" s="201"/>
      <c r="CQ222" s="201"/>
      <c r="CR222" s="201"/>
      <c r="CS222" s="201"/>
      <c r="CT222" s="201"/>
      <c r="CU222" s="201"/>
      <c r="CV222" s="201"/>
      <c r="CW222" s="201"/>
      <c r="CX222" s="201"/>
      <c r="CY222" s="201"/>
      <c r="CZ222" s="201"/>
      <c r="DA222" s="201"/>
      <c r="DB222" s="201"/>
      <c r="DC222" s="201"/>
      <c r="DD222" s="201"/>
      <c r="DE222" s="201"/>
      <c r="DF222" s="201"/>
      <c r="DG222" s="201"/>
      <c r="DH222" s="201"/>
      <c r="DI222" s="201"/>
      <c r="DJ222" s="201"/>
      <c r="DK222" s="201"/>
      <c r="DL222" s="201"/>
      <c r="DM222" s="201"/>
      <c r="DN222" s="201"/>
      <c r="DO222" s="201"/>
      <c r="DP222" s="201"/>
      <c r="DQ222" s="201"/>
      <c r="DR222" s="201"/>
      <c r="DS222" s="201"/>
      <c r="DT222" s="201"/>
      <c r="DU222" s="201"/>
      <c r="DV222" s="201"/>
      <c r="DW222" s="201"/>
      <c r="DX222" s="201"/>
      <c r="DY222" s="201"/>
      <c r="DZ222" s="201"/>
      <c r="EA222" s="201"/>
      <c r="EB222" s="201"/>
      <c r="EC222" s="201"/>
      <c r="ED222" s="201"/>
      <c r="EE222" s="201"/>
      <c r="EF222" s="201"/>
      <c r="EG222" s="201"/>
      <c r="EH222" s="201"/>
      <c r="EI222" s="201"/>
      <c r="EJ222" s="201"/>
      <c r="EK222" s="201"/>
      <c r="EL222" s="201"/>
      <c r="EM222" s="201"/>
      <c r="EN222" s="201"/>
      <c r="EO222" s="201"/>
      <c r="EP222" s="201"/>
      <c r="EQ222" s="201"/>
      <c r="ER222" s="201"/>
      <c r="ES222" s="201"/>
      <c r="ET222" s="201"/>
      <c r="EU222" s="201"/>
      <c r="EV222" s="201"/>
      <c r="EW222" s="201"/>
      <c r="EX222" s="201"/>
      <c r="EY222" s="201"/>
      <c r="EZ222" s="201"/>
      <c r="FA222" s="201"/>
      <c r="FB222" s="201"/>
      <c r="FC222" s="201"/>
      <c r="FD222" s="201"/>
      <c r="FE222" s="201"/>
      <c r="FF222" s="201"/>
      <c r="FG222" s="201"/>
      <c r="FH222" s="201"/>
      <c r="FI222" s="201"/>
      <c r="FJ222" s="201"/>
      <c r="FK222" s="201"/>
      <c r="FL222" s="201"/>
      <c r="FM222" s="201"/>
      <c r="FN222" s="201"/>
      <c r="FO222" s="201"/>
      <c r="FP222" s="201"/>
      <c r="FQ222" s="201"/>
      <c r="FR222" s="201"/>
      <c r="FS222" s="201"/>
      <c r="FT222" s="201"/>
      <c r="FU222" s="201"/>
      <c r="FV222" s="201"/>
      <c r="FW222" s="201"/>
      <c r="FX222" s="201"/>
      <c r="FY222" s="201"/>
      <c r="FZ222" s="201"/>
      <c r="GA222" s="201"/>
      <c r="GB222" s="201"/>
      <c r="GC222" s="201"/>
      <c r="GD222" s="201"/>
      <c r="GE222" s="201"/>
      <c r="GF222" s="201"/>
      <c r="GG222" s="201"/>
      <c r="GH222" s="201"/>
      <c r="GI222" s="201"/>
      <c r="GJ222" s="201"/>
      <c r="GK222" s="201"/>
      <c r="GL222" s="201"/>
      <c r="GM222" s="201"/>
      <c r="GN222" s="201"/>
      <c r="GO222" s="201"/>
      <c r="GP222" s="201"/>
      <c r="GQ222" s="201"/>
      <c r="GR222" s="201"/>
      <c r="GS222" s="201"/>
      <c r="GT222" s="201"/>
      <c r="GU222" s="201"/>
      <c r="GV222" s="201"/>
      <c r="GW222" s="201"/>
      <c r="GX222" s="201"/>
      <c r="GY222" s="201"/>
      <c r="GZ222" s="201"/>
      <c r="HA222" s="201"/>
      <c r="HB222" s="201"/>
      <c r="HC222" s="201"/>
      <c r="HD222" s="201"/>
      <c r="HE222" s="201"/>
      <c r="HF222" s="201"/>
      <c r="HG222" s="201"/>
      <c r="HH222" s="201"/>
      <c r="HI222" s="201"/>
      <c r="HJ222" s="201"/>
      <c r="HK222" s="201"/>
      <c r="HL222" s="201"/>
      <c r="HM222" s="201"/>
      <c r="HN222" s="201"/>
      <c r="HO222" s="201"/>
      <c r="HP222" s="201"/>
      <c r="HQ222" s="201"/>
      <c r="HR222" s="201"/>
      <c r="HS222" s="201"/>
      <c r="HT222" s="201"/>
      <c r="HU222" s="201"/>
      <c r="HV222" s="201"/>
      <c r="HW222" s="201"/>
      <c r="HX222" s="201"/>
      <c r="HY222" s="201"/>
      <c r="HZ222" s="201"/>
      <c r="IA222" s="201"/>
      <c r="IB222" s="201"/>
      <c r="IC222" s="201"/>
      <c r="ID222" s="201"/>
      <c r="IE222" s="201"/>
      <c r="IF222" s="201"/>
      <c r="IG222" s="201"/>
      <c r="IH222" s="201"/>
      <c r="II222" s="201"/>
      <c r="IJ222" s="201"/>
      <c r="IK222" s="201"/>
      <c r="IL222" s="201"/>
      <c r="IM222" s="201"/>
      <c r="IN222" s="201"/>
      <c r="IO222" s="201"/>
      <c r="IP222" s="201"/>
      <c r="IQ222" s="201"/>
      <c r="IR222" s="201"/>
      <c r="IS222" s="201"/>
      <c r="IT222" s="201"/>
      <c r="IU222" s="201"/>
      <c r="IV222" s="201"/>
      <c r="IW222" s="201"/>
      <c r="IX222" s="201"/>
      <c r="IY222" s="201"/>
      <c r="IZ222" s="201"/>
      <c r="JA222" s="201"/>
      <c r="JB222" s="201"/>
      <c r="JC222" s="201"/>
      <c r="JD222" s="201"/>
      <c r="JE222" s="201"/>
      <c r="JF222" s="201"/>
      <c r="JG222" s="201"/>
      <c r="JH222" s="201"/>
      <c r="JI222" s="201"/>
      <c r="JJ222" s="201"/>
      <c r="JK222" s="201"/>
      <c r="JL222" s="201"/>
      <c r="JM222" s="201"/>
      <c r="JN222" s="201"/>
      <c r="JO222" s="201"/>
      <c r="JP222" s="201"/>
      <c r="JQ222" s="201"/>
      <c r="JR222" s="201"/>
      <c r="JS222" s="201"/>
      <c r="JT222" s="201"/>
      <c r="JU222" s="201"/>
      <c r="JV222" s="201"/>
      <c r="JW222" s="201"/>
      <c r="JX222" s="201"/>
      <c r="JY222" s="201"/>
      <c r="JZ222" s="201"/>
      <c r="KA222" s="201"/>
      <c r="KB222" s="201"/>
      <c r="KC222" s="201"/>
      <c r="KD222" s="201"/>
      <c r="KE222" s="201"/>
      <c r="KF222" s="201"/>
      <c r="KG222" s="201"/>
      <c r="KH222" s="201"/>
      <c r="KI222" s="201"/>
      <c r="KJ222" s="201"/>
      <c r="KK222" s="201"/>
      <c r="KL222" s="201"/>
      <c r="KM222" s="201"/>
      <c r="KN222" s="201"/>
      <c r="KO222" s="201"/>
      <c r="KP222" s="201"/>
      <c r="KQ222" s="201"/>
      <c r="KR222" s="201"/>
      <c r="KS222" s="201"/>
      <c r="KT222" s="201"/>
      <c r="KU222" s="201"/>
      <c r="KV222" s="201"/>
      <c r="KW222" s="201"/>
      <c r="KX222" s="201"/>
      <c r="KY222" s="201"/>
      <c r="KZ222" s="201"/>
      <c r="LA222" s="201"/>
      <c r="LB222" s="201"/>
      <c r="LC222" s="201"/>
      <c r="LD222" s="201"/>
      <c r="LE222" s="201"/>
      <c r="LF222" s="201"/>
      <c r="LG222" s="201"/>
    </row>
    <row r="223" spans="2:322">
      <c r="B223" s="364" t="s">
        <v>168</v>
      </c>
      <c r="C223" s="175">
        <f>C222+C221</f>
        <v>3543.95</v>
      </c>
      <c r="D223" s="442">
        <f>+C222+D221</f>
        <v>3543.95</v>
      </c>
      <c r="E223" s="175">
        <f>D223+E221</f>
        <v>3543.95</v>
      </c>
      <c r="F223" s="175">
        <f>E223+F221</f>
        <v>3543.95</v>
      </c>
      <c r="G223" s="175">
        <f>F223+G221</f>
        <v>3543.95</v>
      </c>
      <c r="H223" s="175">
        <f>G223+H221</f>
        <v>3543.95</v>
      </c>
      <c r="I223" s="175">
        <f>H223+I221</f>
        <v>3543.95</v>
      </c>
      <c r="J223" s="175">
        <f>D223+J221</f>
        <v>3543.95</v>
      </c>
      <c r="K223" s="175">
        <f>J223+K221</f>
        <v>3543.95</v>
      </c>
      <c r="L223" s="175">
        <f>K223+L221</f>
        <v>3543.95</v>
      </c>
      <c r="M223" s="175">
        <f>L223+M221</f>
        <v>3537.6099999999997</v>
      </c>
      <c r="N223" s="175">
        <f>M223+N221</f>
        <v>3537.6099999999997</v>
      </c>
      <c r="O223" s="175">
        <f>+J223+O221</f>
        <v>3537.6099999999997</v>
      </c>
      <c r="P223" s="175">
        <f>O223+P221</f>
        <v>3537.6099999999997</v>
      </c>
      <c r="Q223" s="175">
        <f>P223+Q221</f>
        <v>3537.6099999999997</v>
      </c>
      <c r="R223" s="175">
        <f>Q223+R221</f>
        <v>3537.6099999999997</v>
      </c>
      <c r="S223" s="175">
        <f>R223+S221</f>
        <v>3537.6099999999997</v>
      </c>
      <c r="T223" s="175">
        <f>S223+T221</f>
        <v>3537.6099999999997</v>
      </c>
      <c r="U223" s="175">
        <f>+O223+U221</f>
        <v>3537.6099999999997</v>
      </c>
      <c r="V223" s="175">
        <f>U223+V221</f>
        <v>3537.6099999999997</v>
      </c>
      <c r="W223" s="175">
        <f>V223+W221</f>
        <v>3537.6099999999997</v>
      </c>
      <c r="X223" s="175">
        <f>W223+X221</f>
        <v>3204.8499999999995</v>
      </c>
      <c r="Y223" s="175">
        <f>X223+Y221</f>
        <v>3204.8499999999995</v>
      </c>
      <c r="Z223" s="175">
        <f>Y223+Z221</f>
        <v>3204.8499999999995</v>
      </c>
      <c r="AA223" s="175">
        <f>+U223+AA221</f>
        <v>3204.8499999999995</v>
      </c>
      <c r="AB223" s="175">
        <f>+C222+AB221</f>
        <v>3204.85</v>
      </c>
      <c r="AC223" s="175">
        <f>AB223+AC221</f>
        <v>3204.85</v>
      </c>
      <c r="AD223" s="175">
        <f>AC223+AD221</f>
        <v>3204.85</v>
      </c>
      <c r="AE223" s="175">
        <f>AD223+AE221</f>
        <v>3204.85</v>
      </c>
      <c r="AF223" s="175">
        <f>AE223+AF221</f>
        <v>3204.85</v>
      </c>
      <c r="AG223" s="175">
        <f>AF223+AG221</f>
        <v>3204.85</v>
      </c>
      <c r="AH223" s="175">
        <f>AB223+AH221</f>
        <v>3204.85</v>
      </c>
      <c r="AI223" s="175">
        <f>AH223+AI221</f>
        <v>3189.85</v>
      </c>
      <c r="AJ223" s="175">
        <f>AI223+AJ221</f>
        <v>3189.85</v>
      </c>
      <c r="AK223" s="175">
        <f>AJ223+AK221</f>
        <v>3189.85</v>
      </c>
      <c r="AL223" s="175">
        <f>AK223+AL221</f>
        <v>3189.85</v>
      </c>
      <c r="AM223" s="175">
        <f>AL223+AM221</f>
        <v>1289.55</v>
      </c>
      <c r="AN223" s="175">
        <f>AH223+AN221</f>
        <v>1289.55</v>
      </c>
      <c r="AO223" s="175">
        <f>AN223+AO221</f>
        <v>1289.55</v>
      </c>
      <c r="AP223" s="175">
        <f>AO223+AP221</f>
        <v>1289.55</v>
      </c>
      <c r="AQ223" s="175">
        <f>AP223+AQ221</f>
        <v>1289.55</v>
      </c>
      <c r="AR223" s="175">
        <f>AQ223+AR221</f>
        <v>1289.55</v>
      </c>
      <c r="AS223" s="175">
        <f>AR223+AS221</f>
        <v>1289.55</v>
      </c>
      <c r="AT223" s="175">
        <f>AN223+AT221</f>
        <v>1289.55</v>
      </c>
      <c r="AU223" s="175">
        <f>AT223+AU221</f>
        <v>1259.55</v>
      </c>
      <c r="AV223" s="175">
        <f>AU223+AV221</f>
        <v>1259.55</v>
      </c>
      <c r="AW223" s="175">
        <f>AV223+AW221</f>
        <v>1259.55</v>
      </c>
      <c r="AX223" s="175">
        <f>AW223+AX221</f>
        <v>1259.55</v>
      </c>
      <c r="AY223" s="175">
        <f>AX223+AY221</f>
        <v>1259.55</v>
      </c>
      <c r="AZ223" s="175">
        <f>AT223+AZ221</f>
        <v>1259.55</v>
      </c>
      <c r="BA223" s="175">
        <f>+AB223+BA221</f>
        <v>1259.55</v>
      </c>
      <c r="BB223" s="175">
        <f>BA223+BB221</f>
        <v>1259.55</v>
      </c>
      <c r="BC223" s="175">
        <f>BB223+BC221</f>
        <v>1259.55</v>
      </c>
      <c r="BD223" s="175">
        <f>BC223+BD221</f>
        <v>1259.55</v>
      </c>
      <c r="BE223" s="175">
        <f>BD223+BE221</f>
        <v>1259.55</v>
      </c>
      <c r="BF223" s="175">
        <f>BE223+BF221</f>
        <v>259.54999999999995</v>
      </c>
      <c r="BG223" s="175">
        <f>BA223+BG221</f>
        <v>259.54999999999995</v>
      </c>
      <c r="BH223" s="175">
        <f>BG223+BH221</f>
        <v>259.54999999999995</v>
      </c>
      <c r="BI223" s="175">
        <f>BH223+BI221</f>
        <v>259.54999999999995</v>
      </c>
      <c r="BJ223" s="175">
        <f>BI223+BJ221</f>
        <v>259.54999999999995</v>
      </c>
      <c r="BK223" s="175">
        <f>BJ223+BK221</f>
        <v>259.54999999999995</v>
      </c>
      <c r="BL223" s="175">
        <f>BK223+BL221</f>
        <v>259.54999999999995</v>
      </c>
      <c r="BM223" s="175">
        <f>BG223+BM221</f>
        <v>259.54999999999995</v>
      </c>
      <c r="BN223" s="175">
        <f>BM223+BN221</f>
        <v>259.54999999999995</v>
      </c>
      <c r="BO223" s="175">
        <f>BN223+BO221</f>
        <v>259.54999999999995</v>
      </c>
      <c r="BP223" s="175">
        <f>BO223+BP221</f>
        <v>259.54999999999995</v>
      </c>
      <c r="BQ223" s="175">
        <f>BP223+BQ221</f>
        <v>259.54999999999995</v>
      </c>
      <c r="BR223" s="175">
        <f>BM223+BR221</f>
        <v>259.54999999999995</v>
      </c>
      <c r="BS223" s="175">
        <f>BR223+BS221</f>
        <v>259.54999999999995</v>
      </c>
      <c r="BT223" s="175">
        <f>BS223+BT221</f>
        <v>259.54999999999995</v>
      </c>
      <c r="BU223" s="175">
        <f>BT223+BU221</f>
        <v>259.54999999999995</v>
      </c>
      <c r="BV223" s="175">
        <f>BU223+BV221</f>
        <v>259.54999999999995</v>
      </c>
      <c r="BW223" s="175">
        <f>BV223+BW221</f>
        <v>259.54999999999995</v>
      </c>
      <c r="BX223" s="175">
        <f>BR223+BX221</f>
        <v>259.54999999999995</v>
      </c>
      <c r="BY223" s="175">
        <f>BX223+BY221</f>
        <v>259.54999999999995</v>
      </c>
      <c r="BZ223" s="175">
        <f>BY223+BZ221</f>
        <v>259.54999999999995</v>
      </c>
      <c r="CA223" s="175">
        <f>BX223+CA221</f>
        <v>259.54999999999995</v>
      </c>
      <c r="CB223" s="175">
        <f>BA223+CB221</f>
        <v>259.54999999999995</v>
      </c>
      <c r="CC223" s="175">
        <f>CB223+CC221</f>
        <v>259.54999999999995</v>
      </c>
      <c r="CD223" s="175">
        <f>CC223+CD221</f>
        <v>253.36999999999995</v>
      </c>
      <c r="CE223" s="175">
        <f>CD223+CE221</f>
        <v>253.36999999999995</v>
      </c>
      <c r="CF223" s="175">
        <f>CB223+CF221</f>
        <v>253.36999999999995</v>
      </c>
      <c r="CG223" s="175">
        <f>CF223+CG221</f>
        <v>253.36999999999995</v>
      </c>
      <c r="CH223" s="175">
        <f>CG223+CH221</f>
        <v>253.36999999999995</v>
      </c>
      <c r="CI223" s="175">
        <f>CH223+CI221</f>
        <v>253.36999999999995</v>
      </c>
      <c r="CJ223" s="175">
        <f>CI223+CJ221</f>
        <v>253.36999999999995</v>
      </c>
      <c r="CK223" s="175">
        <f>CF223+CK221</f>
        <v>253.36999999999995</v>
      </c>
      <c r="CL223" s="175">
        <f>CK223+CL221</f>
        <v>253.36999999999995</v>
      </c>
      <c r="CM223" s="175">
        <f>CL223+CM221</f>
        <v>253.36999999999995</v>
      </c>
      <c r="CN223" s="175">
        <f>CM223+CN221</f>
        <v>253.36999999999995</v>
      </c>
      <c r="CO223" s="175">
        <f>CN223+CO221</f>
        <v>253.36999999999995</v>
      </c>
      <c r="CP223" s="175">
        <f>CO223+CP221</f>
        <v>253.36999999999995</v>
      </c>
      <c r="CQ223" s="175">
        <f>CK223+CQ221</f>
        <v>253.36999999999995</v>
      </c>
      <c r="CR223" s="175">
        <f>CQ223+CR221</f>
        <v>253.36999999999995</v>
      </c>
      <c r="CS223" s="175">
        <f>CR223+CS221</f>
        <v>253.36999999999995</v>
      </c>
      <c r="CT223" s="175">
        <f>CS223+CT221</f>
        <v>253.36999999999995</v>
      </c>
      <c r="CU223" s="175">
        <f>CT223+CU221</f>
        <v>253.36999999999995</v>
      </c>
      <c r="CV223" s="175">
        <f>CU223+CV221</f>
        <v>253.36999999999995</v>
      </c>
      <c r="CW223" s="175">
        <f>CQ223+CW221</f>
        <v>253.36999999999995</v>
      </c>
      <c r="CX223" s="175">
        <f>CW223+CX221</f>
        <v>253.36999999999995</v>
      </c>
      <c r="CY223" s="175">
        <f>CX223+CY221</f>
        <v>253.36999999999995</v>
      </c>
      <c r="CZ223" s="175">
        <f>CY223+CZ221</f>
        <v>253.36999999999995</v>
      </c>
      <c r="DA223" s="175">
        <f>CZ223+DA221</f>
        <v>253.36999999999995</v>
      </c>
      <c r="DB223" s="175">
        <f>CW223+DB221</f>
        <v>253.36999999999995</v>
      </c>
      <c r="DC223" s="175">
        <f>CB223+DC221</f>
        <v>253.36999999999995</v>
      </c>
      <c r="DD223" s="175">
        <f>DC223+DD221</f>
        <v>253.36999999999995</v>
      </c>
      <c r="DE223" s="175">
        <f>DD223+DE221</f>
        <v>253.36999999999995</v>
      </c>
      <c r="DF223" s="175">
        <f>DE223+DF221</f>
        <v>253.36999999999995</v>
      </c>
      <c r="DG223" s="175">
        <f>DF223+DG221</f>
        <v>253.36999999999995</v>
      </c>
      <c r="DH223" s="175">
        <f>DG223+DH221</f>
        <v>253.36999999999995</v>
      </c>
      <c r="DI223" s="175">
        <f>DC223+DI221</f>
        <v>253.36999999999995</v>
      </c>
      <c r="DJ223" s="175">
        <f>DI223+DJ221</f>
        <v>253.36999999999995</v>
      </c>
      <c r="DK223" s="175">
        <f>DJ223+DK221</f>
        <v>253.36999999999995</v>
      </c>
      <c r="DL223" s="175">
        <f>DK223+DL221</f>
        <v>46702.37</v>
      </c>
      <c r="DM223" s="175">
        <f>DL223+DM221</f>
        <v>41514.620000000003</v>
      </c>
      <c r="DN223" s="175">
        <f>DM223+DN221</f>
        <v>41514.620000000003</v>
      </c>
      <c r="DO223" s="175">
        <f>DI223+DO221</f>
        <v>41514.620000000003</v>
      </c>
      <c r="DP223" s="175">
        <f>DO223+DP221</f>
        <v>41514.620000000003</v>
      </c>
      <c r="DQ223" s="175">
        <f>DP223+DQ221</f>
        <v>41514.620000000003</v>
      </c>
      <c r="DR223" s="175">
        <f>DQ223+DR221</f>
        <v>6514.6200000000026</v>
      </c>
      <c r="DS223" s="175">
        <f>DR223+DS221</f>
        <v>6484.6200000000026</v>
      </c>
      <c r="DT223" s="175">
        <f>DS223+DT221</f>
        <v>6484.6200000000026</v>
      </c>
      <c r="DU223" s="175">
        <f>DO223+DU221</f>
        <v>6484.6200000000026</v>
      </c>
      <c r="DV223" s="175">
        <f>DU223+DV221</f>
        <v>6484.6200000000026</v>
      </c>
      <c r="DW223" s="175">
        <f>DV223+DW221</f>
        <v>6484.6200000000026</v>
      </c>
      <c r="DX223" s="175">
        <f>DW223+DX221</f>
        <v>6484.6200000000026</v>
      </c>
      <c r="DY223" s="175">
        <f>DX223+DY221</f>
        <v>6484.6200000000026</v>
      </c>
      <c r="DZ223" s="175">
        <f>DY223+DZ221</f>
        <v>11672.370000000003</v>
      </c>
      <c r="EA223" s="175">
        <f>DU223+EA221</f>
        <v>11672.370000000003</v>
      </c>
      <c r="EB223" s="175">
        <f>DC223+EB221</f>
        <v>11672.37</v>
      </c>
      <c r="EC223" s="175">
        <f>EB223+EC221</f>
        <v>11672.37</v>
      </c>
      <c r="ED223" s="175">
        <f>EC223+ED221</f>
        <v>11672.37</v>
      </c>
      <c r="EE223" s="175">
        <f>ED223+EE221</f>
        <v>11672.37</v>
      </c>
      <c r="EF223" s="175">
        <f>EE223+EF221</f>
        <v>11672.37</v>
      </c>
      <c r="EG223" s="175">
        <f>EF223+EG221</f>
        <v>11672.37</v>
      </c>
      <c r="EH223" s="175">
        <f>EB223+EH221</f>
        <v>11672.37</v>
      </c>
      <c r="EI223" s="175">
        <f>EH223+EI221</f>
        <v>11672.37</v>
      </c>
      <c r="EJ223" s="175">
        <f>EI223+EJ221</f>
        <v>11672.37</v>
      </c>
      <c r="EK223" s="175">
        <f>EJ223+EK221</f>
        <v>11672.37</v>
      </c>
      <c r="EL223" s="175">
        <f>EK223+EL221</f>
        <v>11672.37</v>
      </c>
      <c r="EM223" s="175">
        <f>EL223+EM221</f>
        <v>11672.37</v>
      </c>
      <c r="EN223" s="175">
        <f>EH223+EN221</f>
        <v>11672.37</v>
      </c>
      <c r="EO223" s="175">
        <f>EN223+EO221</f>
        <v>11672.37</v>
      </c>
      <c r="EP223" s="175">
        <f>EO223+EP221</f>
        <v>11672.37</v>
      </c>
      <c r="EQ223" s="175">
        <f>EP223+EQ221</f>
        <v>11672.37</v>
      </c>
      <c r="ER223" s="175">
        <f>EQ223+ER221</f>
        <v>11672.37</v>
      </c>
      <c r="ES223" s="175">
        <f>ER223+ES221</f>
        <v>11672.37</v>
      </c>
      <c r="ET223" s="175">
        <f>EN223+ET221</f>
        <v>11672.37</v>
      </c>
      <c r="EU223" s="175">
        <f t="shared" ref="EU223:FA223" si="602">ET223+EU221</f>
        <v>11672.37</v>
      </c>
      <c r="EV223" s="175">
        <f t="shared" si="602"/>
        <v>11672.37</v>
      </c>
      <c r="EW223" s="175">
        <f t="shared" si="602"/>
        <v>11672.37</v>
      </c>
      <c r="EX223" s="175">
        <f t="shared" si="602"/>
        <v>11672.37</v>
      </c>
      <c r="EY223" s="175">
        <f t="shared" si="602"/>
        <v>11672.37</v>
      </c>
      <c r="EZ223" s="175">
        <f t="shared" si="602"/>
        <v>11672.37</v>
      </c>
      <c r="FA223" s="175">
        <f t="shared" si="602"/>
        <v>11672.37</v>
      </c>
      <c r="FB223" s="175">
        <f>ET223+FB221</f>
        <v>11672.37</v>
      </c>
      <c r="FC223" s="175">
        <f>EB223+FC221</f>
        <v>11672.37</v>
      </c>
      <c r="FD223" s="175">
        <f>FC223+FD221</f>
        <v>11672.37</v>
      </c>
      <c r="FE223" s="175">
        <f>FD223+FE221</f>
        <v>11672.37</v>
      </c>
      <c r="FF223" s="175">
        <f>FE223+FF221</f>
        <v>11666.17</v>
      </c>
      <c r="FG223" s="175">
        <f>FC223+FG221</f>
        <v>11666.17</v>
      </c>
      <c r="FH223" s="175">
        <f>FG223+FH221</f>
        <v>11666.17</v>
      </c>
      <c r="FI223" s="175">
        <f>FH223+FI221</f>
        <v>11666.17</v>
      </c>
      <c r="FJ223" s="175">
        <f>FI223+FJ221</f>
        <v>11666.17</v>
      </c>
      <c r="FK223" s="175">
        <f>FJ223+FK221</f>
        <v>11666.17</v>
      </c>
      <c r="FL223" s="175">
        <f>FK223+FL221</f>
        <v>11666.17</v>
      </c>
      <c r="FM223" s="175">
        <f>FG223+FM221</f>
        <v>11666.17</v>
      </c>
      <c r="FN223" s="175">
        <f>FM223+FN221</f>
        <v>11666.17</v>
      </c>
      <c r="FO223" s="175">
        <f>FN223+FO221</f>
        <v>11666.17</v>
      </c>
      <c r="FP223" s="175">
        <f>FO223+FP221</f>
        <v>11666.17</v>
      </c>
      <c r="FQ223" s="175">
        <f>FP223+FQ221</f>
        <v>10023.370000000001</v>
      </c>
      <c r="FR223" s="175">
        <f>FM223+FR221</f>
        <v>10023.370000000001</v>
      </c>
      <c r="FS223" s="175">
        <f>FR223+FS221</f>
        <v>10023.370000000001</v>
      </c>
      <c r="FT223" s="175">
        <f>FS223+FT221</f>
        <v>10023.370000000001</v>
      </c>
      <c r="FU223" s="175">
        <f>FT223+FU221</f>
        <v>10023.370000000001</v>
      </c>
      <c r="FV223" s="175">
        <f>FU223+FV221</f>
        <v>10023.370000000001</v>
      </c>
      <c r="FW223" s="175">
        <f>FV223+FW221</f>
        <v>10023.370000000001</v>
      </c>
      <c r="FX223" s="175">
        <f>FR223+FX221</f>
        <v>10023.370000000001</v>
      </c>
      <c r="FY223" s="175">
        <f>FX223+FY221</f>
        <v>10023.370000000001</v>
      </c>
      <c r="FZ223" s="175">
        <f>FY223+FZ221</f>
        <v>9882.9500000000007</v>
      </c>
      <c r="GA223" s="175">
        <f>FZ223+GA221</f>
        <v>8962.9500000000007</v>
      </c>
      <c r="GB223" s="175">
        <f>GA223+GB221</f>
        <v>8962.9500000000007</v>
      </c>
      <c r="GC223" s="175">
        <f>GB223+GC221</f>
        <v>8962.9500000000007</v>
      </c>
      <c r="GD223" s="175">
        <f>FX223+GD221</f>
        <v>8962.9500000000007</v>
      </c>
      <c r="GE223" s="175">
        <f>FC223+GE221</f>
        <v>8962.9500000000171</v>
      </c>
      <c r="GF223" s="175">
        <f>GE223+GF221</f>
        <v>8962.9500000000171</v>
      </c>
      <c r="GG223" s="175">
        <f>GF223+GG221</f>
        <v>8962.9500000000171</v>
      </c>
      <c r="GH223" s="175">
        <f>GG223+GH221</f>
        <v>8962.9500000000171</v>
      </c>
      <c r="GI223" s="175">
        <f>GH223+GI221</f>
        <v>8962.9500000000171</v>
      </c>
      <c r="GJ223" s="175">
        <f>GI223+GJ221</f>
        <v>8962.9500000000171</v>
      </c>
      <c r="GK223" s="175">
        <f>GE223+GK221</f>
        <v>8962.9500000000171</v>
      </c>
      <c r="GL223" s="175">
        <f>GK223+GL221</f>
        <v>8962.9500000000171</v>
      </c>
      <c r="GM223" s="175">
        <f>GL223+GM221</f>
        <v>8962.9500000000171</v>
      </c>
      <c r="GN223" s="175">
        <f>GM223+GN221</f>
        <v>8962.9500000000171</v>
      </c>
      <c r="GO223" s="175">
        <f>GN223+GO221</f>
        <v>2.9500000000170985</v>
      </c>
      <c r="GP223" s="175">
        <f>GK223+GP221</f>
        <v>2.9500000000170985</v>
      </c>
      <c r="GQ223" s="175">
        <f>GP223+GQ221</f>
        <v>2.9500000000170985</v>
      </c>
      <c r="GR223" s="175">
        <f>GQ223+GR221</f>
        <v>2.9500000000170985</v>
      </c>
      <c r="GS223" s="175">
        <f>GR223+GS221</f>
        <v>2.9500000000170985</v>
      </c>
      <c r="GT223" s="175">
        <f>GS223+GT221</f>
        <v>2.9500000000170985</v>
      </c>
      <c r="GU223" s="175">
        <f>GT223+GU221</f>
        <v>2.9500000000170985</v>
      </c>
      <c r="GV223" s="175">
        <f>GP223+GV221</f>
        <v>2.9500000000170985</v>
      </c>
      <c r="GW223" s="175">
        <f t="shared" ref="GW223:HB223" si="603">GV223+GW221</f>
        <v>2.9500000000170985</v>
      </c>
      <c r="GX223" s="175">
        <f t="shared" si="603"/>
        <v>2.9500000000170985</v>
      </c>
      <c r="GY223" s="175">
        <f t="shared" si="603"/>
        <v>2.9500000000170985</v>
      </c>
      <c r="GZ223" s="175">
        <f t="shared" si="603"/>
        <v>2.9500000000170985</v>
      </c>
      <c r="HA223" s="175">
        <f t="shared" si="603"/>
        <v>2.9500000000170985</v>
      </c>
      <c r="HB223" s="175">
        <f t="shared" si="603"/>
        <v>2.9500000000170985</v>
      </c>
      <c r="HC223" s="175">
        <f>GV223+HC221</f>
        <v>2.9500000000170985</v>
      </c>
      <c r="HD223" s="175">
        <f>GE223+HD221</f>
        <v>2.9500000000170985</v>
      </c>
      <c r="HE223" s="175">
        <f t="shared" ref="HE223:HN223" si="604">HD223+HE221</f>
        <v>2.9500000000170985</v>
      </c>
      <c r="HF223" s="175">
        <f t="shared" si="604"/>
        <v>2.9500000000170985</v>
      </c>
      <c r="HG223" s="175">
        <f t="shared" si="604"/>
        <v>2.9500000000170985</v>
      </c>
      <c r="HH223" s="175">
        <f t="shared" si="604"/>
        <v>2.9500000000170985</v>
      </c>
      <c r="HI223" s="175">
        <f>HH223+HI221</f>
        <v>2.9500000000170985</v>
      </c>
      <c r="HJ223" s="175">
        <f t="shared" si="604"/>
        <v>2.9500000000170985</v>
      </c>
      <c r="HK223" s="175">
        <f t="shared" si="604"/>
        <v>2.9500000000170985</v>
      </c>
      <c r="HL223" s="175">
        <f t="shared" si="604"/>
        <v>2.9500000000170985</v>
      </c>
      <c r="HM223" s="175">
        <f t="shared" si="604"/>
        <v>2.9500000000170985</v>
      </c>
      <c r="HN223" s="175">
        <f t="shared" si="604"/>
        <v>2.9500000000170985</v>
      </c>
      <c r="HO223" s="175">
        <f>HI223+HO221</f>
        <v>2.9500000000170985</v>
      </c>
      <c r="HP223" s="175">
        <f>HO223+HP221</f>
        <v>2.9500000000170985</v>
      </c>
      <c r="HQ223" s="175">
        <f>HP223+HQ221</f>
        <v>2.9500000000170985</v>
      </c>
      <c r="HR223" s="175">
        <f>HQ223+HR221</f>
        <v>2.9500000000170985</v>
      </c>
      <c r="HS223" s="175">
        <f>HR223+HS221</f>
        <v>2.9500000000170985</v>
      </c>
      <c r="HT223" s="175">
        <f>HS223+HT221</f>
        <v>2.9500000000170985</v>
      </c>
      <c r="HU223" s="175">
        <f>HO223+HU221</f>
        <v>2.9500000000170985</v>
      </c>
      <c r="HV223" s="175">
        <f>HU223+HV221</f>
        <v>2.9500000000170985</v>
      </c>
      <c r="HW223" s="175">
        <f>HV223+HW221</f>
        <v>2.9500000000170985</v>
      </c>
      <c r="HX223" s="175">
        <f>HW223+HX221</f>
        <v>2.9500000000170985</v>
      </c>
      <c r="HY223" s="175">
        <f>HU223+HY221</f>
        <v>2.9500000000170985</v>
      </c>
      <c r="HZ223" s="175">
        <f>HY223+HZ221</f>
        <v>2.9500000000170985</v>
      </c>
      <c r="IA223" s="175">
        <f>HZ223+IA221</f>
        <v>2.9500000000170985</v>
      </c>
      <c r="IB223" s="175">
        <f>IA223+IB221</f>
        <v>2.9500000000170985</v>
      </c>
      <c r="IC223" s="175">
        <f>HY223+IC221</f>
        <v>2.9500000000170985</v>
      </c>
      <c r="ID223" s="175">
        <f>HD223+ID221</f>
        <v>2.9500000000170985</v>
      </c>
      <c r="IE223" s="175">
        <f>ID223+IE221</f>
        <v>2.9500000000170985</v>
      </c>
      <c r="IF223" s="175">
        <f>IE223+IF221</f>
        <v>2.9500000000170985</v>
      </c>
      <c r="IG223" s="175">
        <f>ID223+IG221</f>
        <v>2.9500000000170985</v>
      </c>
      <c r="IH223" s="175">
        <f>IG223+IH221</f>
        <v>2.9500000000170985</v>
      </c>
      <c r="II223" s="175">
        <f>IH223+II221</f>
        <v>2.9500000000170985</v>
      </c>
      <c r="IJ223" s="175">
        <f>II223+IJ221</f>
        <v>2.9500000000170985</v>
      </c>
      <c r="IK223" s="175">
        <f>IJ223+IK221</f>
        <v>2.9500000000170985</v>
      </c>
      <c r="IL223" s="175">
        <f>IK223+IL221</f>
        <v>2.9500000000170985</v>
      </c>
      <c r="IM223" s="175">
        <f>IG223+IM221</f>
        <v>2.9500000000170985</v>
      </c>
      <c r="IN223" s="175">
        <f>IM223+IN221</f>
        <v>2.9500000000170985</v>
      </c>
      <c r="IO223" s="175">
        <f>IN223+IO221</f>
        <v>2.9500000000170985</v>
      </c>
      <c r="IP223" s="175">
        <f>IO223+IP221</f>
        <v>2.9500000000170985</v>
      </c>
      <c r="IQ223" s="175">
        <f>IM223+IQ221</f>
        <v>2.9500000000170985</v>
      </c>
      <c r="IR223" s="175">
        <f>IQ223+IR221</f>
        <v>2.9500000000170985</v>
      </c>
      <c r="IS223" s="175">
        <f>IR223+IS221</f>
        <v>2.9500000000170985</v>
      </c>
      <c r="IT223" s="175">
        <f>IS223+IT221</f>
        <v>2.9500000000170985</v>
      </c>
      <c r="IU223" s="175">
        <f>IT223+IU221</f>
        <v>2.9500000000170985</v>
      </c>
      <c r="IV223" s="175">
        <f>IU223+IV221</f>
        <v>2.9500000000170985</v>
      </c>
      <c r="IW223" s="175">
        <f>IQ223+IW221</f>
        <v>2.9500000000170985</v>
      </c>
      <c r="IX223" s="175">
        <f>IW223+IX221</f>
        <v>2.9500000000170985</v>
      </c>
      <c r="IY223" s="175">
        <f>IX223+IY221</f>
        <v>4865.9500000000171</v>
      </c>
      <c r="IZ223" s="175">
        <f>IY223+IZ221</f>
        <v>4865.9500000000171</v>
      </c>
      <c r="JA223" s="175">
        <f>IZ223+JA221</f>
        <v>4865.9500000000171</v>
      </c>
      <c r="JB223" s="175">
        <f>JA223+JB221</f>
        <v>4865.9500000000171</v>
      </c>
      <c r="JC223" s="175">
        <f>IW223+JC221</f>
        <v>4865.9500000000171</v>
      </c>
      <c r="JD223" s="175">
        <f>ID223+JD221</f>
        <v>4865.9500000000171</v>
      </c>
      <c r="JE223" s="175">
        <f>JD223+JE221</f>
        <v>4865.9500000000171</v>
      </c>
      <c r="JF223" s="175">
        <f t="shared" ref="JF223:LE223" si="605">JE223+JF221</f>
        <v>4865.9500000000171</v>
      </c>
      <c r="JG223" s="175">
        <f t="shared" si="605"/>
        <v>4853.9500000000171</v>
      </c>
      <c r="JH223" s="175">
        <f t="shared" si="605"/>
        <v>4853.9500000000171</v>
      </c>
      <c r="JI223" s="175">
        <f t="shared" si="605"/>
        <v>4853.9500000000171</v>
      </c>
      <c r="JJ223" s="175">
        <f>JD223+JJ221</f>
        <v>4853.9500000000171</v>
      </c>
      <c r="JK223" s="175">
        <f t="shared" si="605"/>
        <v>4853.9500000000171</v>
      </c>
      <c r="JL223" s="175">
        <f t="shared" si="605"/>
        <v>4853.9500000000171</v>
      </c>
      <c r="JM223" s="175">
        <f t="shared" si="605"/>
        <v>4853.9500000000171</v>
      </c>
      <c r="JN223" s="175">
        <f t="shared" si="605"/>
        <v>4853.9500000000171</v>
      </c>
      <c r="JO223" s="175">
        <f t="shared" si="605"/>
        <v>4853.9500000000171</v>
      </c>
      <c r="JP223" s="175">
        <f>JJ223+JP221</f>
        <v>4853.9500000000171</v>
      </c>
      <c r="JQ223" s="175">
        <f t="shared" si="605"/>
        <v>4853.9500000000171</v>
      </c>
      <c r="JR223" s="175">
        <f t="shared" si="605"/>
        <v>4853.9500000000171</v>
      </c>
      <c r="JS223" s="175">
        <f t="shared" si="605"/>
        <v>4853.9500000000171</v>
      </c>
      <c r="JT223" s="175">
        <f t="shared" si="605"/>
        <v>4853.9500000000171</v>
      </c>
      <c r="JU223" s="175">
        <f t="shared" si="605"/>
        <v>4853.9500000000171</v>
      </c>
      <c r="JV223" s="175">
        <f>JP223+JV221</f>
        <v>4853.9500000000171</v>
      </c>
      <c r="JW223" s="175">
        <f t="shared" si="605"/>
        <v>4853.9500000000171</v>
      </c>
      <c r="JX223" s="175">
        <f t="shared" si="605"/>
        <v>4853.9500000000171</v>
      </c>
      <c r="JY223" s="175">
        <f t="shared" si="605"/>
        <v>4853.9500000000171</v>
      </c>
      <c r="JZ223" s="175">
        <f t="shared" si="605"/>
        <v>4853.9500000000171</v>
      </c>
      <c r="KA223" s="175"/>
      <c r="KB223" s="175">
        <f>JZ223+KB221</f>
        <v>4853.9500000000171</v>
      </c>
      <c r="KC223" s="175">
        <f>JV223+KC221</f>
        <v>4853.9500000000171</v>
      </c>
      <c r="KD223" s="175">
        <f>JD223+KD221</f>
        <v>4853.9500000000171</v>
      </c>
      <c r="KE223" s="175">
        <f t="shared" si="605"/>
        <v>4853.9500000000171</v>
      </c>
      <c r="KF223" s="175">
        <f t="shared" si="605"/>
        <v>4853.9500000000171</v>
      </c>
      <c r="KG223" s="175">
        <f t="shared" si="605"/>
        <v>4853.9500000000171</v>
      </c>
      <c r="KH223" s="175">
        <f t="shared" si="605"/>
        <v>4853.9500000000171</v>
      </c>
      <c r="KI223" s="175">
        <f t="shared" si="605"/>
        <v>4853.9500000000171</v>
      </c>
      <c r="KJ223" s="175">
        <f>KD223+KJ221</f>
        <v>4853.9500000000171</v>
      </c>
      <c r="KK223" s="175">
        <f t="shared" si="605"/>
        <v>4853.9500000000171</v>
      </c>
      <c r="KL223" s="175">
        <f t="shared" si="605"/>
        <v>4853.9500000000171</v>
      </c>
      <c r="KM223" s="175">
        <f t="shared" si="605"/>
        <v>4853.9500000000171</v>
      </c>
      <c r="KN223" s="175">
        <f t="shared" si="605"/>
        <v>4853.9500000000171</v>
      </c>
      <c r="KO223" s="175">
        <f t="shared" si="605"/>
        <v>4853.9500000000171</v>
      </c>
      <c r="KP223" s="175">
        <f>KJ223+KP221</f>
        <v>4853.9500000000171</v>
      </c>
      <c r="KQ223" s="175">
        <f t="shared" si="605"/>
        <v>4853.9500000000171</v>
      </c>
      <c r="KR223" s="175">
        <f t="shared" si="605"/>
        <v>4853.9500000000171</v>
      </c>
      <c r="KS223" s="175">
        <f t="shared" si="605"/>
        <v>4853.9500000000171</v>
      </c>
      <c r="KT223" s="175">
        <f t="shared" si="605"/>
        <v>4853.9500000000171</v>
      </c>
      <c r="KU223" s="175">
        <f t="shared" si="605"/>
        <v>4853.9500000000171</v>
      </c>
      <c r="KV223" s="175">
        <f>KP223+KV221</f>
        <v>4853.9500000000171</v>
      </c>
      <c r="KW223" s="175">
        <f t="shared" si="605"/>
        <v>4853.9500000000171</v>
      </c>
      <c r="KX223" s="175">
        <f t="shared" si="605"/>
        <v>4853.9500000000171</v>
      </c>
      <c r="KY223" s="175">
        <f t="shared" si="605"/>
        <v>4853.9500000000171</v>
      </c>
      <c r="KZ223" s="175">
        <f t="shared" si="605"/>
        <v>4853.9500000000171</v>
      </c>
      <c r="LA223" s="175">
        <f t="shared" si="605"/>
        <v>4853.9500000000171</v>
      </c>
      <c r="LB223" s="175">
        <f>KV223+LB221</f>
        <v>4853.9500000000171</v>
      </c>
      <c r="LC223" s="175">
        <f t="shared" si="605"/>
        <v>4853.9500000000171</v>
      </c>
      <c r="LD223" s="175">
        <f t="shared" si="605"/>
        <v>4853.9500000000171</v>
      </c>
      <c r="LE223" s="175">
        <f t="shared" si="605"/>
        <v>4853.9500000000171</v>
      </c>
      <c r="LF223" s="175">
        <f>LB223+LF221</f>
        <v>4853.9500000000171</v>
      </c>
      <c r="LG223" s="175">
        <f>KD223+LG221</f>
        <v>4853.9500000000171</v>
      </c>
    </row>
    <row r="224" spans="2:322" ht="15.75" thickBot="1"/>
    <row r="225" spans="2:319" ht="16.5" thickBot="1">
      <c r="B225" s="982" t="s">
        <v>111</v>
      </c>
      <c r="C225" s="983"/>
      <c r="D225" s="983"/>
      <c r="E225" s="983"/>
      <c r="F225" s="983"/>
      <c r="G225" s="983"/>
      <c r="H225" s="983"/>
      <c r="I225" s="983"/>
      <c r="J225" s="983"/>
      <c r="K225" s="983"/>
      <c r="L225" s="983"/>
      <c r="M225" s="983"/>
      <c r="N225" s="983"/>
      <c r="O225" s="983"/>
      <c r="P225" s="983"/>
      <c r="Q225" s="983"/>
      <c r="R225" s="983"/>
      <c r="S225" s="983"/>
      <c r="T225" s="983"/>
      <c r="U225" s="983"/>
      <c r="V225" s="983"/>
      <c r="W225" s="983"/>
      <c r="X225" s="983"/>
      <c r="Y225" s="983"/>
      <c r="Z225" s="983"/>
      <c r="AA225" s="983"/>
      <c r="AB225" s="983"/>
      <c r="AC225" s="983"/>
      <c r="AD225" s="983"/>
      <c r="AE225" s="983"/>
      <c r="AF225" s="983"/>
      <c r="AG225" s="983"/>
      <c r="AH225" s="983"/>
      <c r="AI225" s="983"/>
      <c r="AJ225" s="983"/>
      <c r="AK225" s="983"/>
      <c r="AL225" s="983"/>
      <c r="AM225" s="983"/>
      <c r="AN225" s="983"/>
      <c r="AO225" s="983"/>
      <c r="AP225" s="983"/>
      <c r="AQ225" s="983"/>
      <c r="AR225" s="983"/>
      <c r="AS225" s="983"/>
      <c r="AT225" s="983"/>
      <c r="AU225" s="983"/>
      <c r="AV225" s="983"/>
      <c r="AW225" s="983"/>
      <c r="AX225" s="983"/>
      <c r="AY225" s="983"/>
      <c r="AZ225" s="983"/>
      <c r="BA225" s="983"/>
      <c r="BB225" s="983"/>
      <c r="BC225" s="983"/>
      <c r="BD225" s="983"/>
      <c r="BE225" s="983"/>
      <c r="BF225" s="983"/>
      <c r="BG225" s="983"/>
      <c r="BH225" s="983"/>
      <c r="BI225" s="983"/>
      <c r="BJ225" s="983"/>
      <c r="BK225" s="983"/>
      <c r="BL225" s="983"/>
      <c r="BM225" s="983"/>
      <c r="BN225" s="983"/>
      <c r="BO225" s="983"/>
      <c r="BP225" s="983"/>
      <c r="BQ225" s="983"/>
      <c r="BR225" s="983"/>
      <c r="BS225" s="983"/>
      <c r="BT225" s="983"/>
      <c r="BU225" s="983"/>
      <c r="BV225" s="983"/>
      <c r="BW225" s="983"/>
      <c r="BX225" s="983"/>
      <c r="BY225" s="983"/>
      <c r="BZ225" s="983"/>
      <c r="CA225" s="983"/>
      <c r="CB225" s="983"/>
      <c r="CC225" s="983"/>
      <c r="CD225" s="983"/>
      <c r="CE225" s="983"/>
      <c r="CF225" s="983"/>
      <c r="CG225" s="983"/>
      <c r="CH225" s="983"/>
      <c r="CI225" s="983"/>
      <c r="CJ225" s="983"/>
      <c r="CK225" s="983"/>
      <c r="CL225" s="983"/>
      <c r="CM225" s="983"/>
      <c r="CN225" s="983"/>
      <c r="CO225" s="983"/>
      <c r="CP225" s="983"/>
      <c r="CQ225" s="983"/>
      <c r="CR225" s="983"/>
      <c r="CS225" s="983"/>
      <c r="CT225" s="983"/>
      <c r="CU225" s="983"/>
      <c r="CV225" s="983"/>
      <c r="CW225" s="983"/>
      <c r="CX225" s="983"/>
      <c r="CY225" s="983"/>
      <c r="CZ225" s="983"/>
      <c r="DA225" s="983"/>
      <c r="DB225" s="983"/>
      <c r="DC225" s="983"/>
      <c r="DD225" s="983"/>
      <c r="DE225" s="983"/>
      <c r="DF225" s="983"/>
      <c r="DG225" s="983"/>
      <c r="DH225" s="983"/>
      <c r="DI225" s="983"/>
      <c r="DJ225" s="983"/>
      <c r="DK225" s="983"/>
      <c r="DL225" s="983"/>
      <c r="DM225" s="983"/>
      <c r="DN225" s="983"/>
      <c r="DO225" s="983"/>
      <c r="DP225" s="983"/>
      <c r="DQ225" s="983"/>
      <c r="DR225" s="983"/>
      <c r="DS225" s="983"/>
      <c r="DT225" s="983"/>
      <c r="DU225" s="983"/>
      <c r="DV225" s="983"/>
      <c r="DW225" s="983"/>
      <c r="DX225" s="983"/>
      <c r="DY225" s="983"/>
      <c r="DZ225" s="983"/>
      <c r="EA225" s="983"/>
      <c r="EB225" s="983"/>
      <c r="EC225" s="983"/>
      <c r="ED225" s="983"/>
      <c r="EE225" s="983"/>
      <c r="EF225" s="983"/>
      <c r="EG225" s="983"/>
      <c r="EH225" s="983"/>
      <c r="EI225" s="983"/>
      <c r="EJ225" s="983"/>
      <c r="EK225" s="983"/>
      <c r="EL225" s="983"/>
      <c r="EM225" s="983"/>
      <c r="EN225" s="983"/>
      <c r="EO225" s="983"/>
      <c r="EP225" s="983"/>
      <c r="EQ225" s="983"/>
      <c r="ER225" s="983"/>
      <c r="ES225" s="983"/>
      <c r="ET225" s="983"/>
      <c r="EU225" s="983"/>
      <c r="EV225" s="983"/>
      <c r="EW225" s="983"/>
      <c r="EX225" s="983"/>
      <c r="EY225" s="983"/>
      <c r="EZ225" s="983"/>
      <c r="FA225" s="983"/>
      <c r="FB225" s="983"/>
      <c r="FC225" s="983"/>
      <c r="FD225" s="983"/>
      <c r="FE225" s="983"/>
      <c r="FF225" s="983"/>
      <c r="FG225" s="983"/>
      <c r="FH225" s="983"/>
      <c r="FI225" s="983"/>
      <c r="FJ225" s="983"/>
      <c r="FK225" s="983"/>
      <c r="FL225" s="983"/>
      <c r="FM225" s="983"/>
      <c r="FN225" s="983"/>
      <c r="FO225" s="983"/>
      <c r="FP225" s="983"/>
      <c r="FQ225" s="983"/>
      <c r="FR225" s="983"/>
      <c r="FS225" s="983"/>
      <c r="FT225" s="983"/>
      <c r="FU225" s="983"/>
      <c r="FV225" s="983"/>
      <c r="FW225" s="983"/>
      <c r="FX225" s="983"/>
      <c r="FY225" s="983"/>
      <c r="FZ225" s="983"/>
      <c r="GA225" s="983"/>
      <c r="GB225" s="983"/>
      <c r="GC225" s="983"/>
      <c r="GD225" s="983"/>
      <c r="GE225" s="983"/>
      <c r="GF225" s="983"/>
      <c r="GG225" s="983"/>
      <c r="GH225" s="983"/>
      <c r="GI225" s="983"/>
      <c r="GJ225" s="983"/>
      <c r="GK225" s="983"/>
      <c r="GL225" s="983"/>
      <c r="GM225" s="983"/>
      <c r="GN225" s="983"/>
      <c r="GO225" s="983"/>
      <c r="GP225" s="983"/>
      <c r="GQ225" s="983"/>
      <c r="GR225" s="983"/>
      <c r="GS225" s="983"/>
      <c r="GT225" s="983"/>
      <c r="GU225" s="983"/>
      <c r="GV225" s="983"/>
      <c r="GW225" s="983"/>
      <c r="GX225" s="983"/>
      <c r="GY225" s="983"/>
      <c r="GZ225" s="983"/>
      <c r="HA225" s="983"/>
      <c r="HB225" s="983"/>
      <c r="HC225" s="983"/>
      <c r="HD225" s="983"/>
      <c r="HE225" s="983"/>
      <c r="HF225" s="983"/>
      <c r="HG225" s="983"/>
      <c r="HH225" s="983"/>
      <c r="HI225" s="983"/>
      <c r="HJ225" s="983"/>
      <c r="HK225" s="983"/>
      <c r="HL225" s="983"/>
      <c r="HM225" s="983"/>
      <c r="HN225" s="983"/>
      <c r="HO225" s="983"/>
      <c r="HP225" s="983"/>
      <c r="HQ225" s="983"/>
      <c r="HR225" s="983"/>
      <c r="HS225" s="983"/>
      <c r="HT225" s="983"/>
      <c r="HU225" s="983"/>
      <c r="HV225" s="983"/>
      <c r="HW225" s="983"/>
      <c r="HX225" s="983"/>
      <c r="HY225" s="983"/>
      <c r="HZ225" s="983"/>
      <c r="IA225" s="983"/>
      <c r="IB225" s="983"/>
      <c r="IC225" s="983"/>
      <c r="ID225" s="983"/>
      <c r="IE225" s="983"/>
      <c r="IF225" s="983"/>
      <c r="IG225" s="983"/>
      <c r="IH225" s="983"/>
      <c r="II225" s="983"/>
      <c r="IJ225" s="983"/>
      <c r="IK225" s="983"/>
      <c r="IL225" s="983"/>
      <c r="IM225" s="983"/>
      <c r="IN225" s="983"/>
      <c r="IO225" s="983"/>
      <c r="IP225" s="983"/>
      <c r="IQ225" s="983"/>
      <c r="IR225" s="983"/>
      <c r="IS225" s="983"/>
      <c r="IT225" s="983"/>
      <c r="IU225" s="983"/>
      <c r="IV225" s="983"/>
      <c r="IW225" s="983"/>
      <c r="IX225" s="983"/>
      <c r="IY225" s="983"/>
      <c r="IZ225" s="983"/>
      <c r="JA225" s="983"/>
      <c r="JB225" s="983"/>
      <c r="JC225" s="983"/>
      <c r="JD225" s="983"/>
      <c r="JE225" s="983"/>
      <c r="JF225" s="983"/>
      <c r="JG225" s="983"/>
      <c r="JH225" s="983"/>
      <c r="JI225" s="983"/>
      <c r="JJ225" s="983"/>
      <c r="JK225" s="983"/>
      <c r="JL225" s="983"/>
      <c r="JM225" s="983"/>
      <c r="JN225" s="983"/>
      <c r="JO225" s="983"/>
      <c r="JP225" s="983"/>
      <c r="JQ225" s="983"/>
      <c r="JR225" s="983"/>
      <c r="JS225" s="983"/>
      <c r="JT225" s="983"/>
      <c r="JU225" s="983"/>
      <c r="JV225" s="983"/>
      <c r="JW225" s="983"/>
      <c r="JX225" s="983"/>
      <c r="JY225" s="983"/>
      <c r="JZ225" s="983"/>
      <c r="KA225" s="983"/>
      <c r="KB225" s="983"/>
      <c r="KC225" s="983"/>
      <c r="KD225" s="983"/>
      <c r="KE225" s="983"/>
      <c r="KF225" s="983"/>
      <c r="KG225" s="983"/>
      <c r="KH225" s="983"/>
      <c r="KI225" s="983"/>
      <c r="KJ225" s="983"/>
      <c r="KK225" s="983"/>
      <c r="KL225" s="983"/>
      <c r="KM225" s="983"/>
      <c r="KN225" s="983"/>
      <c r="KO225" s="983"/>
      <c r="KP225" s="983"/>
      <c r="KQ225" s="983"/>
      <c r="KR225" s="983"/>
      <c r="KS225" s="983"/>
      <c r="KT225" s="983"/>
      <c r="KU225" s="983"/>
      <c r="KV225" s="983"/>
      <c r="KW225" s="983"/>
      <c r="KX225" s="983"/>
      <c r="KY225" s="983"/>
      <c r="KZ225" s="983"/>
      <c r="LA225" s="983"/>
      <c r="LB225" s="983"/>
      <c r="LC225" s="983"/>
      <c r="LD225" s="983"/>
      <c r="LE225" s="983"/>
      <c r="LF225" s="983"/>
      <c r="LG225" s="984"/>
    </row>
    <row r="226" spans="2:319">
      <c r="B226" s="92" t="s">
        <v>77</v>
      </c>
      <c r="C226" s="171">
        <f>SUM(C227:C250)</f>
        <v>1.18</v>
      </c>
      <c r="D226" s="171">
        <f t="shared" ref="D226:AA226" si="606">SUM(D227:D250)</f>
        <v>1.18</v>
      </c>
      <c r="E226" s="171">
        <f t="shared" si="606"/>
        <v>0</v>
      </c>
      <c r="F226" s="171">
        <f t="shared" si="606"/>
        <v>2550.7139999999999</v>
      </c>
      <c r="G226" s="171">
        <f t="shared" si="606"/>
        <v>0</v>
      </c>
      <c r="H226" s="171">
        <f t="shared" si="606"/>
        <v>0</v>
      </c>
      <c r="I226" s="171">
        <f t="shared" si="606"/>
        <v>0</v>
      </c>
      <c r="J226" s="171">
        <f t="shared" si="606"/>
        <v>2550.7139999999999</v>
      </c>
      <c r="K226" s="171">
        <f t="shared" si="606"/>
        <v>0</v>
      </c>
      <c r="L226" s="171">
        <f t="shared" si="606"/>
        <v>0</v>
      </c>
      <c r="M226" s="171">
        <f t="shared" si="606"/>
        <v>0</v>
      </c>
      <c r="N226" s="171">
        <f t="shared" si="606"/>
        <v>3628.7159999999999</v>
      </c>
      <c r="O226" s="171">
        <f t="shared" si="606"/>
        <v>3628.7159999999999</v>
      </c>
      <c r="P226" s="171">
        <f t="shared" si="606"/>
        <v>0</v>
      </c>
      <c r="Q226" s="171">
        <f t="shared" si="606"/>
        <v>0</v>
      </c>
      <c r="R226" s="171">
        <f t="shared" si="606"/>
        <v>3475.0050000000001</v>
      </c>
      <c r="S226" s="171">
        <f t="shared" si="606"/>
        <v>0</v>
      </c>
      <c r="T226" s="171">
        <f t="shared" si="606"/>
        <v>0</v>
      </c>
      <c r="U226" s="171">
        <f t="shared" si="606"/>
        <v>3475.0050000000001</v>
      </c>
      <c r="V226" s="171">
        <f t="shared" si="606"/>
        <v>0</v>
      </c>
      <c r="W226" s="171">
        <f t="shared" si="606"/>
        <v>0</v>
      </c>
      <c r="X226" s="171">
        <f t="shared" si="606"/>
        <v>0</v>
      </c>
      <c r="Y226" s="171">
        <f t="shared" si="606"/>
        <v>0</v>
      </c>
      <c r="Z226" s="171">
        <f t="shared" si="606"/>
        <v>16290.204</v>
      </c>
      <c r="AA226" s="171">
        <f t="shared" si="606"/>
        <v>16290.204</v>
      </c>
      <c r="AB226" s="233">
        <f>SUM(AB227:AB250)</f>
        <v>25945.819</v>
      </c>
      <c r="AC226" s="171">
        <f>SUM(AC227:AC251)</f>
        <v>4026.5569999999998</v>
      </c>
      <c r="AD226" s="240">
        <f>SUM(AD227:AD251)</f>
        <v>0</v>
      </c>
      <c r="AE226" s="240">
        <f>SUM(AE227:AE251)</f>
        <v>0</v>
      </c>
      <c r="AF226" s="240">
        <f>SUM(AF227:AF251)</f>
        <v>0</v>
      </c>
      <c r="AG226" s="498">
        <f>SUM(AG227:AG251)</f>
        <v>0</v>
      </c>
      <c r="AH226" s="197">
        <f t="shared" ref="AH226:AZ226" si="607">SUM(AH227:AH251)</f>
        <v>4026.5569999999998</v>
      </c>
      <c r="AI226" s="171">
        <f t="shared" si="607"/>
        <v>1499.86</v>
      </c>
      <c r="AJ226" s="240">
        <f t="shared" si="607"/>
        <v>0</v>
      </c>
      <c r="AK226" s="240">
        <f t="shared" si="607"/>
        <v>0</v>
      </c>
      <c r="AL226" s="240">
        <f t="shared" si="607"/>
        <v>0</v>
      </c>
      <c r="AM226" s="498">
        <f t="shared" si="607"/>
        <v>0</v>
      </c>
      <c r="AN226" s="197">
        <f t="shared" si="607"/>
        <v>1499.86</v>
      </c>
      <c r="AO226" s="171">
        <f t="shared" si="607"/>
        <v>0</v>
      </c>
      <c r="AP226" s="240">
        <f t="shared" si="607"/>
        <v>0</v>
      </c>
      <c r="AQ226" s="240">
        <f t="shared" si="607"/>
        <v>0</v>
      </c>
      <c r="AR226" s="240">
        <f t="shared" si="607"/>
        <v>0</v>
      </c>
      <c r="AS226" s="498">
        <f t="shared" si="607"/>
        <v>0</v>
      </c>
      <c r="AT226" s="197">
        <f t="shared" si="607"/>
        <v>0</v>
      </c>
      <c r="AU226" s="171">
        <f t="shared" si="607"/>
        <v>0</v>
      </c>
      <c r="AV226" s="240">
        <f t="shared" si="607"/>
        <v>0</v>
      </c>
      <c r="AW226" s="240">
        <f t="shared" si="607"/>
        <v>100</v>
      </c>
      <c r="AX226" s="240">
        <f t="shared" si="607"/>
        <v>0</v>
      </c>
      <c r="AY226" s="498">
        <f t="shared" si="607"/>
        <v>0</v>
      </c>
      <c r="AZ226" s="197">
        <f t="shared" si="607"/>
        <v>100</v>
      </c>
      <c r="BA226" s="233">
        <f t="shared" ref="BA226:FC226" si="608">SUM(BA227:BA251)</f>
        <v>5626.4169999999995</v>
      </c>
      <c r="BB226" s="171">
        <f t="shared" si="608"/>
        <v>12131.538999999999</v>
      </c>
      <c r="BC226" s="240">
        <f t="shared" si="608"/>
        <v>7166.8020000000006</v>
      </c>
      <c r="BD226" s="240">
        <f t="shared" si="608"/>
        <v>2503.5450000000001</v>
      </c>
      <c r="BE226" s="240">
        <f t="shared" si="608"/>
        <v>0</v>
      </c>
      <c r="BF226" s="498">
        <f t="shared" si="608"/>
        <v>0</v>
      </c>
      <c r="BG226" s="197">
        <f t="shared" si="608"/>
        <v>21801.886000000002</v>
      </c>
      <c r="BH226" s="171">
        <f t="shared" si="608"/>
        <v>2278.3000000000002</v>
      </c>
      <c r="BI226" s="240">
        <f t="shared" si="608"/>
        <v>0</v>
      </c>
      <c r="BJ226" s="240">
        <f t="shared" si="608"/>
        <v>0</v>
      </c>
      <c r="BK226" s="240">
        <f t="shared" si="608"/>
        <v>0</v>
      </c>
      <c r="BL226" s="498">
        <f t="shared" si="608"/>
        <v>0</v>
      </c>
      <c r="BM226" s="197">
        <f t="shared" si="608"/>
        <v>2278.3000000000002</v>
      </c>
      <c r="BN226" s="171">
        <f t="shared" si="608"/>
        <v>0</v>
      </c>
      <c r="BO226" s="240">
        <f t="shared" si="608"/>
        <v>0</v>
      </c>
      <c r="BP226" s="240">
        <f t="shared" si="608"/>
        <v>0</v>
      </c>
      <c r="BQ226" s="498">
        <f t="shared" si="608"/>
        <v>66</v>
      </c>
      <c r="BR226" s="197">
        <f t="shared" si="608"/>
        <v>66</v>
      </c>
      <c r="BS226" s="171">
        <f t="shared" si="608"/>
        <v>0</v>
      </c>
      <c r="BT226" s="240">
        <f t="shared" si="608"/>
        <v>0</v>
      </c>
      <c r="BU226" s="240">
        <f t="shared" si="608"/>
        <v>0</v>
      </c>
      <c r="BV226" s="240">
        <f t="shared" si="608"/>
        <v>0</v>
      </c>
      <c r="BW226" s="498">
        <f t="shared" si="608"/>
        <v>0</v>
      </c>
      <c r="BX226" s="197">
        <f t="shared" si="608"/>
        <v>0</v>
      </c>
      <c r="BY226" s="171">
        <f>SUM(BY227:BY251)</f>
        <v>0</v>
      </c>
      <c r="BZ226" s="240">
        <f>SUM(BZ227:BZ251)</f>
        <v>100</v>
      </c>
      <c r="CA226" s="197">
        <f t="shared" si="608"/>
        <v>100</v>
      </c>
      <c r="CB226" s="233">
        <f t="shared" si="608"/>
        <v>24246.185999999998</v>
      </c>
      <c r="CC226" s="171">
        <f t="shared" si="608"/>
        <v>14844.589</v>
      </c>
      <c r="CD226" s="240">
        <f t="shared" si="608"/>
        <v>0</v>
      </c>
      <c r="CE226" s="240">
        <f t="shared" si="608"/>
        <v>0</v>
      </c>
      <c r="CF226" s="197">
        <f t="shared" si="608"/>
        <v>14844.589</v>
      </c>
      <c r="CG226" s="171">
        <f t="shared" si="608"/>
        <v>4186.506000000004</v>
      </c>
      <c r="CH226" s="240">
        <f t="shared" si="608"/>
        <v>0</v>
      </c>
      <c r="CI226" s="240">
        <f t="shared" si="608"/>
        <v>100</v>
      </c>
      <c r="CJ226" s="498">
        <f t="shared" si="608"/>
        <v>0</v>
      </c>
      <c r="CK226" s="197">
        <f t="shared" si="608"/>
        <v>4286.506000000004</v>
      </c>
      <c r="CL226" s="171">
        <f t="shared" si="608"/>
        <v>9797.8909999999996</v>
      </c>
      <c r="CM226" s="240">
        <f t="shared" si="608"/>
        <v>0</v>
      </c>
      <c r="CN226" s="240">
        <f t="shared" si="608"/>
        <v>100</v>
      </c>
      <c r="CO226" s="240">
        <f t="shared" si="608"/>
        <v>0</v>
      </c>
      <c r="CP226" s="498">
        <f t="shared" si="608"/>
        <v>2848.0390000000002</v>
      </c>
      <c r="CQ226" s="197">
        <f t="shared" si="608"/>
        <v>12745.93</v>
      </c>
      <c r="CR226" s="171">
        <f t="shared" si="608"/>
        <v>0</v>
      </c>
      <c r="CS226" s="240">
        <f t="shared" si="608"/>
        <v>0</v>
      </c>
      <c r="CT226" s="240">
        <f t="shared" si="608"/>
        <v>0</v>
      </c>
      <c r="CU226" s="240">
        <f t="shared" si="608"/>
        <v>0</v>
      </c>
      <c r="CV226" s="498">
        <f t="shared" si="608"/>
        <v>0</v>
      </c>
      <c r="CW226" s="197">
        <f t="shared" si="608"/>
        <v>0</v>
      </c>
      <c r="CX226" s="171">
        <f t="shared" si="608"/>
        <v>0</v>
      </c>
      <c r="CY226" s="240">
        <f t="shared" si="608"/>
        <v>0</v>
      </c>
      <c r="CZ226" s="240">
        <f t="shared" si="608"/>
        <v>0</v>
      </c>
      <c r="DA226" s="498">
        <f t="shared" si="608"/>
        <v>14462.965</v>
      </c>
      <c r="DB226" s="197">
        <f t="shared" si="608"/>
        <v>14462.965</v>
      </c>
      <c r="DC226" s="233">
        <f t="shared" si="608"/>
        <v>46339.990000000005</v>
      </c>
      <c r="DD226" s="171">
        <f t="shared" si="608"/>
        <v>0.35399999999999998</v>
      </c>
      <c r="DE226" s="240">
        <f t="shared" si="608"/>
        <v>0</v>
      </c>
      <c r="DF226" s="240">
        <f t="shared" si="608"/>
        <v>0</v>
      </c>
      <c r="DG226" s="240">
        <f t="shared" si="608"/>
        <v>0</v>
      </c>
      <c r="DH226" s="240">
        <f t="shared" si="608"/>
        <v>0</v>
      </c>
      <c r="DI226" s="197">
        <f t="shared" si="608"/>
        <v>0.35399999999999998</v>
      </c>
      <c r="DJ226" s="171">
        <f t="shared" si="608"/>
        <v>0</v>
      </c>
      <c r="DK226" s="240">
        <f t="shared" si="608"/>
        <v>0</v>
      </c>
      <c r="DL226" s="240">
        <f t="shared" si="608"/>
        <v>0</v>
      </c>
      <c r="DM226" s="240">
        <f t="shared" si="608"/>
        <v>0</v>
      </c>
      <c r="DN226" s="498">
        <f t="shared" si="608"/>
        <v>0</v>
      </c>
      <c r="DO226" s="197">
        <f t="shared" si="608"/>
        <v>0</v>
      </c>
      <c r="DP226" s="171">
        <f t="shared" si="608"/>
        <v>0</v>
      </c>
      <c r="DQ226" s="240">
        <f t="shared" si="608"/>
        <v>0</v>
      </c>
      <c r="DR226" s="240">
        <f t="shared" si="608"/>
        <v>0</v>
      </c>
      <c r="DS226" s="240">
        <f t="shared" si="608"/>
        <v>0</v>
      </c>
      <c r="DT226" s="498">
        <f t="shared" si="608"/>
        <v>0</v>
      </c>
      <c r="DU226" s="197">
        <f t="shared" si="608"/>
        <v>0</v>
      </c>
      <c r="DV226" s="171">
        <f t="shared" si="608"/>
        <v>0</v>
      </c>
      <c r="DW226" s="240">
        <f t="shared" si="608"/>
        <v>0</v>
      </c>
      <c r="DX226" s="240">
        <f t="shared" si="608"/>
        <v>0</v>
      </c>
      <c r="DY226" s="240">
        <f t="shared" si="608"/>
        <v>0</v>
      </c>
      <c r="DZ226" s="498">
        <f t="shared" si="608"/>
        <v>0</v>
      </c>
      <c r="EA226" s="197">
        <f t="shared" si="608"/>
        <v>0</v>
      </c>
      <c r="EB226" s="233">
        <f t="shared" si="608"/>
        <v>0.35399999999999998</v>
      </c>
      <c r="EC226" s="171">
        <f t="shared" si="608"/>
        <v>16952.445</v>
      </c>
      <c r="ED226" s="240">
        <f t="shared" si="608"/>
        <v>3084.61</v>
      </c>
      <c r="EE226" s="240">
        <f t="shared" si="608"/>
        <v>0</v>
      </c>
      <c r="EF226" s="240">
        <f t="shared" si="608"/>
        <v>0</v>
      </c>
      <c r="EG226" s="498">
        <f t="shared" si="608"/>
        <v>0</v>
      </c>
      <c r="EH226" s="197">
        <f t="shared" si="608"/>
        <v>20037.055</v>
      </c>
      <c r="EI226" s="171">
        <f t="shared" si="608"/>
        <v>0</v>
      </c>
      <c r="EJ226" s="240">
        <f t="shared" si="608"/>
        <v>0</v>
      </c>
      <c r="EK226" s="240">
        <f t="shared" si="608"/>
        <v>0</v>
      </c>
      <c r="EL226" s="240">
        <f t="shared" si="608"/>
        <v>0</v>
      </c>
      <c r="EM226" s="498">
        <f t="shared" si="608"/>
        <v>0</v>
      </c>
      <c r="EN226" s="197">
        <f t="shared" si="608"/>
        <v>0</v>
      </c>
      <c r="EO226" s="171">
        <f t="shared" si="608"/>
        <v>0</v>
      </c>
      <c r="EP226" s="240">
        <f t="shared" si="608"/>
        <v>0</v>
      </c>
      <c r="EQ226" s="240">
        <f t="shared" si="608"/>
        <v>0</v>
      </c>
      <c r="ER226" s="240">
        <f t="shared" si="608"/>
        <v>0</v>
      </c>
      <c r="ES226" s="498">
        <f t="shared" si="608"/>
        <v>0</v>
      </c>
      <c r="ET226" s="197">
        <f t="shared" si="608"/>
        <v>0</v>
      </c>
      <c r="EU226" s="171">
        <f t="shared" si="608"/>
        <v>0</v>
      </c>
      <c r="EV226" s="240">
        <f t="shared" si="608"/>
        <v>0</v>
      </c>
      <c r="EW226" s="240">
        <f t="shared" si="608"/>
        <v>0</v>
      </c>
      <c r="EX226" s="240">
        <f t="shared" si="608"/>
        <v>0</v>
      </c>
      <c r="EY226" s="240">
        <f t="shared" si="608"/>
        <v>0</v>
      </c>
      <c r="EZ226" s="240">
        <f>SUM(EZ227:EZ251)</f>
        <v>149371.78600000002</v>
      </c>
      <c r="FA226" s="498">
        <f t="shared" si="608"/>
        <v>2444.2969999999996</v>
      </c>
      <c r="FB226" s="197">
        <f t="shared" si="608"/>
        <v>151816.08300000001</v>
      </c>
      <c r="FC226" s="233">
        <f t="shared" si="608"/>
        <v>171853.13800000001</v>
      </c>
      <c r="FD226" s="171">
        <f t="shared" ref="FD226:FX226" si="609">SUM(FD227:FD251)</f>
        <v>11875.652</v>
      </c>
      <c r="FE226" s="240">
        <f t="shared" si="609"/>
        <v>0</v>
      </c>
      <c r="FF226" s="498">
        <f t="shared" si="609"/>
        <v>0</v>
      </c>
      <c r="FG226" s="197">
        <f t="shared" si="609"/>
        <v>11875.652</v>
      </c>
      <c r="FH226" s="171">
        <f t="shared" si="609"/>
        <v>3611.5190000000002</v>
      </c>
      <c r="FI226" s="240">
        <f t="shared" si="609"/>
        <v>0</v>
      </c>
      <c r="FJ226" s="240">
        <f t="shared" si="609"/>
        <v>0</v>
      </c>
      <c r="FK226" s="240">
        <f t="shared" si="609"/>
        <v>0</v>
      </c>
      <c r="FL226" s="498">
        <f t="shared" si="609"/>
        <v>0</v>
      </c>
      <c r="FM226" s="197">
        <f t="shared" si="609"/>
        <v>3611.5190000000002</v>
      </c>
      <c r="FN226" s="171">
        <f>SUM(FN227:FN251)</f>
        <v>0</v>
      </c>
      <c r="FO226" s="240">
        <f>SUM(FO227:FO251)</f>
        <v>1737.7780000000057</v>
      </c>
      <c r="FP226" s="240">
        <f>SUM(FP227:FP251)</f>
        <v>0</v>
      </c>
      <c r="FQ226" s="240">
        <f>SUM(FQ227:FQ251)</f>
        <v>0</v>
      </c>
      <c r="FR226" s="197">
        <f t="shared" si="609"/>
        <v>1737.7780000000057</v>
      </c>
      <c r="FS226" s="171">
        <f t="shared" si="609"/>
        <v>2133.3020000000001</v>
      </c>
      <c r="FT226" s="240">
        <f t="shared" si="609"/>
        <v>0</v>
      </c>
      <c r="FU226" s="240">
        <f t="shared" si="609"/>
        <v>0</v>
      </c>
      <c r="FV226" s="240">
        <f t="shared" si="609"/>
        <v>0</v>
      </c>
      <c r="FW226" s="498">
        <f t="shared" si="609"/>
        <v>0</v>
      </c>
      <c r="FX226" s="197">
        <f t="shared" si="609"/>
        <v>2133.3020000000001</v>
      </c>
      <c r="FY226" s="171">
        <f t="shared" ref="FY226:GD226" si="610">SUM(FY227:FY251)</f>
        <v>0</v>
      </c>
      <c r="FZ226" s="240">
        <f t="shared" si="610"/>
        <v>0</v>
      </c>
      <c r="GA226" s="240">
        <f t="shared" si="610"/>
        <v>0</v>
      </c>
      <c r="GB226" s="240">
        <f t="shared" si="610"/>
        <v>2425.65</v>
      </c>
      <c r="GC226" s="498">
        <f t="shared" si="610"/>
        <v>0</v>
      </c>
      <c r="GD226" s="197">
        <f t="shared" si="610"/>
        <v>2425.65</v>
      </c>
      <c r="GE226" s="233">
        <f t="shared" ref="GE226:LG226" si="611">SUM(GE227:GE251)</f>
        <v>21783.901000000005</v>
      </c>
      <c r="GF226" s="171">
        <f t="shared" si="611"/>
        <v>0</v>
      </c>
      <c r="GG226" s="240">
        <f t="shared" si="611"/>
        <v>0</v>
      </c>
      <c r="GH226" s="240">
        <f t="shared" si="611"/>
        <v>12164.427</v>
      </c>
      <c r="GI226" s="240">
        <f t="shared" si="611"/>
        <v>0</v>
      </c>
      <c r="GJ226" s="240">
        <f t="shared" si="611"/>
        <v>0</v>
      </c>
      <c r="GK226" s="197">
        <f t="shared" si="611"/>
        <v>12164.427</v>
      </c>
      <c r="GL226" s="171">
        <f t="shared" si="611"/>
        <v>0</v>
      </c>
      <c r="GM226" s="240">
        <f t="shared" si="611"/>
        <v>0</v>
      </c>
      <c r="GN226" s="240">
        <f t="shared" si="611"/>
        <v>4123.7240000000002</v>
      </c>
      <c r="GO226" s="498">
        <f t="shared" si="611"/>
        <v>0</v>
      </c>
      <c r="GP226" s="197">
        <f t="shared" si="611"/>
        <v>4123.7240000000002</v>
      </c>
      <c r="GQ226" s="171">
        <f t="shared" si="611"/>
        <v>0</v>
      </c>
      <c r="GR226" s="240">
        <f t="shared" si="611"/>
        <v>0</v>
      </c>
      <c r="GS226" s="240">
        <f t="shared" si="611"/>
        <v>2660</v>
      </c>
      <c r="GT226" s="240">
        <f t="shared" si="611"/>
        <v>0</v>
      </c>
      <c r="GU226" s="498">
        <f t="shared" si="611"/>
        <v>0</v>
      </c>
      <c r="GV226" s="197">
        <f t="shared" si="611"/>
        <v>2660</v>
      </c>
      <c r="GW226" s="171">
        <f t="shared" si="611"/>
        <v>0</v>
      </c>
      <c r="GX226" s="240">
        <f t="shared" si="611"/>
        <v>0</v>
      </c>
      <c r="GY226" s="240">
        <f t="shared" si="611"/>
        <v>0</v>
      </c>
      <c r="GZ226" s="240">
        <f>SUM(GZ227:GZ251)</f>
        <v>0</v>
      </c>
      <c r="HA226" s="240">
        <f>SUM(HA227:HA251)</f>
        <v>0</v>
      </c>
      <c r="HB226" s="498">
        <f t="shared" si="611"/>
        <v>0</v>
      </c>
      <c r="HC226" s="197">
        <f t="shared" si="611"/>
        <v>0</v>
      </c>
      <c r="HD226" s="233">
        <f t="shared" si="611"/>
        <v>18948.150999999998</v>
      </c>
      <c r="HE226" s="171">
        <f t="shared" si="611"/>
        <v>84.057000000000002</v>
      </c>
      <c r="HF226" s="240">
        <f t="shared" si="611"/>
        <v>0</v>
      </c>
      <c r="HG226" s="240">
        <f t="shared" si="611"/>
        <v>0</v>
      </c>
      <c r="HH226" s="240">
        <f t="shared" si="611"/>
        <v>0</v>
      </c>
      <c r="HI226" s="197">
        <f t="shared" si="611"/>
        <v>84.057000000000002</v>
      </c>
      <c r="HJ226" s="171">
        <f t="shared" si="611"/>
        <v>0</v>
      </c>
      <c r="HK226" s="240">
        <f t="shared" si="611"/>
        <v>1735.373</v>
      </c>
      <c r="HL226" s="240">
        <f t="shared" si="611"/>
        <v>0</v>
      </c>
      <c r="HM226" s="240">
        <f t="shared" si="611"/>
        <v>0</v>
      </c>
      <c r="HN226" s="498">
        <f t="shared" si="611"/>
        <v>0</v>
      </c>
      <c r="HO226" s="197">
        <f t="shared" si="611"/>
        <v>1735.373</v>
      </c>
      <c r="HP226" s="171">
        <f t="shared" si="611"/>
        <v>0</v>
      </c>
      <c r="HQ226" s="240">
        <f t="shared" si="611"/>
        <v>0</v>
      </c>
      <c r="HR226" s="240">
        <f t="shared" si="611"/>
        <v>0</v>
      </c>
      <c r="HS226" s="240">
        <f t="shared" si="611"/>
        <v>0</v>
      </c>
      <c r="HT226" s="498">
        <f t="shared" si="611"/>
        <v>0</v>
      </c>
      <c r="HU226" s="197">
        <f t="shared" si="611"/>
        <v>0</v>
      </c>
      <c r="HV226" s="171">
        <f t="shared" si="611"/>
        <v>0</v>
      </c>
      <c r="HW226" s="240">
        <f t="shared" si="611"/>
        <v>0</v>
      </c>
      <c r="HX226" s="240">
        <f t="shared" si="611"/>
        <v>0</v>
      </c>
      <c r="HY226" s="197">
        <f t="shared" si="611"/>
        <v>0</v>
      </c>
      <c r="HZ226" s="171">
        <f t="shared" si="611"/>
        <v>0</v>
      </c>
      <c r="IA226" s="240">
        <f>SUM(IA227:IA251)</f>
        <v>0</v>
      </c>
      <c r="IB226" s="498">
        <f>SUM(IB227:IB251)</f>
        <v>0</v>
      </c>
      <c r="IC226" s="197">
        <f t="shared" si="611"/>
        <v>0</v>
      </c>
      <c r="ID226" s="233">
        <f t="shared" si="611"/>
        <v>1819.43</v>
      </c>
      <c r="IE226" s="171">
        <f t="shared" si="611"/>
        <v>1.18</v>
      </c>
      <c r="IF226" s="498">
        <f t="shared" si="611"/>
        <v>0</v>
      </c>
      <c r="IG226" s="197">
        <f t="shared" si="611"/>
        <v>1.18</v>
      </c>
      <c r="IH226" s="171">
        <f t="shared" si="611"/>
        <v>2879.2159999999999</v>
      </c>
      <c r="II226" s="240">
        <f t="shared" si="611"/>
        <v>0</v>
      </c>
      <c r="IJ226" s="240">
        <f t="shared" si="611"/>
        <v>0</v>
      </c>
      <c r="IK226" s="240">
        <f t="shared" si="611"/>
        <v>0</v>
      </c>
      <c r="IL226" s="498">
        <f t="shared" si="611"/>
        <v>0</v>
      </c>
      <c r="IM226" s="197">
        <f t="shared" si="611"/>
        <v>2879.2159999999999</v>
      </c>
      <c r="IN226" s="171">
        <f t="shared" si="611"/>
        <v>160</v>
      </c>
      <c r="IO226" s="240">
        <f t="shared" si="611"/>
        <v>0</v>
      </c>
      <c r="IP226" s="498">
        <f t="shared" si="611"/>
        <v>0</v>
      </c>
      <c r="IQ226" s="197">
        <f t="shared" si="611"/>
        <v>160</v>
      </c>
      <c r="IR226" s="171">
        <f t="shared" si="611"/>
        <v>0</v>
      </c>
      <c r="IS226" s="240">
        <f t="shared" si="611"/>
        <v>0</v>
      </c>
      <c r="IT226" s="240">
        <f t="shared" si="611"/>
        <v>10521.865</v>
      </c>
      <c r="IU226" s="240">
        <f t="shared" si="611"/>
        <v>0</v>
      </c>
      <c r="IV226" s="498">
        <f t="shared" si="611"/>
        <v>0</v>
      </c>
      <c r="IW226" s="197">
        <f t="shared" si="611"/>
        <v>10521.865</v>
      </c>
      <c r="IX226" s="171">
        <f t="shared" si="611"/>
        <v>0</v>
      </c>
      <c r="IY226" s="240">
        <f t="shared" si="611"/>
        <v>246250</v>
      </c>
      <c r="IZ226" s="240">
        <f t="shared" si="611"/>
        <v>0</v>
      </c>
      <c r="JA226" s="240">
        <f t="shared" si="611"/>
        <v>0</v>
      </c>
      <c r="JB226" s="498">
        <f t="shared" si="611"/>
        <v>0</v>
      </c>
      <c r="JC226" s="197">
        <f t="shared" si="611"/>
        <v>246250</v>
      </c>
      <c r="JD226" s="233">
        <f t="shared" si="611"/>
        <v>259812.261</v>
      </c>
      <c r="JE226" s="171">
        <f t="shared" si="611"/>
        <v>0</v>
      </c>
      <c r="JF226" s="240">
        <f t="shared" si="611"/>
        <v>0</v>
      </c>
      <c r="JG226" s="240">
        <f t="shared" si="611"/>
        <v>0</v>
      </c>
      <c r="JH226" s="240">
        <f t="shared" si="611"/>
        <v>246250</v>
      </c>
      <c r="JI226" s="498">
        <f t="shared" si="611"/>
        <v>0</v>
      </c>
      <c r="JJ226" s="197">
        <f t="shared" si="611"/>
        <v>246250</v>
      </c>
      <c r="JK226" s="428">
        <f t="shared" si="611"/>
        <v>0</v>
      </c>
      <c r="JL226" s="429">
        <f t="shared" si="611"/>
        <v>0</v>
      </c>
      <c r="JM226" s="429">
        <f t="shared" si="611"/>
        <v>0</v>
      </c>
      <c r="JN226" s="429">
        <f t="shared" si="611"/>
        <v>0</v>
      </c>
      <c r="JO226" s="430">
        <f t="shared" si="611"/>
        <v>0</v>
      </c>
      <c r="JP226" s="147">
        <f t="shared" si="611"/>
        <v>0</v>
      </c>
      <c r="JQ226" s="428">
        <f t="shared" si="611"/>
        <v>0</v>
      </c>
      <c r="JR226" s="429">
        <f t="shared" si="611"/>
        <v>0</v>
      </c>
      <c r="JS226" s="429">
        <f t="shared" si="611"/>
        <v>0</v>
      </c>
      <c r="JT226" s="429">
        <f t="shared" si="611"/>
        <v>0</v>
      </c>
      <c r="JU226" s="430">
        <f t="shared" si="611"/>
        <v>0</v>
      </c>
      <c r="JV226" s="147">
        <f t="shared" si="611"/>
        <v>0</v>
      </c>
      <c r="JW226" s="428">
        <f t="shared" si="611"/>
        <v>0</v>
      </c>
      <c r="JX226" s="429">
        <f t="shared" si="611"/>
        <v>0</v>
      </c>
      <c r="JY226" s="429">
        <f t="shared" si="611"/>
        <v>0</v>
      </c>
      <c r="JZ226" s="429">
        <f t="shared" si="611"/>
        <v>0</v>
      </c>
      <c r="KA226" s="429"/>
      <c r="KB226" s="430">
        <f t="shared" si="611"/>
        <v>0</v>
      </c>
      <c r="KC226" s="147">
        <f t="shared" si="611"/>
        <v>0</v>
      </c>
      <c r="KD226" s="147">
        <f t="shared" si="611"/>
        <v>246250</v>
      </c>
      <c r="KE226" s="428">
        <f t="shared" si="611"/>
        <v>0</v>
      </c>
      <c r="KF226" s="429">
        <f t="shared" si="611"/>
        <v>0</v>
      </c>
      <c r="KG226" s="429">
        <f t="shared" si="611"/>
        <v>0</v>
      </c>
      <c r="KH226" s="429">
        <f t="shared" si="611"/>
        <v>0</v>
      </c>
      <c r="KI226" s="430">
        <f t="shared" si="611"/>
        <v>0</v>
      </c>
      <c r="KJ226" s="147">
        <f t="shared" si="611"/>
        <v>0</v>
      </c>
      <c r="KK226" s="428">
        <f t="shared" si="611"/>
        <v>0</v>
      </c>
      <c r="KL226" s="429">
        <f t="shared" si="611"/>
        <v>0</v>
      </c>
      <c r="KM226" s="429">
        <f t="shared" si="611"/>
        <v>0</v>
      </c>
      <c r="KN226" s="429">
        <f t="shared" si="611"/>
        <v>0</v>
      </c>
      <c r="KO226" s="430">
        <f t="shared" si="611"/>
        <v>0</v>
      </c>
      <c r="KP226" s="147">
        <f t="shared" si="611"/>
        <v>0</v>
      </c>
      <c r="KQ226" s="428">
        <f t="shared" si="611"/>
        <v>0</v>
      </c>
      <c r="KR226" s="429">
        <f t="shared" si="611"/>
        <v>0</v>
      </c>
      <c r="KS226" s="429">
        <f t="shared" si="611"/>
        <v>0</v>
      </c>
      <c r="KT226" s="429">
        <f t="shared" si="611"/>
        <v>0</v>
      </c>
      <c r="KU226" s="430">
        <f t="shared" si="611"/>
        <v>0</v>
      </c>
      <c r="KV226" s="147">
        <f t="shared" si="611"/>
        <v>0</v>
      </c>
      <c r="KW226" s="428">
        <f t="shared" si="611"/>
        <v>0</v>
      </c>
      <c r="KX226" s="429">
        <f t="shared" si="611"/>
        <v>0</v>
      </c>
      <c r="KY226" s="429">
        <f t="shared" si="611"/>
        <v>0</v>
      </c>
      <c r="KZ226" s="429">
        <f t="shared" si="611"/>
        <v>0</v>
      </c>
      <c r="LA226" s="430">
        <f t="shared" si="611"/>
        <v>0</v>
      </c>
      <c r="LB226" s="147">
        <f t="shared" si="611"/>
        <v>0</v>
      </c>
      <c r="LC226" s="428">
        <f t="shared" si="611"/>
        <v>0</v>
      </c>
      <c r="LD226" s="429">
        <f t="shared" si="611"/>
        <v>0</v>
      </c>
      <c r="LE226" s="430">
        <f t="shared" si="611"/>
        <v>0</v>
      </c>
      <c r="LF226" s="147">
        <f t="shared" si="611"/>
        <v>0</v>
      </c>
      <c r="LG226" s="147">
        <f t="shared" si="611"/>
        <v>0</v>
      </c>
    </row>
    <row r="227" spans="2:319">
      <c r="B227" s="96" t="s">
        <v>98</v>
      </c>
      <c r="C227" s="203"/>
      <c r="D227" s="202">
        <f t="shared" ref="D227:D250" si="612">SUM(C227:C227)</f>
        <v>0</v>
      </c>
      <c r="E227" s="203"/>
      <c r="F227" s="205"/>
      <c r="G227" s="205"/>
      <c r="H227" s="205"/>
      <c r="I227" s="204"/>
      <c r="J227" s="202">
        <f>SUM(E227:I227)</f>
        <v>0</v>
      </c>
      <c r="K227" s="203"/>
      <c r="L227" s="205"/>
      <c r="M227" s="205"/>
      <c r="N227" s="204"/>
      <c r="O227" s="202">
        <f>SUM(K227:N227)</f>
        <v>0</v>
      </c>
      <c r="P227" s="203"/>
      <c r="Q227" s="205"/>
      <c r="R227" s="205"/>
      <c r="S227" s="205"/>
      <c r="T227" s="204"/>
      <c r="U227" s="202">
        <f>SUM(P227:T227)</f>
        <v>0</v>
      </c>
      <c r="V227" s="203"/>
      <c r="W227" s="205"/>
      <c r="X227" s="205"/>
      <c r="Y227" s="205"/>
      <c r="Z227" s="204"/>
      <c r="AA227" s="202">
        <f>SUM(V227:Z227)</f>
        <v>0</v>
      </c>
      <c r="AB227" s="208">
        <f>AA227+U227+O227+J227+D227</f>
        <v>0</v>
      </c>
      <c r="AC227" s="203"/>
      <c r="AD227" s="205"/>
      <c r="AE227" s="205"/>
      <c r="AF227" s="205"/>
      <c r="AG227" s="204"/>
      <c r="AH227" s="208">
        <f>SUM(AC227:AG227)</f>
        <v>0</v>
      </c>
      <c r="AI227" s="203"/>
      <c r="AJ227" s="205"/>
      <c r="AK227" s="205"/>
      <c r="AL227" s="205"/>
      <c r="AM227" s="204"/>
      <c r="AN227" s="208">
        <f>SUM(AI227:AM227)</f>
        <v>0</v>
      </c>
      <c r="AO227" s="203"/>
      <c r="AP227" s="205"/>
      <c r="AQ227" s="205"/>
      <c r="AR227" s="205"/>
      <c r="AS227" s="204"/>
      <c r="AT227" s="208">
        <f>SUM(AO227:AS227)</f>
        <v>0</v>
      </c>
      <c r="AU227" s="203"/>
      <c r="AV227" s="205"/>
      <c r="AW227" s="205"/>
      <c r="AX227" s="205"/>
      <c r="AY227" s="204"/>
      <c r="AZ227" s="208">
        <f>SUM(AU227:AY227)</f>
        <v>0</v>
      </c>
      <c r="BA227" s="208">
        <f>AZ227+AT227+AN227+AH227</f>
        <v>0</v>
      </c>
      <c r="BB227" s="203"/>
      <c r="BC227" s="205"/>
      <c r="BD227" s="205"/>
      <c r="BE227" s="205"/>
      <c r="BF227" s="204"/>
      <c r="BG227" s="208">
        <f>SUM(BB227:BF227)</f>
        <v>0</v>
      </c>
      <c r="BH227" s="203"/>
      <c r="BI227" s="205"/>
      <c r="BJ227" s="205"/>
      <c r="BK227" s="205"/>
      <c r="BL227" s="204"/>
      <c r="BM227" s="208">
        <f>SUM(BH227:BL227)</f>
        <v>0</v>
      </c>
      <c r="BN227" s="203"/>
      <c r="BO227" s="205"/>
      <c r="BP227" s="205"/>
      <c r="BQ227" s="204"/>
      <c r="BR227" s="208">
        <f>SUM(BN227:BQ227)</f>
        <v>0</v>
      </c>
      <c r="BS227" s="203"/>
      <c r="BT227" s="205"/>
      <c r="BU227" s="205"/>
      <c r="BV227" s="205"/>
      <c r="BW227" s="204"/>
      <c r="BX227" s="208">
        <f>SUM(BS227:BW227)</f>
        <v>0</v>
      </c>
      <c r="BY227" s="203"/>
      <c r="BZ227" s="205"/>
      <c r="CA227" s="208">
        <f>SUM(BY227:BZ227)</f>
        <v>0</v>
      </c>
      <c r="CB227" s="208">
        <f>CA227+BX227+BR227+BM227+BG227</f>
        <v>0</v>
      </c>
      <c r="CC227" s="203"/>
      <c r="CD227" s="205"/>
      <c r="CE227" s="205"/>
      <c r="CF227" s="208">
        <f t="shared" ref="CF227:CF250" si="613">SUM(CC227:CE227)</f>
        <v>0</v>
      </c>
      <c r="CG227" s="203"/>
      <c r="CH227" s="205"/>
      <c r="CI227" s="205"/>
      <c r="CJ227" s="204"/>
      <c r="CK227" s="208">
        <f>SUM(CG227:CJ227)</f>
        <v>0</v>
      </c>
      <c r="CL227" s="203"/>
      <c r="CM227" s="205"/>
      <c r="CN227" s="205"/>
      <c r="CO227" s="205"/>
      <c r="CP227" s="204"/>
      <c r="CQ227" s="208">
        <f>SUM(CL227:CP227)</f>
        <v>0</v>
      </c>
      <c r="CR227" s="203"/>
      <c r="CS227" s="205"/>
      <c r="CT227" s="205"/>
      <c r="CU227" s="205"/>
      <c r="CV227" s="204"/>
      <c r="CW227" s="208">
        <f>SUM(CR227:CV227)</f>
        <v>0</v>
      </c>
      <c r="CX227" s="203"/>
      <c r="CY227" s="205"/>
      <c r="CZ227" s="205"/>
      <c r="DA227" s="204"/>
      <c r="DB227" s="208">
        <f>SUM(CX227:DA227)</f>
        <v>0</v>
      </c>
      <c r="DC227" s="208">
        <f t="shared" ref="DC227:DC234" si="614">DB227+CW227+CQ227+CK227+CF227</f>
        <v>0</v>
      </c>
      <c r="DD227" s="203"/>
      <c r="DE227" s="205"/>
      <c r="DF227" s="205"/>
      <c r="DG227" s="205"/>
      <c r="DH227" s="205"/>
      <c r="DI227" s="208">
        <f t="shared" ref="DI227:DI250" si="615">SUM(DD227:DH227)</f>
        <v>0</v>
      </c>
      <c r="DJ227" s="203"/>
      <c r="DK227" s="205"/>
      <c r="DL227" s="205"/>
      <c r="DM227" s="205"/>
      <c r="DN227" s="204"/>
      <c r="DO227" s="208">
        <f>SUM(DJ227:DN227)</f>
        <v>0</v>
      </c>
      <c r="DP227" s="203"/>
      <c r="DQ227" s="205"/>
      <c r="DR227" s="205"/>
      <c r="DS227" s="205"/>
      <c r="DT227" s="204"/>
      <c r="DU227" s="208">
        <f>SUM(DP227:DT227)</f>
        <v>0</v>
      </c>
      <c r="DV227" s="203"/>
      <c r="DW227" s="205"/>
      <c r="DX227" s="205"/>
      <c r="DY227" s="205"/>
      <c r="DZ227" s="204"/>
      <c r="EA227" s="208">
        <f>SUM(DV227:DZ227)</f>
        <v>0</v>
      </c>
      <c r="EB227" s="208">
        <f>DI227+DO227+DU227+EA227</f>
        <v>0</v>
      </c>
      <c r="EC227" s="203"/>
      <c r="ED227" s="205"/>
      <c r="EE227" s="205"/>
      <c r="EF227" s="205"/>
      <c r="EG227" s="204"/>
      <c r="EH227" s="208">
        <f>SUM(EC227:EG227)</f>
        <v>0</v>
      </c>
      <c r="EI227" s="203"/>
      <c r="EJ227" s="205"/>
      <c r="EK227" s="205"/>
      <c r="EL227" s="205"/>
      <c r="EM227" s="204"/>
      <c r="EN227" s="208">
        <f>SUM(EI227:EM227)</f>
        <v>0</v>
      </c>
      <c r="EO227" s="203"/>
      <c r="EP227" s="205"/>
      <c r="EQ227" s="205"/>
      <c r="ER227" s="205"/>
      <c r="ES227" s="204"/>
      <c r="ET227" s="208">
        <f>SUM(EO227:ES227)</f>
        <v>0</v>
      </c>
      <c r="EU227" s="203"/>
      <c r="EV227" s="205"/>
      <c r="EW227" s="205"/>
      <c r="EX227" s="205"/>
      <c r="EY227" s="205"/>
      <c r="EZ227" s="205"/>
      <c r="FA227" s="204"/>
      <c r="FB227" s="208">
        <f>SUM(EU227:FA227)</f>
        <v>0</v>
      </c>
      <c r="FC227" s="208">
        <f>FB227+ET227+EN227+EH227</f>
        <v>0</v>
      </c>
      <c r="FD227" s="203"/>
      <c r="FE227" s="205"/>
      <c r="FF227" s="204"/>
      <c r="FG227" s="208">
        <f>SUM(FD227:FF227)</f>
        <v>0</v>
      </c>
      <c r="FH227" s="203"/>
      <c r="FI227" s="205"/>
      <c r="FJ227" s="205"/>
      <c r="FK227" s="205"/>
      <c r="FL227" s="204"/>
      <c r="FM227" s="208">
        <f>SUM(FH227:FL227)</f>
        <v>0</v>
      </c>
      <c r="FN227" s="203"/>
      <c r="FO227" s="205"/>
      <c r="FP227" s="205"/>
      <c r="FQ227" s="205"/>
      <c r="FR227" s="208">
        <f t="shared" ref="FR227:FR250" si="616">SUM(FN227:FQ227)</f>
        <v>0</v>
      </c>
      <c r="FS227" s="203"/>
      <c r="FT227" s="205"/>
      <c r="FU227" s="205"/>
      <c r="FV227" s="205"/>
      <c r="FW227" s="204"/>
      <c r="FX227" s="208">
        <f>SUM(FS227:FW227)</f>
        <v>0</v>
      </c>
      <c r="FY227" s="203"/>
      <c r="FZ227" s="205"/>
      <c r="GA227" s="205"/>
      <c r="GB227" s="205"/>
      <c r="GC227" s="204"/>
      <c r="GD227" s="208">
        <f>SUM(FY227:GC227)</f>
        <v>0</v>
      </c>
      <c r="GE227" s="208">
        <f t="shared" ref="GE227:GE250" si="617">FG227+FM227+FR227+FX227+GD227</f>
        <v>0</v>
      </c>
      <c r="GF227" s="203"/>
      <c r="GG227" s="205"/>
      <c r="GH227" s="205"/>
      <c r="GI227" s="205"/>
      <c r="GJ227" s="205"/>
      <c r="GK227" s="208">
        <f t="shared" ref="GK227:GK250" si="618">SUM(GF227:GJ227)</f>
        <v>0</v>
      </c>
      <c r="GL227" s="203"/>
      <c r="GM227" s="205"/>
      <c r="GN227" s="205"/>
      <c r="GO227" s="204"/>
      <c r="GP227" s="208">
        <f>SUM(GL227:GO227)</f>
        <v>0</v>
      </c>
      <c r="GQ227" s="203"/>
      <c r="GR227" s="205"/>
      <c r="GS227" s="205"/>
      <c r="GT227" s="205"/>
      <c r="GU227" s="204"/>
      <c r="GV227" s="208">
        <f>SUM(GQ227:GU227)</f>
        <v>0</v>
      </c>
      <c r="GW227" s="203"/>
      <c r="GX227" s="205"/>
      <c r="GY227" s="205"/>
      <c r="GZ227" s="205"/>
      <c r="HA227" s="205"/>
      <c r="HB227" s="204"/>
      <c r="HC227" s="208">
        <f>SUM(GW227:HB227)</f>
        <v>0</v>
      </c>
      <c r="HD227" s="208">
        <f t="shared" ref="HD227:HD250" si="619">GK227+GP227+GV227+HC227</f>
        <v>0</v>
      </c>
      <c r="HE227" s="203"/>
      <c r="HF227" s="205"/>
      <c r="HG227" s="205"/>
      <c r="HH227" s="205"/>
      <c r="HI227" s="208">
        <f t="shared" ref="HI227:HI250" si="620">SUM(HE227:HH227)</f>
        <v>0</v>
      </c>
      <c r="HJ227" s="203"/>
      <c r="HK227" s="205"/>
      <c r="HL227" s="205"/>
      <c r="HM227" s="205"/>
      <c r="HN227" s="204"/>
      <c r="HO227" s="208">
        <f>SUM(HJ227:HN227)</f>
        <v>0</v>
      </c>
      <c r="HP227" s="203"/>
      <c r="HQ227" s="205"/>
      <c r="HR227" s="205"/>
      <c r="HS227" s="205"/>
      <c r="HT227" s="204"/>
      <c r="HU227" s="208">
        <f>SUM(HP227:HT227)</f>
        <v>0</v>
      </c>
      <c r="HV227" s="203"/>
      <c r="HW227" s="205"/>
      <c r="HX227" s="205"/>
      <c r="HY227" s="208">
        <f t="shared" ref="HY227:HY250" si="621">SUM(HV227:HX227)</f>
        <v>0</v>
      </c>
      <c r="HZ227" s="203"/>
      <c r="IA227" s="205"/>
      <c r="IB227" s="204"/>
      <c r="IC227" s="208">
        <f>SUM(HZ227:IB227)</f>
        <v>0</v>
      </c>
      <c r="ID227" s="208">
        <f t="shared" ref="ID227:ID250" si="622">HI227+HO227+HU227+HY227+IC227</f>
        <v>0</v>
      </c>
      <c r="IE227" s="203"/>
      <c r="IF227" s="204"/>
      <c r="IG227" s="208">
        <f>SUM(IE227:IF227)</f>
        <v>0</v>
      </c>
      <c r="IH227" s="203"/>
      <c r="II227" s="205"/>
      <c r="IJ227" s="205"/>
      <c r="IK227" s="205"/>
      <c r="IL227" s="204"/>
      <c r="IM227" s="208">
        <f>SUM(IH227:IL227)</f>
        <v>0</v>
      </c>
      <c r="IN227" s="203"/>
      <c r="IO227" s="205"/>
      <c r="IP227" s="204"/>
      <c r="IQ227" s="208">
        <f>SUM(IN227:IP227)</f>
        <v>0</v>
      </c>
      <c r="IR227" s="203"/>
      <c r="IS227" s="205"/>
      <c r="IT227" s="205"/>
      <c r="IU227" s="205"/>
      <c r="IV227" s="204"/>
      <c r="IW227" s="208">
        <f>SUM(IR227:IV227)</f>
        <v>0</v>
      </c>
      <c r="IX227" s="203"/>
      <c r="IY227" s="205"/>
      <c r="IZ227" s="205"/>
      <c r="JA227" s="205"/>
      <c r="JB227" s="204"/>
      <c r="JC227" s="208">
        <f>SUM(IX227:JB227)</f>
        <v>0</v>
      </c>
      <c r="JD227" s="208">
        <f t="shared" ref="JD227:JD250" si="623">IG227+IM227+IQ227+IW227+JC227</f>
        <v>0</v>
      </c>
      <c r="JE227" s="203"/>
      <c r="JF227" s="205"/>
      <c r="JG227" s="205"/>
      <c r="JH227" s="205"/>
      <c r="JI227" s="204"/>
      <c r="JJ227" s="208">
        <f>SUM(JE227:JI227)</f>
        <v>0</v>
      </c>
      <c r="JK227" s="203"/>
      <c r="JL227" s="205"/>
      <c r="JM227" s="205"/>
      <c r="JN227" s="205"/>
      <c r="JO227" s="204"/>
      <c r="JP227" s="208">
        <f>SUM(JK227:JO227)</f>
        <v>0</v>
      </c>
      <c r="JQ227" s="203"/>
      <c r="JR227" s="205"/>
      <c r="JS227" s="205"/>
      <c r="JT227" s="205"/>
      <c r="JU227" s="204"/>
      <c r="JV227" s="208">
        <f>SUM(JQ227:JU227)</f>
        <v>0</v>
      </c>
      <c r="JW227" s="203"/>
      <c r="JX227" s="205"/>
      <c r="JY227" s="205"/>
      <c r="JZ227" s="205"/>
      <c r="KA227" s="205"/>
      <c r="KB227" s="204"/>
      <c r="KC227" s="208">
        <f>SUM(JW227:KB227)</f>
        <v>0</v>
      </c>
      <c r="KD227" s="208">
        <f>JJ227+JP227+JV227+KC227</f>
        <v>0</v>
      </c>
      <c r="KE227" s="203"/>
      <c r="KF227" s="205"/>
      <c r="KG227" s="205"/>
      <c r="KH227" s="205"/>
      <c r="KI227" s="204"/>
      <c r="KJ227" s="208">
        <f>SUM(KE227:KI227)</f>
        <v>0</v>
      </c>
      <c r="KK227" s="203"/>
      <c r="KL227" s="205"/>
      <c r="KM227" s="205"/>
      <c r="KN227" s="205"/>
      <c r="KO227" s="204"/>
      <c r="KP227" s="208">
        <f>SUM(KK227:KO227)</f>
        <v>0</v>
      </c>
      <c r="KQ227" s="203"/>
      <c r="KR227" s="205"/>
      <c r="KS227" s="205"/>
      <c r="KT227" s="205"/>
      <c r="KU227" s="204"/>
      <c r="KV227" s="208">
        <f>SUM(KQ227:KU227)</f>
        <v>0</v>
      </c>
      <c r="KW227" s="202"/>
      <c r="KX227" s="244"/>
      <c r="KY227" s="244"/>
      <c r="KZ227" s="244"/>
      <c r="LA227" s="245"/>
      <c r="LB227" s="208">
        <f>SUM(KW227:LA227)</f>
        <v>0</v>
      </c>
      <c r="LC227" s="202"/>
      <c r="LD227" s="244"/>
      <c r="LE227" s="245"/>
      <c r="LF227" s="208">
        <f>SUM(LC227:LE227)</f>
        <v>0</v>
      </c>
      <c r="LG227" s="208">
        <f>LF227+LB227+KV227+KP227+KJ227</f>
        <v>0</v>
      </c>
    </row>
    <row r="228" spans="2:319">
      <c r="B228" s="93" t="s">
        <v>78</v>
      </c>
      <c r="C228" s="167"/>
      <c r="D228" s="202">
        <f t="shared" si="612"/>
        <v>0</v>
      </c>
      <c r="E228" s="167"/>
      <c r="F228" s="177"/>
      <c r="G228" s="177"/>
      <c r="H228" s="177"/>
      <c r="I228" s="178"/>
      <c r="J228" s="202">
        <f t="shared" ref="J228:J250" si="624">SUM(E228:I228)</f>
        <v>0</v>
      </c>
      <c r="K228" s="167"/>
      <c r="L228" s="177"/>
      <c r="M228" s="177"/>
      <c r="N228" s="178"/>
      <c r="O228" s="202">
        <f t="shared" ref="O228:O250" si="625">SUM(K228:N228)</f>
        <v>0</v>
      </c>
      <c r="P228" s="167"/>
      <c r="Q228" s="177"/>
      <c r="R228" s="177"/>
      <c r="S228" s="177"/>
      <c r="T228" s="178"/>
      <c r="U228" s="202">
        <f t="shared" ref="U228:U250" si="626">SUM(P228:T228)</f>
        <v>0</v>
      </c>
      <c r="V228" s="167"/>
      <c r="W228" s="177"/>
      <c r="X228" s="177"/>
      <c r="Y228" s="177"/>
      <c r="Z228" s="178"/>
      <c r="AA228" s="202">
        <f t="shared" ref="AA228:AA250" si="627">SUM(V228:Z228)</f>
        <v>0</v>
      </c>
      <c r="AB228" s="208">
        <f t="shared" ref="AB228:AB250" si="628">AA228+U228+O228+J228+D228</f>
        <v>0</v>
      </c>
      <c r="AC228" s="203"/>
      <c r="AD228" s="205"/>
      <c r="AE228" s="205"/>
      <c r="AF228" s="205"/>
      <c r="AG228" s="204"/>
      <c r="AH228" s="208">
        <f t="shared" ref="AH228:AH235" si="629">SUM(AC228:AG228)</f>
        <v>0</v>
      </c>
      <c r="AI228" s="203"/>
      <c r="AJ228" s="205"/>
      <c r="AK228" s="205"/>
      <c r="AL228" s="205"/>
      <c r="AM228" s="204"/>
      <c r="AN228" s="208">
        <f t="shared" ref="AN228:AN249" si="630">SUM(AI228:AM228)</f>
        <v>0</v>
      </c>
      <c r="AO228" s="203"/>
      <c r="AP228" s="205"/>
      <c r="AQ228" s="205"/>
      <c r="AR228" s="205"/>
      <c r="AS228" s="204"/>
      <c r="AT228" s="208">
        <f t="shared" ref="AT228:AT235" si="631">SUM(AO228:AS228)</f>
        <v>0</v>
      </c>
      <c r="AU228" s="203"/>
      <c r="AV228" s="205"/>
      <c r="AW228" s="205"/>
      <c r="AX228" s="205"/>
      <c r="AY228" s="204"/>
      <c r="AZ228" s="208">
        <f t="shared" ref="AZ228:AZ250" si="632">SUM(AU228:AY228)</f>
        <v>0</v>
      </c>
      <c r="BA228" s="208">
        <f t="shared" ref="BA228:BA234" si="633">AZ228+AT228+AN228+AH228</f>
        <v>0</v>
      </c>
      <c r="BB228" s="203"/>
      <c r="BC228" s="205"/>
      <c r="BD228" s="205"/>
      <c r="BE228" s="205"/>
      <c r="BF228" s="204"/>
      <c r="BG228" s="208">
        <f t="shared" ref="BG228:BG250" si="634">SUM(BB228:BF228)</f>
        <v>0</v>
      </c>
      <c r="BH228" s="203"/>
      <c r="BI228" s="205"/>
      <c r="BJ228" s="205"/>
      <c r="BK228" s="205"/>
      <c r="BL228" s="204"/>
      <c r="BM228" s="208">
        <f t="shared" ref="BM228:BM250" si="635">SUM(BH228:BL228)</f>
        <v>0</v>
      </c>
      <c r="BN228" s="203"/>
      <c r="BO228" s="205"/>
      <c r="BP228" s="205"/>
      <c r="BQ228" s="204"/>
      <c r="BR228" s="208">
        <f t="shared" ref="BR228:BR250" si="636">SUM(BN228:BQ228)</f>
        <v>0</v>
      </c>
      <c r="BS228" s="203"/>
      <c r="BT228" s="205"/>
      <c r="BU228" s="205"/>
      <c r="BV228" s="205"/>
      <c r="BW228" s="204"/>
      <c r="BX228" s="208">
        <f t="shared" ref="BX228:BX250" si="637">SUM(BS228:BW228)</f>
        <v>0</v>
      </c>
      <c r="BY228" s="203"/>
      <c r="BZ228" s="205"/>
      <c r="CA228" s="208">
        <f t="shared" ref="CA228:CA250" si="638">SUM(BY228:BZ228)</f>
        <v>0</v>
      </c>
      <c r="CB228" s="208">
        <f t="shared" ref="CB228:CB250" si="639">CA228+BX228+BR228+BM228+BG228</f>
        <v>0</v>
      </c>
      <c r="CC228" s="203"/>
      <c r="CD228" s="205"/>
      <c r="CE228" s="205"/>
      <c r="CF228" s="208">
        <f t="shared" si="613"/>
        <v>0</v>
      </c>
      <c r="CG228" s="203"/>
      <c r="CH228" s="205"/>
      <c r="CI228" s="205"/>
      <c r="CJ228" s="204"/>
      <c r="CK228" s="208">
        <f t="shared" ref="CK228:CK234" si="640">SUM(CG228:CJ228)</f>
        <v>0</v>
      </c>
      <c r="CL228" s="203"/>
      <c r="CM228" s="205"/>
      <c r="CN228" s="205"/>
      <c r="CO228" s="205"/>
      <c r="CP228" s="204"/>
      <c r="CQ228" s="208">
        <f t="shared" ref="CQ228:CQ250" si="641">SUM(CL228:CP228)</f>
        <v>0</v>
      </c>
      <c r="CR228" s="203"/>
      <c r="CS228" s="205"/>
      <c r="CT228" s="205"/>
      <c r="CU228" s="205"/>
      <c r="CV228" s="204"/>
      <c r="CW228" s="208">
        <f t="shared" ref="CW228:CW234" si="642">SUM(CR228:CV228)</f>
        <v>0</v>
      </c>
      <c r="CX228" s="203"/>
      <c r="CY228" s="205"/>
      <c r="CZ228" s="205"/>
      <c r="DA228" s="204"/>
      <c r="DB228" s="208">
        <f t="shared" ref="DB228:DB250" si="643">SUM(CX228:DA228)</f>
        <v>0</v>
      </c>
      <c r="DC228" s="208">
        <f t="shared" si="614"/>
        <v>0</v>
      </c>
      <c r="DD228" s="203"/>
      <c r="DE228" s="205"/>
      <c r="DF228" s="205"/>
      <c r="DG228" s="205"/>
      <c r="DH228" s="205"/>
      <c r="DI228" s="208">
        <f t="shared" si="615"/>
        <v>0</v>
      </c>
      <c r="DJ228" s="203"/>
      <c r="DK228" s="205"/>
      <c r="DL228" s="205"/>
      <c r="DM228" s="205"/>
      <c r="DN228" s="204"/>
      <c r="DO228" s="208">
        <f t="shared" ref="DO228:DO234" si="644">SUM(DJ228:DN228)</f>
        <v>0</v>
      </c>
      <c r="DP228" s="203"/>
      <c r="DQ228" s="205"/>
      <c r="DR228" s="205"/>
      <c r="DS228" s="205"/>
      <c r="DT228" s="204"/>
      <c r="DU228" s="208">
        <f t="shared" ref="DU228:DU250" si="645">SUM(DP228:DT228)</f>
        <v>0</v>
      </c>
      <c r="DV228" s="203"/>
      <c r="DW228" s="205"/>
      <c r="DX228" s="205"/>
      <c r="DY228" s="205"/>
      <c r="DZ228" s="204"/>
      <c r="EA228" s="208">
        <f t="shared" ref="EA228:EA250" si="646">SUM(DV228:DZ228)</f>
        <v>0</v>
      </c>
      <c r="EB228" s="208">
        <f t="shared" ref="EB228:EB250" si="647">DI228+DO228+DU228+EA228</f>
        <v>0</v>
      </c>
      <c r="EC228" s="203"/>
      <c r="ED228" s="205"/>
      <c r="EE228" s="205"/>
      <c r="EF228" s="205"/>
      <c r="EG228" s="204"/>
      <c r="EH228" s="208">
        <f t="shared" ref="EH228:EH234" si="648">SUM(EC228:EG228)</f>
        <v>0</v>
      </c>
      <c r="EI228" s="203"/>
      <c r="EJ228" s="205"/>
      <c r="EK228" s="205"/>
      <c r="EL228" s="205"/>
      <c r="EM228" s="204"/>
      <c r="EN228" s="208">
        <f t="shared" ref="EN228:EN234" si="649">SUM(EI228:EM228)</f>
        <v>0</v>
      </c>
      <c r="EO228" s="203"/>
      <c r="EP228" s="205"/>
      <c r="EQ228" s="205"/>
      <c r="ER228" s="205"/>
      <c r="ES228" s="204"/>
      <c r="ET228" s="208">
        <f t="shared" ref="ET228:ET234" si="650">SUM(EO228:ES228)</f>
        <v>0</v>
      </c>
      <c r="EU228" s="203"/>
      <c r="EV228" s="205"/>
      <c r="EW228" s="205"/>
      <c r="EX228" s="205"/>
      <c r="EY228" s="205"/>
      <c r="EZ228" s="205"/>
      <c r="FA228" s="204"/>
      <c r="FB228" s="208">
        <f t="shared" ref="FB228:FB250" si="651">SUM(EU228:FA228)</f>
        <v>0</v>
      </c>
      <c r="FC228" s="208">
        <f t="shared" ref="FC228:FC234" si="652">FB228+ET228+EN228+EH228</f>
        <v>0</v>
      </c>
      <c r="FD228" s="203"/>
      <c r="FE228" s="205"/>
      <c r="FF228" s="204"/>
      <c r="FG228" s="208">
        <f t="shared" ref="FG228:FG250" si="653">SUM(FD228:FF228)</f>
        <v>0</v>
      </c>
      <c r="FH228" s="203"/>
      <c r="FI228" s="205"/>
      <c r="FJ228" s="205"/>
      <c r="FK228" s="205"/>
      <c r="FL228" s="204"/>
      <c r="FM228" s="208">
        <f t="shared" ref="FM228:FM250" si="654">SUM(FH228:FL228)</f>
        <v>0</v>
      </c>
      <c r="FN228" s="203"/>
      <c r="FO228" s="205"/>
      <c r="FP228" s="205"/>
      <c r="FQ228" s="205"/>
      <c r="FR228" s="208">
        <f t="shared" si="616"/>
        <v>0</v>
      </c>
      <c r="FS228" s="203"/>
      <c r="FT228" s="205"/>
      <c r="FU228" s="205"/>
      <c r="FV228" s="205"/>
      <c r="FW228" s="204"/>
      <c r="FX228" s="208">
        <f t="shared" ref="FX228:FX250" si="655">SUM(FS228:FW228)</f>
        <v>0</v>
      </c>
      <c r="FY228" s="203"/>
      <c r="FZ228" s="205"/>
      <c r="GA228" s="205"/>
      <c r="GB228" s="205"/>
      <c r="GC228" s="204"/>
      <c r="GD228" s="208">
        <f t="shared" ref="GD228:GD250" si="656">SUM(FY228:GC228)</f>
        <v>0</v>
      </c>
      <c r="GE228" s="208">
        <f t="shared" si="617"/>
        <v>0</v>
      </c>
      <c r="GF228" s="203"/>
      <c r="GG228" s="205"/>
      <c r="GH228" s="205"/>
      <c r="GI228" s="205"/>
      <c r="GJ228" s="205"/>
      <c r="GK228" s="208">
        <f t="shared" si="618"/>
        <v>0</v>
      </c>
      <c r="GL228" s="203"/>
      <c r="GM228" s="205"/>
      <c r="GN228" s="205"/>
      <c r="GO228" s="204"/>
      <c r="GP228" s="208">
        <f t="shared" ref="GP228:GP250" si="657">SUM(GL228:GO228)</f>
        <v>0</v>
      </c>
      <c r="GQ228" s="203"/>
      <c r="GR228" s="205"/>
      <c r="GS228" s="205"/>
      <c r="GT228" s="205"/>
      <c r="GU228" s="204"/>
      <c r="GV228" s="208">
        <f t="shared" ref="GV228:GV250" si="658">SUM(GQ228:GU228)</f>
        <v>0</v>
      </c>
      <c r="GW228" s="203"/>
      <c r="GX228" s="205"/>
      <c r="GY228" s="205"/>
      <c r="GZ228" s="205"/>
      <c r="HA228" s="205"/>
      <c r="HB228" s="204"/>
      <c r="HC228" s="208">
        <f t="shared" ref="HC228:HC249" si="659">SUM(GW228:HB228)</f>
        <v>0</v>
      </c>
      <c r="HD228" s="208">
        <f t="shared" si="619"/>
        <v>0</v>
      </c>
      <c r="HE228" s="203"/>
      <c r="HF228" s="205"/>
      <c r="HG228" s="205"/>
      <c r="HH228" s="205"/>
      <c r="HI228" s="208">
        <f t="shared" si="620"/>
        <v>0</v>
      </c>
      <c r="HJ228" s="203"/>
      <c r="HK228" s="205"/>
      <c r="HL228" s="205"/>
      <c r="HM228" s="205"/>
      <c r="HN228" s="204"/>
      <c r="HO228" s="208">
        <f t="shared" ref="HO228:HO234" si="660">SUM(HJ228:HN228)</f>
        <v>0</v>
      </c>
      <c r="HP228" s="203"/>
      <c r="HQ228" s="205"/>
      <c r="HR228" s="205"/>
      <c r="HS228" s="205"/>
      <c r="HT228" s="204"/>
      <c r="HU228" s="208">
        <f t="shared" ref="HU228:HU234" si="661">SUM(HP228:HT228)</f>
        <v>0</v>
      </c>
      <c r="HV228" s="203"/>
      <c r="HW228" s="205"/>
      <c r="HX228" s="205"/>
      <c r="HY228" s="208">
        <f t="shared" si="621"/>
        <v>0</v>
      </c>
      <c r="HZ228" s="203"/>
      <c r="IA228" s="205"/>
      <c r="IB228" s="204"/>
      <c r="IC228" s="208">
        <f t="shared" ref="IC228:IC234" si="662">SUM(HZ228:IB228)</f>
        <v>0</v>
      </c>
      <c r="ID228" s="208">
        <f t="shared" si="622"/>
        <v>0</v>
      </c>
      <c r="IE228" s="203"/>
      <c r="IF228" s="204"/>
      <c r="IG228" s="208">
        <f t="shared" ref="IG228:IG234" si="663">SUM(IE228:IF228)</f>
        <v>0</v>
      </c>
      <c r="IH228" s="203"/>
      <c r="II228" s="205"/>
      <c r="IJ228" s="205"/>
      <c r="IK228" s="205"/>
      <c r="IL228" s="204"/>
      <c r="IM228" s="208">
        <f t="shared" ref="IM228:IM234" si="664">SUM(IH228:IL228)</f>
        <v>0</v>
      </c>
      <c r="IN228" s="203"/>
      <c r="IO228" s="205"/>
      <c r="IP228" s="204"/>
      <c r="IQ228" s="208">
        <f t="shared" ref="IQ228:IQ234" si="665">SUM(IN228:IP228)</f>
        <v>0</v>
      </c>
      <c r="IR228" s="203"/>
      <c r="IS228" s="205"/>
      <c r="IT228" s="205"/>
      <c r="IU228" s="205"/>
      <c r="IV228" s="204"/>
      <c r="IW228" s="208">
        <f t="shared" ref="IW228:IW234" si="666">SUM(IR228:IV228)</f>
        <v>0</v>
      </c>
      <c r="IX228" s="203"/>
      <c r="IY228" s="205"/>
      <c r="IZ228" s="205"/>
      <c r="JA228" s="205"/>
      <c r="JB228" s="204"/>
      <c r="JC228" s="208">
        <f t="shared" ref="JC228:JC234" si="667">SUM(IX228:JB228)</f>
        <v>0</v>
      </c>
      <c r="JD228" s="208">
        <f t="shared" si="623"/>
        <v>0</v>
      </c>
      <c r="JE228" s="203"/>
      <c r="JF228" s="205"/>
      <c r="JG228" s="205"/>
      <c r="JH228" s="205"/>
      <c r="JI228" s="204"/>
      <c r="JJ228" s="208">
        <f t="shared" ref="JJ228:JJ234" si="668">SUM(JE228:JI228)</f>
        <v>0</v>
      </c>
      <c r="JK228" s="203"/>
      <c r="JL228" s="205"/>
      <c r="JM228" s="205"/>
      <c r="JN228" s="205"/>
      <c r="JO228" s="204"/>
      <c r="JP228" s="208">
        <f t="shared" ref="JP228:JP234" si="669">SUM(JK228:JO228)</f>
        <v>0</v>
      </c>
      <c r="JQ228" s="203"/>
      <c r="JR228" s="205"/>
      <c r="JS228" s="205"/>
      <c r="JT228" s="205"/>
      <c r="JU228" s="204"/>
      <c r="JV228" s="208">
        <f t="shared" ref="JV228:JV234" si="670">SUM(JQ228:JU228)</f>
        <v>0</v>
      </c>
      <c r="JW228" s="203"/>
      <c r="JX228" s="205"/>
      <c r="JY228" s="205"/>
      <c r="JZ228" s="205"/>
      <c r="KA228" s="205"/>
      <c r="KB228" s="204"/>
      <c r="KC228" s="208">
        <f t="shared" ref="KC228:KC234" si="671">SUM(JW228:KB228)</f>
        <v>0</v>
      </c>
      <c r="KD228" s="208">
        <f t="shared" ref="KD228:KD234" si="672">JJ228+JP228+JV228+KC228</f>
        <v>0</v>
      </c>
      <c r="KE228" s="203"/>
      <c r="KF228" s="205"/>
      <c r="KG228" s="205"/>
      <c r="KH228" s="205"/>
      <c r="KI228" s="204"/>
      <c r="KJ228" s="208">
        <f t="shared" ref="KJ228:KJ234" si="673">SUM(KE228:KI228)</f>
        <v>0</v>
      </c>
      <c r="KK228" s="203"/>
      <c r="KL228" s="205"/>
      <c r="KM228" s="205"/>
      <c r="KN228" s="205"/>
      <c r="KO228" s="204"/>
      <c r="KP228" s="208">
        <f t="shared" ref="KP228:KP234" si="674">SUM(KK228:KO228)</f>
        <v>0</v>
      </c>
      <c r="KQ228" s="203"/>
      <c r="KR228" s="205"/>
      <c r="KS228" s="205"/>
      <c r="KT228" s="205"/>
      <c r="KU228" s="204"/>
      <c r="KV228" s="208">
        <f t="shared" ref="KV228:KV234" si="675">SUM(KQ228:KU228)</f>
        <v>0</v>
      </c>
      <c r="KW228" s="202"/>
      <c r="KX228" s="244"/>
      <c r="KY228" s="244"/>
      <c r="KZ228" s="244"/>
      <c r="LA228" s="245"/>
      <c r="LB228" s="208">
        <f t="shared" ref="LB228:LB234" si="676">SUM(KW228:LA228)</f>
        <v>0</v>
      </c>
      <c r="LC228" s="202"/>
      <c r="LD228" s="244"/>
      <c r="LE228" s="245"/>
      <c r="LF228" s="208">
        <f t="shared" ref="LF228:LF234" si="677">SUM(LC228:LE228)</f>
        <v>0</v>
      </c>
      <c r="LG228" s="208">
        <f t="shared" ref="LG228:LG234" si="678">LF228+LB228+KV228+KP228+KJ228</f>
        <v>0</v>
      </c>
    </row>
    <row r="229" spans="2:319">
      <c r="B229" s="93" t="s">
        <v>99</v>
      </c>
      <c r="C229" s="167"/>
      <c r="D229" s="202">
        <f t="shared" si="612"/>
        <v>0</v>
      </c>
      <c r="E229" s="167"/>
      <c r="F229" s="177"/>
      <c r="G229" s="177"/>
      <c r="H229" s="177"/>
      <c r="I229" s="178"/>
      <c r="J229" s="202">
        <f t="shared" si="624"/>
        <v>0</v>
      </c>
      <c r="K229" s="167"/>
      <c r="L229" s="177"/>
      <c r="M229" s="177"/>
      <c r="N229" s="178"/>
      <c r="O229" s="202">
        <f t="shared" si="625"/>
        <v>0</v>
      </c>
      <c r="P229" s="167"/>
      <c r="Q229" s="177"/>
      <c r="R229" s="177"/>
      <c r="S229" s="177"/>
      <c r="T229" s="178"/>
      <c r="U229" s="202">
        <f t="shared" si="626"/>
        <v>0</v>
      </c>
      <c r="V229" s="167"/>
      <c r="W229" s="177"/>
      <c r="X229" s="177"/>
      <c r="Y229" s="177"/>
      <c r="Z229" s="178"/>
      <c r="AA229" s="202">
        <f t="shared" si="627"/>
        <v>0</v>
      </c>
      <c r="AB229" s="208">
        <f t="shared" si="628"/>
        <v>0</v>
      </c>
      <c r="AC229" s="203"/>
      <c r="AD229" s="205"/>
      <c r="AE229" s="205"/>
      <c r="AF229" s="205"/>
      <c r="AG229" s="204"/>
      <c r="AH229" s="208">
        <f t="shared" si="629"/>
        <v>0</v>
      </c>
      <c r="AI229" s="203"/>
      <c r="AJ229" s="205"/>
      <c r="AK229" s="205"/>
      <c r="AL229" s="205"/>
      <c r="AM229" s="204"/>
      <c r="AN229" s="208">
        <f t="shared" si="630"/>
        <v>0</v>
      </c>
      <c r="AO229" s="203"/>
      <c r="AP229" s="205"/>
      <c r="AQ229" s="205"/>
      <c r="AR229" s="205"/>
      <c r="AS229" s="204"/>
      <c r="AT229" s="208">
        <f t="shared" si="631"/>
        <v>0</v>
      </c>
      <c r="AU229" s="203"/>
      <c r="AV229" s="205"/>
      <c r="AW229" s="205"/>
      <c r="AX229" s="205"/>
      <c r="AY229" s="204"/>
      <c r="AZ229" s="208">
        <f t="shared" si="632"/>
        <v>0</v>
      </c>
      <c r="BA229" s="208">
        <f t="shared" si="633"/>
        <v>0</v>
      </c>
      <c r="BB229" s="203"/>
      <c r="BC229" s="205"/>
      <c r="BD229" s="205"/>
      <c r="BE229" s="205"/>
      <c r="BF229" s="204"/>
      <c r="BG229" s="208">
        <f t="shared" si="634"/>
        <v>0</v>
      </c>
      <c r="BH229" s="203"/>
      <c r="BI229" s="205"/>
      <c r="BJ229" s="205"/>
      <c r="BK229" s="205"/>
      <c r="BL229" s="204"/>
      <c r="BM229" s="208">
        <f t="shared" si="635"/>
        <v>0</v>
      </c>
      <c r="BN229" s="203"/>
      <c r="BO229" s="205"/>
      <c r="BP229" s="205"/>
      <c r="BQ229" s="204"/>
      <c r="BR229" s="208">
        <f t="shared" si="636"/>
        <v>0</v>
      </c>
      <c r="BS229" s="203"/>
      <c r="BT229" s="205"/>
      <c r="BU229" s="205"/>
      <c r="BV229" s="205"/>
      <c r="BW229" s="204"/>
      <c r="BX229" s="208">
        <f t="shared" si="637"/>
        <v>0</v>
      </c>
      <c r="BY229" s="203"/>
      <c r="BZ229" s="205"/>
      <c r="CA229" s="208">
        <f t="shared" si="638"/>
        <v>0</v>
      </c>
      <c r="CB229" s="208">
        <f t="shared" si="639"/>
        <v>0</v>
      </c>
      <c r="CC229" s="203"/>
      <c r="CD229" s="205"/>
      <c r="CE229" s="205"/>
      <c r="CF229" s="208">
        <f t="shared" si="613"/>
        <v>0</v>
      </c>
      <c r="CG229" s="203"/>
      <c r="CH229" s="205"/>
      <c r="CI229" s="205"/>
      <c r="CJ229" s="204"/>
      <c r="CK229" s="208">
        <f t="shared" si="640"/>
        <v>0</v>
      </c>
      <c r="CL229" s="203"/>
      <c r="CM229" s="205"/>
      <c r="CN229" s="205"/>
      <c r="CO229" s="205"/>
      <c r="CP229" s="204"/>
      <c r="CQ229" s="208">
        <f t="shared" si="641"/>
        <v>0</v>
      </c>
      <c r="CR229" s="203"/>
      <c r="CS229" s="205"/>
      <c r="CT229" s="205"/>
      <c r="CU229" s="205"/>
      <c r="CV229" s="204"/>
      <c r="CW229" s="208">
        <f t="shared" si="642"/>
        <v>0</v>
      </c>
      <c r="CX229" s="203"/>
      <c r="CY229" s="205"/>
      <c r="CZ229" s="205"/>
      <c r="DA229" s="204"/>
      <c r="DB229" s="208">
        <f t="shared" si="643"/>
        <v>0</v>
      </c>
      <c r="DC229" s="208">
        <f t="shared" si="614"/>
        <v>0</v>
      </c>
      <c r="DD229" s="203"/>
      <c r="DE229" s="205"/>
      <c r="DF229" s="205"/>
      <c r="DG229" s="205"/>
      <c r="DH229" s="205"/>
      <c r="DI229" s="208">
        <f t="shared" si="615"/>
        <v>0</v>
      </c>
      <c r="DJ229" s="203"/>
      <c r="DK229" s="205"/>
      <c r="DL229" s="205"/>
      <c r="DM229" s="205"/>
      <c r="DN229" s="204"/>
      <c r="DO229" s="208">
        <f t="shared" si="644"/>
        <v>0</v>
      </c>
      <c r="DP229" s="203"/>
      <c r="DQ229" s="205"/>
      <c r="DR229" s="205"/>
      <c r="DS229" s="205"/>
      <c r="DT229" s="204"/>
      <c r="DU229" s="208">
        <f t="shared" si="645"/>
        <v>0</v>
      </c>
      <c r="DV229" s="203"/>
      <c r="DW229" s="205"/>
      <c r="DX229" s="205"/>
      <c r="DY229" s="205"/>
      <c r="DZ229" s="204"/>
      <c r="EA229" s="208">
        <f t="shared" si="646"/>
        <v>0</v>
      </c>
      <c r="EB229" s="208">
        <f t="shared" si="647"/>
        <v>0</v>
      </c>
      <c r="EC229" s="203"/>
      <c r="ED229" s="205"/>
      <c r="EE229" s="205"/>
      <c r="EF229" s="205"/>
      <c r="EG229" s="204"/>
      <c r="EH229" s="208">
        <f t="shared" si="648"/>
        <v>0</v>
      </c>
      <c r="EI229" s="203"/>
      <c r="EJ229" s="205"/>
      <c r="EK229" s="205"/>
      <c r="EL229" s="205"/>
      <c r="EM229" s="204"/>
      <c r="EN229" s="208">
        <f t="shared" si="649"/>
        <v>0</v>
      </c>
      <c r="EO229" s="203"/>
      <c r="EP229" s="205"/>
      <c r="EQ229" s="205"/>
      <c r="ER229" s="205"/>
      <c r="ES229" s="204"/>
      <c r="ET229" s="208">
        <f t="shared" si="650"/>
        <v>0</v>
      </c>
      <c r="EU229" s="203"/>
      <c r="EV229" s="205"/>
      <c r="EW229" s="205"/>
      <c r="EX229" s="205"/>
      <c r="EY229" s="205"/>
      <c r="EZ229" s="205"/>
      <c r="FA229" s="204"/>
      <c r="FB229" s="208">
        <f t="shared" si="651"/>
        <v>0</v>
      </c>
      <c r="FC229" s="208">
        <f t="shared" si="652"/>
        <v>0</v>
      </c>
      <c r="FD229" s="203"/>
      <c r="FE229" s="205"/>
      <c r="FF229" s="204"/>
      <c r="FG229" s="208">
        <f t="shared" si="653"/>
        <v>0</v>
      </c>
      <c r="FH229" s="203"/>
      <c r="FI229" s="205"/>
      <c r="FJ229" s="205"/>
      <c r="FK229" s="205"/>
      <c r="FL229" s="204"/>
      <c r="FM229" s="208">
        <f t="shared" si="654"/>
        <v>0</v>
      </c>
      <c r="FN229" s="203"/>
      <c r="FO229" s="205"/>
      <c r="FP229" s="205"/>
      <c r="FQ229" s="205"/>
      <c r="FR229" s="208">
        <f t="shared" si="616"/>
        <v>0</v>
      </c>
      <c r="FS229" s="203"/>
      <c r="FT229" s="205"/>
      <c r="FU229" s="205"/>
      <c r="FV229" s="205"/>
      <c r="FW229" s="204"/>
      <c r="FX229" s="208">
        <f t="shared" si="655"/>
        <v>0</v>
      </c>
      <c r="FY229" s="203"/>
      <c r="FZ229" s="205"/>
      <c r="GA229" s="205"/>
      <c r="GB229" s="205"/>
      <c r="GC229" s="204"/>
      <c r="GD229" s="208">
        <f t="shared" si="656"/>
        <v>0</v>
      </c>
      <c r="GE229" s="208">
        <f t="shared" si="617"/>
        <v>0</v>
      </c>
      <c r="GF229" s="203"/>
      <c r="GG229" s="205"/>
      <c r="GH229" s="205"/>
      <c r="GI229" s="205"/>
      <c r="GJ229" s="205"/>
      <c r="GK229" s="208">
        <f t="shared" si="618"/>
        <v>0</v>
      </c>
      <c r="GL229" s="203"/>
      <c r="GM229" s="205"/>
      <c r="GN229" s="205"/>
      <c r="GO229" s="204"/>
      <c r="GP229" s="208">
        <f t="shared" si="657"/>
        <v>0</v>
      </c>
      <c r="GQ229" s="203"/>
      <c r="GR229" s="205"/>
      <c r="GS229" s="205"/>
      <c r="GT229" s="205"/>
      <c r="GU229" s="204"/>
      <c r="GV229" s="208">
        <f t="shared" si="658"/>
        <v>0</v>
      </c>
      <c r="GW229" s="203"/>
      <c r="GX229" s="205"/>
      <c r="GY229" s="205"/>
      <c r="GZ229" s="205"/>
      <c r="HA229" s="205"/>
      <c r="HB229" s="204"/>
      <c r="HC229" s="208">
        <f t="shared" si="659"/>
        <v>0</v>
      </c>
      <c r="HD229" s="208">
        <f t="shared" si="619"/>
        <v>0</v>
      </c>
      <c r="HE229" s="203"/>
      <c r="HF229" s="205"/>
      <c r="HG229" s="205"/>
      <c r="HH229" s="205"/>
      <c r="HI229" s="208">
        <f t="shared" si="620"/>
        <v>0</v>
      </c>
      <c r="HJ229" s="203"/>
      <c r="HK229" s="205"/>
      <c r="HL229" s="205"/>
      <c r="HM229" s="205"/>
      <c r="HN229" s="204"/>
      <c r="HO229" s="208">
        <f t="shared" si="660"/>
        <v>0</v>
      </c>
      <c r="HP229" s="203"/>
      <c r="HQ229" s="205"/>
      <c r="HR229" s="205"/>
      <c r="HS229" s="205"/>
      <c r="HT229" s="204"/>
      <c r="HU229" s="208">
        <f t="shared" si="661"/>
        <v>0</v>
      </c>
      <c r="HV229" s="203"/>
      <c r="HW229" s="205"/>
      <c r="HX229" s="205"/>
      <c r="HY229" s="208">
        <f t="shared" si="621"/>
        <v>0</v>
      </c>
      <c r="HZ229" s="203"/>
      <c r="IA229" s="205"/>
      <c r="IB229" s="204"/>
      <c r="IC229" s="208">
        <f t="shared" si="662"/>
        <v>0</v>
      </c>
      <c r="ID229" s="208">
        <f t="shared" si="622"/>
        <v>0</v>
      </c>
      <c r="IE229" s="203"/>
      <c r="IF229" s="204"/>
      <c r="IG229" s="208">
        <f t="shared" si="663"/>
        <v>0</v>
      </c>
      <c r="IH229" s="203"/>
      <c r="II229" s="205"/>
      <c r="IJ229" s="205"/>
      <c r="IK229" s="205"/>
      <c r="IL229" s="204"/>
      <c r="IM229" s="208">
        <f t="shared" si="664"/>
        <v>0</v>
      </c>
      <c r="IN229" s="203"/>
      <c r="IO229" s="205"/>
      <c r="IP229" s="204"/>
      <c r="IQ229" s="208">
        <f t="shared" si="665"/>
        <v>0</v>
      </c>
      <c r="IR229" s="203"/>
      <c r="IS229" s="205"/>
      <c r="IT229" s="205"/>
      <c r="IU229" s="205"/>
      <c r="IV229" s="204"/>
      <c r="IW229" s="208">
        <f t="shared" si="666"/>
        <v>0</v>
      </c>
      <c r="IX229" s="203"/>
      <c r="IY229" s="205"/>
      <c r="IZ229" s="205"/>
      <c r="JA229" s="205"/>
      <c r="JB229" s="204"/>
      <c r="JC229" s="208">
        <f t="shared" si="667"/>
        <v>0</v>
      </c>
      <c r="JD229" s="208">
        <f t="shared" si="623"/>
        <v>0</v>
      </c>
      <c r="JE229" s="203"/>
      <c r="JF229" s="205"/>
      <c r="JG229" s="205"/>
      <c r="JH229" s="205"/>
      <c r="JI229" s="204"/>
      <c r="JJ229" s="208">
        <f t="shared" si="668"/>
        <v>0</v>
      </c>
      <c r="JK229" s="203"/>
      <c r="JL229" s="205"/>
      <c r="JM229" s="205"/>
      <c r="JN229" s="205"/>
      <c r="JO229" s="204"/>
      <c r="JP229" s="208">
        <f t="shared" si="669"/>
        <v>0</v>
      </c>
      <c r="JQ229" s="203"/>
      <c r="JR229" s="205"/>
      <c r="JS229" s="205"/>
      <c r="JT229" s="205"/>
      <c r="JU229" s="204"/>
      <c r="JV229" s="208">
        <f t="shared" si="670"/>
        <v>0</v>
      </c>
      <c r="JW229" s="203"/>
      <c r="JX229" s="205"/>
      <c r="JY229" s="205"/>
      <c r="JZ229" s="205"/>
      <c r="KA229" s="205"/>
      <c r="KB229" s="204"/>
      <c r="KC229" s="208">
        <f t="shared" si="671"/>
        <v>0</v>
      </c>
      <c r="KD229" s="208">
        <f t="shared" si="672"/>
        <v>0</v>
      </c>
      <c r="KE229" s="203"/>
      <c r="KF229" s="205"/>
      <c r="KG229" s="205"/>
      <c r="KH229" s="205"/>
      <c r="KI229" s="204"/>
      <c r="KJ229" s="208">
        <f t="shared" si="673"/>
        <v>0</v>
      </c>
      <c r="KK229" s="203"/>
      <c r="KL229" s="205"/>
      <c r="KM229" s="205"/>
      <c r="KN229" s="205"/>
      <c r="KO229" s="204"/>
      <c r="KP229" s="208">
        <f t="shared" si="674"/>
        <v>0</v>
      </c>
      <c r="KQ229" s="203"/>
      <c r="KR229" s="205"/>
      <c r="KS229" s="205"/>
      <c r="KT229" s="205"/>
      <c r="KU229" s="204"/>
      <c r="KV229" s="208">
        <f t="shared" si="675"/>
        <v>0</v>
      </c>
      <c r="KW229" s="202"/>
      <c r="KX229" s="244"/>
      <c r="KY229" s="244"/>
      <c r="KZ229" s="244"/>
      <c r="LA229" s="245"/>
      <c r="LB229" s="208">
        <f t="shared" si="676"/>
        <v>0</v>
      </c>
      <c r="LC229" s="202"/>
      <c r="LD229" s="244"/>
      <c r="LE229" s="245"/>
      <c r="LF229" s="208">
        <f t="shared" si="677"/>
        <v>0</v>
      </c>
      <c r="LG229" s="208">
        <f t="shared" si="678"/>
        <v>0</v>
      </c>
    </row>
    <row r="230" spans="2:319">
      <c r="B230" s="96" t="s">
        <v>105</v>
      </c>
      <c r="C230" s="203"/>
      <c r="D230" s="202">
        <f t="shared" si="612"/>
        <v>0</v>
      </c>
      <c r="E230" s="203"/>
      <c r="F230" s="205"/>
      <c r="G230" s="205"/>
      <c r="H230" s="205"/>
      <c r="I230" s="204"/>
      <c r="J230" s="202">
        <f t="shared" si="624"/>
        <v>0</v>
      </c>
      <c r="K230" s="203"/>
      <c r="L230" s="205"/>
      <c r="M230" s="205"/>
      <c r="N230" s="204"/>
      <c r="O230" s="202">
        <f t="shared" si="625"/>
        <v>0</v>
      </c>
      <c r="P230" s="203"/>
      <c r="Q230" s="205"/>
      <c r="R230" s="205"/>
      <c r="S230" s="205"/>
      <c r="T230" s="204"/>
      <c r="U230" s="202">
        <f t="shared" si="626"/>
        <v>0</v>
      </c>
      <c r="V230" s="203"/>
      <c r="W230" s="205"/>
      <c r="X230" s="205"/>
      <c r="Y230" s="205"/>
      <c r="Z230" s="204"/>
      <c r="AA230" s="202">
        <f t="shared" si="627"/>
        <v>0</v>
      </c>
      <c r="AB230" s="208">
        <f t="shared" si="628"/>
        <v>0</v>
      </c>
      <c r="AC230" s="203"/>
      <c r="AD230" s="205"/>
      <c r="AE230" s="205"/>
      <c r="AF230" s="205"/>
      <c r="AG230" s="204"/>
      <c r="AH230" s="208">
        <f t="shared" si="629"/>
        <v>0</v>
      </c>
      <c r="AI230" s="203"/>
      <c r="AJ230" s="205"/>
      <c r="AK230" s="205"/>
      <c r="AL230" s="205"/>
      <c r="AM230" s="204"/>
      <c r="AN230" s="208">
        <f t="shared" si="630"/>
        <v>0</v>
      </c>
      <c r="AO230" s="203"/>
      <c r="AP230" s="205"/>
      <c r="AQ230" s="205"/>
      <c r="AR230" s="205"/>
      <c r="AS230" s="204"/>
      <c r="AT230" s="208">
        <f t="shared" si="631"/>
        <v>0</v>
      </c>
      <c r="AU230" s="203"/>
      <c r="AV230" s="205"/>
      <c r="AW230" s="205"/>
      <c r="AX230" s="205"/>
      <c r="AY230" s="204"/>
      <c r="AZ230" s="208">
        <f t="shared" si="632"/>
        <v>0</v>
      </c>
      <c r="BA230" s="208">
        <f t="shared" si="633"/>
        <v>0</v>
      </c>
      <c r="BB230" s="203"/>
      <c r="BC230" s="205"/>
      <c r="BD230" s="205"/>
      <c r="BE230" s="205"/>
      <c r="BF230" s="204"/>
      <c r="BG230" s="208">
        <f t="shared" si="634"/>
        <v>0</v>
      </c>
      <c r="BH230" s="203"/>
      <c r="BI230" s="205"/>
      <c r="BJ230" s="205"/>
      <c r="BK230" s="205"/>
      <c r="BL230" s="204"/>
      <c r="BM230" s="208">
        <f t="shared" si="635"/>
        <v>0</v>
      </c>
      <c r="BN230" s="203"/>
      <c r="BO230" s="205"/>
      <c r="BP230" s="205"/>
      <c r="BQ230" s="204"/>
      <c r="BR230" s="208">
        <f t="shared" si="636"/>
        <v>0</v>
      </c>
      <c r="BS230" s="203"/>
      <c r="BT230" s="205"/>
      <c r="BU230" s="205"/>
      <c r="BV230" s="205"/>
      <c r="BW230" s="204"/>
      <c r="BX230" s="208">
        <f t="shared" si="637"/>
        <v>0</v>
      </c>
      <c r="BY230" s="203"/>
      <c r="BZ230" s="205"/>
      <c r="CA230" s="208">
        <f t="shared" si="638"/>
        <v>0</v>
      </c>
      <c r="CB230" s="208">
        <f t="shared" si="639"/>
        <v>0</v>
      </c>
      <c r="CC230" s="203"/>
      <c r="CD230" s="205"/>
      <c r="CE230" s="205"/>
      <c r="CF230" s="208">
        <f t="shared" si="613"/>
        <v>0</v>
      </c>
      <c r="CG230" s="203"/>
      <c r="CH230" s="205"/>
      <c r="CI230" s="205"/>
      <c r="CJ230" s="204"/>
      <c r="CK230" s="208">
        <f t="shared" si="640"/>
        <v>0</v>
      </c>
      <c r="CL230" s="203"/>
      <c r="CM230" s="205"/>
      <c r="CN230" s="205"/>
      <c r="CO230" s="205"/>
      <c r="CP230" s="204"/>
      <c r="CQ230" s="208">
        <f t="shared" si="641"/>
        <v>0</v>
      </c>
      <c r="CR230" s="203"/>
      <c r="CS230" s="205"/>
      <c r="CT230" s="205"/>
      <c r="CU230" s="205"/>
      <c r="CV230" s="204"/>
      <c r="CW230" s="208">
        <f t="shared" si="642"/>
        <v>0</v>
      </c>
      <c r="CX230" s="203"/>
      <c r="CY230" s="205"/>
      <c r="CZ230" s="205"/>
      <c r="DA230" s="204"/>
      <c r="DB230" s="208">
        <f t="shared" si="643"/>
        <v>0</v>
      </c>
      <c r="DC230" s="208">
        <f t="shared" si="614"/>
        <v>0</v>
      </c>
      <c r="DD230" s="203"/>
      <c r="DE230" s="205"/>
      <c r="DF230" s="205"/>
      <c r="DG230" s="205"/>
      <c r="DH230" s="205"/>
      <c r="DI230" s="208">
        <f t="shared" si="615"/>
        <v>0</v>
      </c>
      <c r="DJ230" s="203"/>
      <c r="DK230" s="205"/>
      <c r="DL230" s="205"/>
      <c r="DM230" s="205"/>
      <c r="DN230" s="204"/>
      <c r="DO230" s="208">
        <f t="shared" si="644"/>
        <v>0</v>
      </c>
      <c r="DP230" s="203"/>
      <c r="DQ230" s="205"/>
      <c r="DR230" s="205"/>
      <c r="DS230" s="205"/>
      <c r="DT230" s="204"/>
      <c r="DU230" s="208">
        <f t="shared" si="645"/>
        <v>0</v>
      </c>
      <c r="DV230" s="203"/>
      <c r="DW230" s="205"/>
      <c r="DX230" s="205"/>
      <c r="DY230" s="205"/>
      <c r="DZ230" s="204"/>
      <c r="EA230" s="208">
        <f t="shared" si="646"/>
        <v>0</v>
      </c>
      <c r="EB230" s="208">
        <f t="shared" si="647"/>
        <v>0</v>
      </c>
      <c r="EC230" s="203"/>
      <c r="ED230" s="205"/>
      <c r="EE230" s="205"/>
      <c r="EF230" s="205"/>
      <c r="EG230" s="204"/>
      <c r="EH230" s="208">
        <f t="shared" si="648"/>
        <v>0</v>
      </c>
      <c r="EI230" s="203"/>
      <c r="EJ230" s="205"/>
      <c r="EK230" s="205"/>
      <c r="EL230" s="205"/>
      <c r="EM230" s="204"/>
      <c r="EN230" s="208">
        <f t="shared" si="649"/>
        <v>0</v>
      </c>
      <c r="EO230" s="203"/>
      <c r="EP230" s="205"/>
      <c r="EQ230" s="205"/>
      <c r="ER230" s="205"/>
      <c r="ES230" s="204"/>
      <c r="ET230" s="208">
        <f t="shared" si="650"/>
        <v>0</v>
      </c>
      <c r="EU230" s="203"/>
      <c r="EV230" s="205"/>
      <c r="EW230" s="205"/>
      <c r="EX230" s="205"/>
      <c r="EY230" s="205"/>
      <c r="EZ230" s="205"/>
      <c r="FA230" s="204"/>
      <c r="FB230" s="208">
        <f t="shared" si="651"/>
        <v>0</v>
      </c>
      <c r="FC230" s="208">
        <f t="shared" si="652"/>
        <v>0</v>
      </c>
      <c r="FD230" s="203"/>
      <c r="FE230" s="205"/>
      <c r="FF230" s="204"/>
      <c r="FG230" s="208">
        <f t="shared" si="653"/>
        <v>0</v>
      </c>
      <c r="FH230" s="203"/>
      <c r="FI230" s="205"/>
      <c r="FJ230" s="205"/>
      <c r="FK230" s="205"/>
      <c r="FL230" s="204"/>
      <c r="FM230" s="208">
        <f t="shared" si="654"/>
        <v>0</v>
      </c>
      <c r="FN230" s="203"/>
      <c r="FO230" s="205"/>
      <c r="FP230" s="205"/>
      <c r="FQ230" s="205"/>
      <c r="FR230" s="208">
        <f t="shared" si="616"/>
        <v>0</v>
      </c>
      <c r="FS230" s="203"/>
      <c r="FT230" s="205"/>
      <c r="FU230" s="205"/>
      <c r="FV230" s="205"/>
      <c r="FW230" s="204"/>
      <c r="FX230" s="208">
        <f t="shared" si="655"/>
        <v>0</v>
      </c>
      <c r="FY230" s="203"/>
      <c r="FZ230" s="205"/>
      <c r="GA230" s="205"/>
      <c r="GB230" s="205"/>
      <c r="GC230" s="204"/>
      <c r="GD230" s="208">
        <f t="shared" si="656"/>
        <v>0</v>
      </c>
      <c r="GE230" s="208">
        <f t="shared" si="617"/>
        <v>0</v>
      </c>
      <c r="GF230" s="203"/>
      <c r="GG230" s="205"/>
      <c r="GH230" s="205"/>
      <c r="GI230" s="205"/>
      <c r="GJ230" s="205"/>
      <c r="GK230" s="208">
        <f t="shared" si="618"/>
        <v>0</v>
      </c>
      <c r="GL230" s="203"/>
      <c r="GM230" s="205"/>
      <c r="GN230" s="205"/>
      <c r="GO230" s="204"/>
      <c r="GP230" s="208">
        <f t="shared" si="657"/>
        <v>0</v>
      </c>
      <c r="GQ230" s="203"/>
      <c r="GR230" s="205"/>
      <c r="GS230" s="205"/>
      <c r="GT230" s="205"/>
      <c r="GU230" s="204"/>
      <c r="GV230" s="208">
        <f t="shared" si="658"/>
        <v>0</v>
      </c>
      <c r="GW230" s="203"/>
      <c r="GX230" s="205"/>
      <c r="GY230" s="205"/>
      <c r="GZ230" s="205"/>
      <c r="HA230" s="205"/>
      <c r="HB230" s="204"/>
      <c r="HC230" s="208">
        <f t="shared" si="659"/>
        <v>0</v>
      </c>
      <c r="HD230" s="208">
        <f t="shared" si="619"/>
        <v>0</v>
      </c>
      <c r="HE230" s="203"/>
      <c r="HF230" s="205"/>
      <c r="HG230" s="205"/>
      <c r="HH230" s="205"/>
      <c r="HI230" s="208">
        <f t="shared" si="620"/>
        <v>0</v>
      </c>
      <c r="HJ230" s="203"/>
      <c r="HK230" s="205"/>
      <c r="HL230" s="205"/>
      <c r="HM230" s="205"/>
      <c r="HN230" s="204"/>
      <c r="HO230" s="208">
        <f t="shared" si="660"/>
        <v>0</v>
      </c>
      <c r="HP230" s="203"/>
      <c r="HQ230" s="205"/>
      <c r="HR230" s="205"/>
      <c r="HS230" s="205"/>
      <c r="HT230" s="204"/>
      <c r="HU230" s="208">
        <f t="shared" si="661"/>
        <v>0</v>
      </c>
      <c r="HV230" s="203"/>
      <c r="HW230" s="205"/>
      <c r="HX230" s="205"/>
      <c r="HY230" s="208">
        <f t="shared" si="621"/>
        <v>0</v>
      </c>
      <c r="HZ230" s="203"/>
      <c r="IA230" s="205"/>
      <c r="IB230" s="204"/>
      <c r="IC230" s="208">
        <f t="shared" si="662"/>
        <v>0</v>
      </c>
      <c r="ID230" s="208">
        <f t="shared" si="622"/>
        <v>0</v>
      </c>
      <c r="IE230" s="203"/>
      <c r="IF230" s="204"/>
      <c r="IG230" s="208">
        <f t="shared" si="663"/>
        <v>0</v>
      </c>
      <c r="IH230" s="203"/>
      <c r="II230" s="205"/>
      <c r="IJ230" s="205"/>
      <c r="IK230" s="205"/>
      <c r="IL230" s="204"/>
      <c r="IM230" s="208">
        <f t="shared" si="664"/>
        <v>0</v>
      </c>
      <c r="IN230" s="203"/>
      <c r="IO230" s="205"/>
      <c r="IP230" s="204"/>
      <c r="IQ230" s="208">
        <f t="shared" si="665"/>
        <v>0</v>
      </c>
      <c r="IR230" s="203"/>
      <c r="IS230" s="205"/>
      <c r="IT230" s="205"/>
      <c r="IU230" s="205"/>
      <c r="IV230" s="204"/>
      <c r="IW230" s="208">
        <f t="shared" si="666"/>
        <v>0</v>
      </c>
      <c r="IX230" s="203"/>
      <c r="IY230" s="205"/>
      <c r="IZ230" s="205"/>
      <c r="JA230" s="205"/>
      <c r="JB230" s="204"/>
      <c r="JC230" s="208">
        <f t="shared" si="667"/>
        <v>0</v>
      </c>
      <c r="JD230" s="208">
        <f t="shared" si="623"/>
        <v>0</v>
      </c>
      <c r="JE230" s="203"/>
      <c r="JF230" s="205"/>
      <c r="JG230" s="205"/>
      <c r="JH230" s="205"/>
      <c r="JI230" s="204"/>
      <c r="JJ230" s="208">
        <f t="shared" si="668"/>
        <v>0</v>
      </c>
      <c r="JK230" s="203"/>
      <c r="JL230" s="205"/>
      <c r="JM230" s="205"/>
      <c r="JN230" s="205"/>
      <c r="JO230" s="204"/>
      <c r="JP230" s="208">
        <f t="shared" si="669"/>
        <v>0</v>
      </c>
      <c r="JQ230" s="203"/>
      <c r="JR230" s="205"/>
      <c r="JS230" s="205"/>
      <c r="JT230" s="205"/>
      <c r="JU230" s="204"/>
      <c r="JV230" s="208">
        <f t="shared" si="670"/>
        <v>0</v>
      </c>
      <c r="JW230" s="203"/>
      <c r="JX230" s="205"/>
      <c r="JY230" s="205"/>
      <c r="JZ230" s="205"/>
      <c r="KA230" s="205"/>
      <c r="KB230" s="204"/>
      <c r="KC230" s="208">
        <f t="shared" si="671"/>
        <v>0</v>
      </c>
      <c r="KD230" s="208">
        <f t="shared" si="672"/>
        <v>0</v>
      </c>
      <c r="KE230" s="203"/>
      <c r="KF230" s="205"/>
      <c r="KG230" s="205"/>
      <c r="KH230" s="205"/>
      <c r="KI230" s="204"/>
      <c r="KJ230" s="208">
        <f t="shared" si="673"/>
        <v>0</v>
      </c>
      <c r="KK230" s="203"/>
      <c r="KL230" s="205"/>
      <c r="KM230" s="205"/>
      <c r="KN230" s="205"/>
      <c r="KO230" s="204"/>
      <c r="KP230" s="208">
        <f t="shared" si="674"/>
        <v>0</v>
      </c>
      <c r="KQ230" s="203"/>
      <c r="KR230" s="205"/>
      <c r="KS230" s="205"/>
      <c r="KT230" s="205"/>
      <c r="KU230" s="204"/>
      <c r="KV230" s="208">
        <f t="shared" si="675"/>
        <v>0</v>
      </c>
      <c r="KW230" s="202"/>
      <c r="KX230" s="244"/>
      <c r="KY230" s="244"/>
      <c r="KZ230" s="244"/>
      <c r="LA230" s="245"/>
      <c r="LB230" s="208">
        <f t="shared" si="676"/>
        <v>0</v>
      </c>
      <c r="LC230" s="202"/>
      <c r="LD230" s="244"/>
      <c r="LE230" s="245"/>
      <c r="LF230" s="208">
        <f t="shared" si="677"/>
        <v>0</v>
      </c>
      <c r="LG230" s="208">
        <f t="shared" si="678"/>
        <v>0</v>
      </c>
    </row>
    <row r="231" spans="2:319">
      <c r="B231" s="93" t="s">
        <v>114</v>
      </c>
      <c r="C231" s="167"/>
      <c r="D231" s="202">
        <f t="shared" si="612"/>
        <v>0</v>
      </c>
      <c r="E231" s="167"/>
      <c r="F231" s="177"/>
      <c r="G231" s="177"/>
      <c r="H231" s="177"/>
      <c r="I231" s="178"/>
      <c r="J231" s="202">
        <f t="shared" si="624"/>
        <v>0</v>
      </c>
      <c r="K231" s="167"/>
      <c r="L231" s="177"/>
      <c r="M231" s="177"/>
      <c r="N231" s="178"/>
      <c r="O231" s="202">
        <f t="shared" si="625"/>
        <v>0</v>
      </c>
      <c r="P231" s="167"/>
      <c r="Q231" s="177"/>
      <c r="R231" s="177"/>
      <c r="S231" s="177"/>
      <c r="T231" s="178"/>
      <c r="U231" s="202">
        <f t="shared" si="626"/>
        <v>0</v>
      </c>
      <c r="V231" s="167"/>
      <c r="W231" s="177"/>
      <c r="X231" s="177"/>
      <c r="Y231" s="177"/>
      <c r="Z231" s="178"/>
      <c r="AA231" s="202">
        <f t="shared" si="627"/>
        <v>0</v>
      </c>
      <c r="AB231" s="208">
        <f t="shared" si="628"/>
        <v>0</v>
      </c>
      <c r="AC231" s="203"/>
      <c r="AD231" s="205"/>
      <c r="AE231" s="205"/>
      <c r="AF231" s="205"/>
      <c r="AG231" s="204"/>
      <c r="AH231" s="208">
        <f t="shared" si="629"/>
        <v>0</v>
      </c>
      <c r="AI231" s="203">
        <v>1499.86</v>
      </c>
      <c r="AJ231" s="205"/>
      <c r="AK231" s="205"/>
      <c r="AL231" s="205"/>
      <c r="AM231" s="204"/>
      <c r="AN231" s="208">
        <f t="shared" si="630"/>
        <v>1499.86</v>
      </c>
      <c r="AO231" s="203"/>
      <c r="AP231" s="205"/>
      <c r="AQ231" s="205"/>
      <c r="AR231" s="205"/>
      <c r="AS231" s="204"/>
      <c r="AT231" s="208">
        <f t="shared" si="631"/>
        <v>0</v>
      </c>
      <c r="AU231" s="203"/>
      <c r="AV231" s="205"/>
      <c r="AW231" s="205"/>
      <c r="AX231" s="205"/>
      <c r="AY231" s="204"/>
      <c r="AZ231" s="208">
        <f t="shared" si="632"/>
        <v>0</v>
      </c>
      <c r="BA231" s="208">
        <f t="shared" si="633"/>
        <v>1499.86</v>
      </c>
      <c r="BB231" s="203"/>
      <c r="BC231" s="205">
        <v>4097.6000000000004</v>
      </c>
      <c r="BD231" s="205"/>
      <c r="BE231" s="205"/>
      <c r="BF231" s="204"/>
      <c r="BG231" s="208">
        <f t="shared" si="634"/>
        <v>4097.6000000000004</v>
      </c>
      <c r="BH231" s="203"/>
      <c r="BI231" s="205"/>
      <c r="BJ231" s="205"/>
      <c r="BK231" s="205"/>
      <c r="BL231" s="204"/>
      <c r="BM231" s="208">
        <f t="shared" si="635"/>
        <v>0</v>
      </c>
      <c r="BN231" s="203"/>
      <c r="BO231" s="205"/>
      <c r="BP231" s="205"/>
      <c r="BQ231" s="204"/>
      <c r="BR231" s="208">
        <f t="shared" si="636"/>
        <v>0</v>
      </c>
      <c r="BS231" s="203"/>
      <c r="BT231" s="205"/>
      <c r="BU231" s="205"/>
      <c r="BV231" s="205"/>
      <c r="BW231" s="204"/>
      <c r="BX231" s="208">
        <f t="shared" si="637"/>
        <v>0</v>
      </c>
      <c r="BY231" s="203"/>
      <c r="BZ231" s="205"/>
      <c r="CA231" s="208">
        <f t="shared" si="638"/>
        <v>0</v>
      </c>
      <c r="CB231" s="208">
        <f t="shared" si="639"/>
        <v>4097.6000000000004</v>
      </c>
      <c r="CC231" s="203"/>
      <c r="CD231" s="205"/>
      <c r="CE231" s="205"/>
      <c r="CF231" s="208">
        <f t="shared" si="613"/>
        <v>0</v>
      </c>
      <c r="CG231" s="203"/>
      <c r="CH231" s="205"/>
      <c r="CI231" s="205"/>
      <c r="CJ231" s="204"/>
      <c r="CK231" s="208">
        <f t="shared" si="640"/>
        <v>0</v>
      </c>
      <c r="CL231" s="203">
        <v>9797.8909999999996</v>
      </c>
      <c r="CM231" s="205"/>
      <c r="CN231" s="205"/>
      <c r="CO231" s="205"/>
      <c r="CP231" s="204"/>
      <c r="CQ231" s="208">
        <f t="shared" si="641"/>
        <v>9797.8909999999996</v>
      </c>
      <c r="CR231" s="203"/>
      <c r="CS231" s="205"/>
      <c r="CT231" s="205"/>
      <c r="CU231" s="205"/>
      <c r="CV231" s="204"/>
      <c r="CW231" s="208">
        <f t="shared" si="642"/>
        <v>0</v>
      </c>
      <c r="CX231" s="203"/>
      <c r="CY231" s="205"/>
      <c r="CZ231" s="205"/>
      <c r="DA231" s="204"/>
      <c r="DB231" s="208">
        <f t="shared" si="643"/>
        <v>0</v>
      </c>
      <c r="DC231" s="208">
        <f t="shared" si="614"/>
        <v>9797.8909999999996</v>
      </c>
      <c r="DD231" s="203"/>
      <c r="DE231" s="205"/>
      <c r="DF231" s="205"/>
      <c r="DG231" s="205"/>
      <c r="DH231" s="205"/>
      <c r="DI231" s="208">
        <f t="shared" si="615"/>
        <v>0</v>
      </c>
      <c r="DJ231" s="203"/>
      <c r="DK231" s="205"/>
      <c r="DL231" s="205"/>
      <c r="DM231" s="205"/>
      <c r="DN231" s="204"/>
      <c r="DO231" s="208">
        <f t="shared" si="644"/>
        <v>0</v>
      </c>
      <c r="DP231" s="203"/>
      <c r="DQ231" s="205"/>
      <c r="DR231" s="205"/>
      <c r="DS231" s="205"/>
      <c r="DT231" s="204"/>
      <c r="DU231" s="208">
        <f t="shared" si="645"/>
        <v>0</v>
      </c>
      <c r="DV231" s="203"/>
      <c r="DW231" s="205"/>
      <c r="DX231" s="205"/>
      <c r="DY231" s="205"/>
      <c r="DZ231" s="204"/>
      <c r="EA231" s="208">
        <f t="shared" si="646"/>
        <v>0</v>
      </c>
      <c r="EB231" s="208">
        <f t="shared" si="647"/>
        <v>0</v>
      </c>
      <c r="EC231" s="203">
        <v>2363.1179999999999</v>
      </c>
      <c r="ED231" s="205">
        <v>3084.61</v>
      </c>
      <c r="EE231" s="205"/>
      <c r="EF231" s="205"/>
      <c r="EG231" s="204"/>
      <c r="EH231" s="208">
        <f t="shared" si="648"/>
        <v>5447.7280000000001</v>
      </c>
      <c r="EI231" s="203"/>
      <c r="EJ231" s="205"/>
      <c r="EK231" s="205"/>
      <c r="EL231" s="205"/>
      <c r="EM231" s="204"/>
      <c r="EN231" s="208">
        <f t="shared" si="649"/>
        <v>0</v>
      </c>
      <c r="EO231" s="203"/>
      <c r="EP231" s="205"/>
      <c r="EQ231" s="205"/>
      <c r="ER231" s="205"/>
      <c r="ES231" s="204"/>
      <c r="ET231" s="208">
        <f t="shared" si="650"/>
        <v>0</v>
      </c>
      <c r="EU231" s="203"/>
      <c r="EV231" s="205"/>
      <c r="EW231" s="205"/>
      <c r="EX231" s="205"/>
      <c r="EY231" s="205"/>
      <c r="EZ231" s="205"/>
      <c r="FA231" s="204"/>
      <c r="FB231" s="208">
        <f t="shared" si="651"/>
        <v>0</v>
      </c>
      <c r="FC231" s="208">
        <f t="shared" si="652"/>
        <v>5447.7280000000001</v>
      </c>
      <c r="FD231" s="203"/>
      <c r="FE231" s="205"/>
      <c r="FF231" s="204"/>
      <c r="FG231" s="208">
        <f t="shared" si="653"/>
        <v>0</v>
      </c>
      <c r="FH231" s="203"/>
      <c r="FI231" s="205"/>
      <c r="FJ231" s="205"/>
      <c r="FK231" s="205"/>
      <c r="FL231" s="204"/>
      <c r="FM231" s="208">
        <f t="shared" si="654"/>
        <v>0</v>
      </c>
      <c r="FN231" s="203"/>
      <c r="FO231" s="205"/>
      <c r="FP231" s="205"/>
      <c r="FQ231" s="205"/>
      <c r="FR231" s="208">
        <f t="shared" si="616"/>
        <v>0</v>
      </c>
      <c r="FS231" s="203"/>
      <c r="FT231" s="205"/>
      <c r="FU231" s="205"/>
      <c r="FV231" s="205"/>
      <c r="FW231" s="204"/>
      <c r="FX231" s="208">
        <f t="shared" si="655"/>
        <v>0</v>
      </c>
      <c r="FY231" s="203"/>
      <c r="FZ231" s="205"/>
      <c r="GA231" s="205"/>
      <c r="GB231" s="205"/>
      <c r="GC231" s="204"/>
      <c r="GD231" s="208">
        <f t="shared" si="656"/>
        <v>0</v>
      </c>
      <c r="GE231" s="208">
        <f t="shared" si="617"/>
        <v>0</v>
      </c>
      <c r="GF231" s="203"/>
      <c r="GG231" s="205"/>
      <c r="GH231" s="205">
        <v>12164.427</v>
      </c>
      <c r="GI231" s="205"/>
      <c r="GJ231" s="205"/>
      <c r="GK231" s="208">
        <f t="shared" si="618"/>
        <v>12164.427</v>
      </c>
      <c r="GL231" s="203"/>
      <c r="GM231" s="205"/>
      <c r="GN231" s="205">
        <v>4123.7240000000002</v>
      </c>
      <c r="GO231" s="204"/>
      <c r="GP231" s="208">
        <f t="shared" si="657"/>
        <v>4123.7240000000002</v>
      </c>
      <c r="GQ231" s="203"/>
      <c r="GR231" s="205"/>
      <c r="GS231" s="205"/>
      <c r="GT231" s="205"/>
      <c r="GU231" s="204"/>
      <c r="GV231" s="208">
        <f t="shared" si="658"/>
        <v>0</v>
      </c>
      <c r="GW231" s="203"/>
      <c r="GX231" s="205"/>
      <c r="GY231" s="205"/>
      <c r="GZ231" s="205"/>
      <c r="HA231" s="205"/>
      <c r="HB231" s="204"/>
      <c r="HC231" s="208">
        <f t="shared" si="659"/>
        <v>0</v>
      </c>
      <c r="HD231" s="208">
        <f t="shared" si="619"/>
        <v>16288.151</v>
      </c>
      <c r="HE231" s="203"/>
      <c r="HF231" s="205"/>
      <c r="HG231" s="205"/>
      <c r="HH231" s="205"/>
      <c r="HI231" s="208">
        <f t="shared" si="620"/>
        <v>0</v>
      </c>
      <c r="HJ231" s="203"/>
      <c r="HK231" s="205"/>
      <c r="HL231" s="205"/>
      <c r="HM231" s="205"/>
      <c r="HN231" s="204"/>
      <c r="HO231" s="208">
        <f t="shared" si="660"/>
        <v>0</v>
      </c>
      <c r="HP231" s="203"/>
      <c r="HQ231" s="205"/>
      <c r="HR231" s="205"/>
      <c r="HS231" s="205"/>
      <c r="HT231" s="204"/>
      <c r="HU231" s="208">
        <f t="shared" si="661"/>
        <v>0</v>
      </c>
      <c r="HV231" s="203"/>
      <c r="HW231" s="205"/>
      <c r="HX231" s="205"/>
      <c r="HY231" s="208">
        <f t="shared" si="621"/>
        <v>0</v>
      </c>
      <c r="HZ231" s="203"/>
      <c r="IA231" s="205"/>
      <c r="IB231" s="204"/>
      <c r="IC231" s="208">
        <f t="shared" si="662"/>
        <v>0</v>
      </c>
      <c r="ID231" s="208">
        <f t="shared" si="622"/>
        <v>0</v>
      </c>
      <c r="IE231" s="203"/>
      <c r="IF231" s="204"/>
      <c r="IG231" s="208">
        <f t="shared" si="663"/>
        <v>0</v>
      </c>
      <c r="IH231" s="203"/>
      <c r="II231" s="205"/>
      <c r="IJ231" s="205"/>
      <c r="IK231" s="205"/>
      <c r="IL231" s="204"/>
      <c r="IM231" s="208">
        <f t="shared" si="664"/>
        <v>0</v>
      </c>
      <c r="IN231" s="203"/>
      <c r="IO231" s="205"/>
      <c r="IP231" s="204"/>
      <c r="IQ231" s="208">
        <f t="shared" si="665"/>
        <v>0</v>
      </c>
      <c r="IR231" s="203"/>
      <c r="IS231" s="205"/>
      <c r="IT231" s="205">
        <v>10521.865</v>
      </c>
      <c r="IU231" s="205"/>
      <c r="IV231" s="204"/>
      <c r="IW231" s="208">
        <f t="shared" si="666"/>
        <v>10521.865</v>
      </c>
      <c r="IX231" s="203"/>
      <c r="IY231" s="205">
        <v>246250</v>
      </c>
      <c r="IZ231" s="205"/>
      <c r="JA231" s="205"/>
      <c r="JB231" s="204"/>
      <c r="JC231" s="208">
        <f t="shared" si="667"/>
        <v>246250</v>
      </c>
      <c r="JD231" s="208">
        <f t="shared" si="623"/>
        <v>256771.86499999999</v>
      </c>
      <c r="JE231" s="203"/>
      <c r="JF231" s="205"/>
      <c r="JG231" s="205"/>
      <c r="JH231" s="205">
        <v>246250</v>
      </c>
      <c r="JI231" s="204"/>
      <c r="JJ231" s="208">
        <f t="shared" si="668"/>
        <v>246250</v>
      </c>
      <c r="JK231" s="203"/>
      <c r="JL231" s="205"/>
      <c r="JM231" s="205"/>
      <c r="JN231" s="205"/>
      <c r="JO231" s="204"/>
      <c r="JP231" s="208">
        <f t="shared" si="669"/>
        <v>0</v>
      </c>
      <c r="JQ231" s="203"/>
      <c r="JR231" s="205"/>
      <c r="JS231" s="205"/>
      <c r="JT231" s="205"/>
      <c r="JU231" s="204"/>
      <c r="JV231" s="208">
        <f t="shared" si="670"/>
        <v>0</v>
      </c>
      <c r="JW231" s="203"/>
      <c r="JX231" s="205"/>
      <c r="JY231" s="205"/>
      <c r="JZ231" s="205"/>
      <c r="KA231" s="205"/>
      <c r="KB231" s="204"/>
      <c r="KC231" s="208">
        <f t="shared" si="671"/>
        <v>0</v>
      </c>
      <c r="KD231" s="208">
        <f t="shared" si="672"/>
        <v>246250</v>
      </c>
      <c r="KE231" s="203"/>
      <c r="KF231" s="205"/>
      <c r="KG231" s="205"/>
      <c r="KH231" s="205"/>
      <c r="KI231" s="204"/>
      <c r="KJ231" s="208">
        <f t="shared" si="673"/>
        <v>0</v>
      </c>
      <c r="KK231" s="203"/>
      <c r="KL231" s="205"/>
      <c r="KM231" s="205"/>
      <c r="KN231" s="205"/>
      <c r="KO231" s="204"/>
      <c r="KP231" s="208">
        <f t="shared" si="674"/>
        <v>0</v>
      </c>
      <c r="KQ231" s="203"/>
      <c r="KR231" s="205"/>
      <c r="KS231" s="205"/>
      <c r="KT231" s="205"/>
      <c r="KU231" s="204"/>
      <c r="KV231" s="208">
        <f t="shared" si="675"/>
        <v>0</v>
      </c>
      <c r="KW231" s="202"/>
      <c r="KX231" s="244"/>
      <c r="KY231" s="244"/>
      <c r="KZ231" s="244"/>
      <c r="LA231" s="245"/>
      <c r="LB231" s="208">
        <f t="shared" si="676"/>
        <v>0</v>
      </c>
      <c r="LC231" s="202"/>
      <c r="LD231" s="244"/>
      <c r="LE231" s="245"/>
      <c r="LF231" s="208">
        <f t="shared" si="677"/>
        <v>0</v>
      </c>
      <c r="LG231" s="208">
        <f t="shared" si="678"/>
        <v>0</v>
      </c>
    </row>
    <row r="232" spans="2:319">
      <c r="B232" s="93" t="s">
        <v>110</v>
      </c>
      <c r="C232" s="167"/>
      <c r="D232" s="202">
        <f t="shared" si="612"/>
        <v>0</v>
      </c>
      <c r="E232" s="167"/>
      <c r="F232" s="177"/>
      <c r="G232" s="177"/>
      <c r="H232" s="177"/>
      <c r="I232" s="178"/>
      <c r="J232" s="202">
        <f t="shared" si="624"/>
        <v>0</v>
      </c>
      <c r="K232" s="167"/>
      <c r="L232" s="177"/>
      <c r="M232" s="177"/>
      <c r="N232" s="178"/>
      <c r="O232" s="202">
        <f t="shared" si="625"/>
        <v>0</v>
      </c>
      <c r="P232" s="167"/>
      <c r="Q232" s="177"/>
      <c r="R232" s="177"/>
      <c r="S232" s="177"/>
      <c r="T232" s="178"/>
      <c r="U232" s="202">
        <f t="shared" si="626"/>
        <v>0</v>
      </c>
      <c r="V232" s="167"/>
      <c r="W232" s="177"/>
      <c r="X232" s="177"/>
      <c r="Y232" s="177"/>
      <c r="Z232" s="178"/>
      <c r="AA232" s="202">
        <f t="shared" si="627"/>
        <v>0</v>
      </c>
      <c r="AB232" s="208">
        <f t="shared" si="628"/>
        <v>0</v>
      </c>
      <c r="AC232" s="203"/>
      <c r="AD232" s="205"/>
      <c r="AE232" s="205"/>
      <c r="AF232" s="205"/>
      <c r="AG232" s="204"/>
      <c r="AH232" s="208">
        <f t="shared" si="629"/>
        <v>0</v>
      </c>
      <c r="AI232" s="203"/>
      <c r="AJ232" s="205"/>
      <c r="AK232" s="205"/>
      <c r="AL232" s="205"/>
      <c r="AM232" s="204"/>
      <c r="AN232" s="208">
        <f t="shared" si="630"/>
        <v>0</v>
      </c>
      <c r="AO232" s="203"/>
      <c r="AP232" s="205"/>
      <c r="AQ232" s="205"/>
      <c r="AR232" s="205"/>
      <c r="AS232" s="204"/>
      <c r="AT232" s="208">
        <f t="shared" si="631"/>
        <v>0</v>
      </c>
      <c r="AU232" s="203"/>
      <c r="AV232" s="205"/>
      <c r="AW232" s="205"/>
      <c r="AX232" s="205"/>
      <c r="AY232" s="204"/>
      <c r="AZ232" s="208">
        <f t="shared" si="632"/>
        <v>0</v>
      </c>
      <c r="BA232" s="208">
        <f t="shared" si="633"/>
        <v>0</v>
      </c>
      <c r="BB232" s="203"/>
      <c r="BC232" s="205"/>
      <c r="BD232" s="205"/>
      <c r="BE232" s="205"/>
      <c r="BF232" s="204"/>
      <c r="BG232" s="208">
        <f t="shared" si="634"/>
        <v>0</v>
      </c>
      <c r="BH232" s="203">
        <f>454.7+468.361+1355.239</f>
        <v>2278.3000000000002</v>
      </c>
      <c r="BI232" s="205"/>
      <c r="BJ232" s="205"/>
      <c r="BK232" s="205"/>
      <c r="BL232" s="204"/>
      <c r="BM232" s="208">
        <f t="shared" si="635"/>
        <v>2278.3000000000002</v>
      </c>
      <c r="BN232" s="203"/>
      <c r="BO232" s="205"/>
      <c r="BP232" s="205"/>
      <c r="BQ232" s="204"/>
      <c r="BR232" s="208">
        <f t="shared" si="636"/>
        <v>0</v>
      </c>
      <c r="BS232" s="203"/>
      <c r="BT232" s="205"/>
      <c r="BU232" s="205"/>
      <c r="BV232" s="205"/>
      <c r="BW232" s="204"/>
      <c r="BX232" s="208">
        <f t="shared" si="637"/>
        <v>0</v>
      </c>
      <c r="BY232" s="203"/>
      <c r="BZ232" s="205"/>
      <c r="CA232" s="208">
        <f t="shared" si="638"/>
        <v>0</v>
      </c>
      <c r="CB232" s="208">
        <f t="shared" si="639"/>
        <v>2278.3000000000002</v>
      </c>
      <c r="CC232" s="203"/>
      <c r="CD232" s="205"/>
      <c r="CE232" s="205"/>
      <c r="CF232" s="208">
        <f t="shared" si="613"/>
        <v>0</v>
      </c>
      <c r="CG232" s="203"/>
      <c r="CH232" s="205"/>
      <c r="CI232" s="205"/>
      <c r="CJ232" s="204"/>
      <c r="CK232" s="208">
        <f t="shared" si="640"/>
        <v>0</v>
      </c>
      <c r="CL232" s="203"/>
      <c r="CM232" s="205"/>
      <c r="CN232" s="205"/>
      <c r="CO232" s="205"/>
      <c r="CP232" s="204"/>
      <c r="CQ232" s="208">
        <f t="shared" si="641"/>
        <v>0</v>
      </c>
      <c r="CR232" s="203"/>
      <c r="CS232" s="205"/>
      <c r="CT232" s="205"/>
      <c r="CU232" s="205"/>
      <c r="CV232" s="204"/>
      <c r="CW232" s="208">
        <f t="shared" si="642"/>
        <v>0</v>
      </c>
      <c r="CX232" s="203"/>
      <c r="CY232" s="205"/>
      <c r="CZ232" s="205"/>
      <c r="DA232" s="204"/>
      <c r="DB232" s="208">
        <f t="shared" si="643"/>
        <v>0</v>
      </c>
      <c r="DC232" s="208">
        <f t="shared" si="614"/>
        <v>0</v>
      </c>
      <c r="DD232" s="203"/>
      <c r="DE232" s="205"/>
      <c r="DF232" s="205"/>
      <c r="DG232" s="205"/>
      <c r="DH232" s="205"/>
      <c r="DI232" s="208">
        <f t="shared" si="615"/>
        <v>0</v>
      </c>
      <c r="DJ232" s="203"/>
      <c r="DK232" s="205"/>
      <c r="DL232" s="205"/>
      <c r="DM232" s="205"/>
      <c r="DN232" s="204"/>
      <c r="DO232" s="208">
        <f t="shared" si="644"/>
        <v>0</v>
      </c>
      <c r="DP232" s="203"/>
      <c r="DQ232" s="205"/>
      <c r="DR232" s="205"/>
      <c r="DS232" s="205"/>
      <c r="DT232" s="204"/>
      <c r="DU232" s="208">
        <f t="shared" si="645"/>
        <v>0</v>
      </c>
      <c r="DV232" s="203"/>
      <c r="DW232" s="205"/>
      <c r="DX232" s="205"/>
      <c r="DY232" s="205"/>
      <c r="DZ232" s="204"/>
      <c r="EA232" s="208">
        <f t="shared" si="646"/>
        <v>0</v>
      </c>
      <c r="EB232" s="208">
        <f t="shared" si="647"/>
        <v>0</v>
      </c>
      <c r="EC232" s="203"/>
      <c r="ED232" s="205"/>
      <c r="EE232" s="205"/>
      <c r="EF232" s="205"/>
      <c r="EG232" s="204"/>
      <c r="EH232" s="208">
        <f t="shared" si="648"/>
        <v>0</v>
      </c>
      <c r="EI232" s="203"/>
      <c r="EJ232" s="205"/>
      <c r="EK232" s="205"/>
      <c r="EL232" s="205"/>
      <c r="EM232" s="204"/>
      <c r="EN232" s="208">
        <f t="shared" si="649"/>
        <v>0</v>
      </c>
      <c r="EO232" s="203"/>
      <c r="EP232" s="205"/>
      <c r="EQ232" s="205"/>
      <c r="ER232" s="205"/>
      <c r="ES232" s="204"/>
      <c r="ET232" s="208">
        <f t="shared" si="650"/>
        <v>0</v>
      </c>
      <c r="EU232" s="203"/>
      <c r="EV232" s="205"/>
      <c r="EW232" s="205"/>
      <c r="EX232" s="205"/>
      <c r="EY232" s="205"/>
      <c r="EZ232" s="205"/>
      <c r="FA232" s="204"/>
      <c r="FB232" s="208">
        <f t="shared" si="651"/>
        <v>0</v>
      </c>
      <c r="FC232" s="208">
        <f t="shared" si="652"/>
        <v>0</v>
      </c>
      <c r="FD232" s="203"/>
      <c r="FE232" s="205"/>
      <c r="FF232" s="204"/>
      <c r="FG232" s="208">
        <f t="shared" si="653"/>
        <v>0</v>
      </c>
      <c r="FH232" s="203"/>
      <c r="FI232" s="205"/>
      <c r="FJ232" s="205"/>
      <c r="FK232" s="205"/>
      <c r="FL232" s="204"/>
      <c r="FM232" s="208">
        <f t="shared" si="654"/>
        <v>0</v>
      </c>
      <c r="FN232" s="203"/>
      <c r="FO232" s="205"/>
      <c r="FP232" s="205"/>
      <c r="FQ232" s="205"/>
      <c r="FR232" s="208">
        <f t="shared" si="616"/>
        <v>0</v>
      </c>
      <c r="FS232" s="203"/>
      <c r="FT232" s="205"/>
      <c r="FU232" s="205"/>
      <c r="FV232" s="205"/>
      <c r="FW232" s="204"/>
      <c r="FX232" s="208">
        <f t="shared" si="655"/>
        <v>0</v>
      </c>
      <c r="FY232" s="203"/>
      <c r="FZ232" s="205"/>
      <c r="GA232" s="205"/>
      <c r="GB232" s="205"/>
      <c r="GC232" s="204"/>
      <c r="GD232" s="208">
        <f t="shared" si="656"/>
        <v>0</v>
      </c>
      <c r="GE232" s="208">
        <f t="shared" si="617"/>
        <v>0</v>
      </c>
      <c r="GF232" s="203"/>
      <c r="GG232" s="205"/>
      <c r="GH232" s="205"/>
      <c r="GI232" s="205"/>
      <c r="GJ232" s="205"/>
      <c r="GK232" s="208">
        <f t="shared" si="618"/>
        <v>0</v>
      </c>
      <c r="GL232" s="203"/>
      <c r="GM232" s="205"/>
      <c r="GN232" s="205"/>
      <c r="GO232" s="204"/>
      <c r="GP232" s="208">
        <f t="shared" si="657"/>
        <v>0</v>
      </c>
      <c r="GQ232" s="203"/>
      <c r="GR232" s="205"/>
      <c r="GS232" s="205"/>
      <c r="GT232" s="205"/>
      <c r="GU232" s="204"/>
      <c r="GV232" s="208">
        <f t="shared" si="658"/>
        <v>0</v>
      </c>
      <c r="GW232" s="203"/>
      <c r="GX232" s="205"/>
      <c r="GY232" s="205"/>
      <c r="GZ232" s="205"/>
      <c r="HA232" s="205"/>
      <c r="HB232" s="204"/>
      <c r="HC232" s="208">
        <f t="shared" si="659"/>
        <v>0</v>
      </c>
      <c r="HD232" s="208">
        <f t="shared" si="619"/>
        <v>0</v>
      </c>
      <c r="HE232" s="203"/>
      <c r="HF232" s="205"/>
      <c r="HG232" s="205"/>
      <c r="HH232" s="205"/>
      <c r="HI232" s="208">
        <f t="shared" si="620"/>
        <v>0</v>
      </c>
      <c r="HJ232" s="203"/>
      <c r="HK232" s="205"/>
      <c r="HL232" s="205"/>
      <c r="HM232" s="205"/>
      <c r="HN232" s="204"/>
      <c r="HO232" s="208">
        <f t="shared" si="660"/>
        <v>0</v>
      </c>
      <c r="HP232" s="203"/>
      <c r="HQ232" s="205"/>
      <c r="HR232" s="205"/>
      <c r="HS232" s="205"/>
      <c r="HT232" s="204"/>
      <c r="HU232" s="208">
        <f t="shared" si="661"/>
        <v>0</v>
      </c>
      <c r="HV232" s="203"/>
      <c r="HW232" s="205"/>
      <c r="HX232" s="205"/>
      <c r="HY232" s="208">
        <f t="shared" si="621"/>
        <v>0</v>
      </c>
      <c r="HZ232" s="203"/>
      <c r="IA232" s="205"/>
      <c r="IB232" s="204"/>
      <c r="IC232" s="208">
        <f t="shared" si="662"/>
        <v>0</v>
      </c>
      <c r="ID232" s="208">
        <f t="shared" si="622"/>
        <v>0</v>
      </c>
      <c r="IE232" s="203"/>
      <c r="IF232" s="204"/>
      <c r="IG232" s="208">
        <f t="shared" si="663"/>
        <v>0</v>
      </c>
      <c r="IH232" s="203"/>
      <c r="II232" s="205"/>
      <c r="IJ232" s="205"/>
      <c r="IK232" s="205"/>
      <c r="IL232" s="204"/>
      <c r="IM232" s="208">
        <f t="shared" si="664"/>
        <v>0</v>
      </c>
      <c r="IN232" s="203"/>
      <c r="IO232" s="205"/>
      <c r="IP232" s="204"/>
      <c r="IQ232" s="208">
        <f t="shared" si="665"/>
        <v>0</v>
      </c>
      <c r="IR232" s="203"/>
      <c r="IS232" s="205"/>
      <c r="IT232" s="205"/>
      <c r="IU232" s="205"/>
      <c r="IV232" s="204"/>
      <c r="IW232" s="208">
        <f t="shared" si="666"/>
        <v>0</v>
      </c>
      <c r="IX232" s="203"/>
      <c r="IY232" s="205"/>
      <c r="IZ232" s="205"/>
      <c r="JA232" s="205"/>
      <c r="JB232" s="204"/>
      <c r="JC232" s="208">
        <f t="shared" si="667"/>
        <v>0</v>
      </c>
      <c r="JD232" s="208">
        <f t="shared" si="623"/>
        <v>0</v>
      </c>
      <c r="JE232" s="203"/>
      <c r="JF232" s="205"/>
      <c r="JG232" s="205"/>
      <c r="JH232" s="205"/>
      <c r="JI232" s="204"/>
      <c r="JJ232" s="208">
        <f t="shared" si="668"/>
        <v>0</v>
      </c>
      <c r="JK232" s="203"/>
      <c r="JL232" s="205"/>
      <c r="JM232" s="205"/>
      <c r="JN232" s="205"/>
      <c r="JO232" s="204"/>
      <c r="JP232" s="208">
        <f t="shared" si="669"/>
        <v>0</v>
      </c>
      <c r="JQ232" s="203"/>
      <c r="JR232" s="205"/>
      <c r="JS232" s="205"/>
      <c r="JT232" s="205"/>
      <c r="JU232" s="204"/>
      <c r="JV232" s="208">
        <f t="shared" si="670"/>
        <v>0</v>
      </c>
      <c r="JW232" s="203"/>
      <c r="JX232" s="205"/>
      <c r="JY232" s="205"/>
      <c r="JZ232" s="205"/>
      <c r="KA232" s="205"/>
      <c r="KB232" s="204"/>
      <c r="KC232" s="208">
        <f t="shared" si="671"/>
        <v>0</v>
      </c>
      <c r="KD232" s="208">
        <f t="shared" si="672"/>
        <v>0</v>
      </c>
      <c r="KE232" s="203"/>
      <c r="KF232" s="205"/>
      <c r="KG232" s="205"/>
      <c r="KH232" s="205"/>
      <c r="KI232" s="204"/>
      <c r="KJ232" s="208">
        <f t="shared" si="673"/>
        <v>0</v>
      </c>
      <c r="KK232" s="203"/>
      <c r="KL232" s="205"/>
      <c r="KM232" s="205"/>
      <c r="KN232" s="205"/>
      <c r="KO232" s="204"/>
      <c r="KP232" s="208">
        <f t="shared" si="674"/>
        <v>0</v>
      </c>
      <c r="KQ232" s="203"/>
      <c r="KR232" s="205"/>
      <c r="KS232" s="205"/>
      <c r="KT232" s="205"/>
      <c r="KU232" s="204"/>
      <c r="KV232" s="208">
        <f t="shared" si="675"/>
        <v>0</v>
      </c>
      <c r="KW232" s="202"/>
      <c r="KX232" s="244"/>
      <c r="KY232" s="244"/>
      <c r="KZ232" s="244"/>
      <c r="LA232" s="245"/>
      <c r="LB232" s="208">
        <f t="shared" si="676"/>
        <v>0</v>
      </c>
      <c r="LC232" s="202"/>
      <c r="LD232" s="244"/>
      <c r="LE232" s="245"/>
      <c r="LF232" s="208">
        <f t="shared" si="677"/>
        <v>0</v>
      </c>
      <c r="LG232" s="208">
        <f t="shared" si="678"/>
        <v>0</v>
      </c>
    </row>
    <row r="233" spans="2:319">
      <c r="B233" s="93" t="s">
        <v>109</v>
      </c>
      <c r="C233" s="167"/>
      <c r="D233" s="202">
        <f t="shared" si="612"/>
        <v>0</v>
      </c>
      <c r="E233" s="167"/>
      <c r="F233" s="177"/>
      <c r="G233" s="177"/>
      <c r="H233" s="177"/>
      <c r="I233" s="178"/>
      <c r="J233" s="202">
        <f t="shared" si="624"/>
        <v>0</v>
      </c>
      <c r="K233" s="167"/>
      <c r="L233" s="177"/>
      <c r="M233" s="177"/>
      <c r="N233" s="178"/>
      <c r="O233" s="202">
        <f t="shared" si="625"/>
        <v>0</v>
      </c>
      <c r="P233" s="167"/>
      <c r="Q233" s="177"/>
      <c r="R233" s="177"/>
      <c r="S233" s="177"/>
      <c r="T233" s="178"/>
      <c r="U233" s="202">
        <f t="shared" si="626"/>
        <v>0</v>
      </c>
      <c r="V233" s="167"/>
      <c r="W233" s="177"/>
      <c r="X233" s="177"/>
      <c r="Y233" s="177"/>
      <c r="Z233" s="178"/>
      <c r="AA233" s="202">
        <f t="shared" si="627"/>
        <v>0</v>
      </c>
      <c r="AB233" s="208">
        <f t="shared" si="628"/>
        <v>0</v>
      </c>
      <c r="AC233" s="203"/>
      <c r="AD233" s="205"/>
      <c r="AE233" s="205"/>
      <c r="AF233" s="205"/>
      <c r="AG233" s="204"/>
      <c r="AH233" s="208">
        <f t="shared" si="629"/>
        <v>0</v>
      </c>
      <c r="AI233" s="203"/>
      <c r="AJ233" s="205"/>
      <c r="AK233" s="205"/>
      <c r="AL233" s="205"/>
      <c r="AM233" s="204"/>
      <c r="AN233" s="208">
        <f t="shared" si="630"/>
        <v>0</v>
      </c>
      <c r="AO233" s="203"/>
      <c r="AP233" s="205"/>
      <c r="AQ233" s="205"/>
      <c r="AR233" s="205"/>
      <c r="AS233" s="204"/>
      <c r="AT233" s="208">
        <f t="shared" si="631"/>
        <v>0</v>
      </c>
      <c r="AU233" s="203"/>
      <c r="AV233" s="205"/>
      <c r="AW233" s="205"/>
      <c r="AX233" s="205"/>
      <c r="AY233" s="204"/>
      <c r="AZ233" s="208">
        <f t="shared" si="632"/>
        <v>0</v>
      </c>
      <c r="BA233" s="208">
        <f t="shared" si="633"/>
        <v>0</v>
      </c>
      <c r="BB233" s="203"/>
      <c r="BC233" s="205"/>
      <c r="BD233" s="205"/>
      <c r="BE233" s="205"/>
      <c r="BF233" s="204"/>
      <c r="BG233" s="208">
        <f t="shared" si="634"/>
        <v>0</v>
      </c>
      <c r="BH233" s="203"/>
      <c r="BI233" s="205"/>
      <c r="BJ233" s="205"/>
      <c r="BK233" s="205"/>
      <c r="BL233" s="204"/>
      <c r="BM233" s="208">
        <f t="shared" si="635"/>
        <v>0</v>
      </c>
      <c r="BN233" s="203"/>
      <c r="BO233" s="205"/>
      <c r="BP233" s="205"/>
      <c r="BQ233" s="204"/>
      <c r="BR233" s="208">
        <f t="shared" si="636"/>
        <v>0</v>
      </c>
      <c r="BS233" s="203"/>
      <c r="BT233" s="205"/>
      <c r="BU233" s="205"/>
      <c r="BV233" s="205"/>
      <c r="BW233" s="204"/>
      <c r="BX233" s="208">
        <f t="shared" si="637"/>
        <v>0</v>
      </c>
      <c r="BY233" s="203"/>
      <c r="BZ233" s="205"/>
      <c r="CA233" s="208">
        <f t="shared" si="638"/>
        <v>0</v>
      </c>
      <c r="CB233" s="208">
        <f t="shared" si="639"/>
        <v>0</v>
      </c>
      <c r="CC233" s="203"/>
      <c r="CD233" s="205"/>
      <c r="CE233" s="205"/>
      <c r="CF233" s="208">
        <f t="shared" si="613"/>
        <v>0</v>
      </c>
      <c r="CG233" s="203"/>
      <c r="CH233" s="205"/>
      <c r="CI233" s="205"/>
      <c r="CJ233" s="204"/>
      <c r="CK233" s="208">
        <f t="shared" si="640"/>
        <v>0</v>
      </c>
      <c r="CL233" s="203"/>
      <c r="CM233" s="205"/>
      <c r="CN233" s="205"/>
      <c r="CO233" s="205"/>
      <c r="CP233" s="204"/>
      <c r="CQ233" s="208">
        <f t="shared" si="641"/>
        <v>0</v>
      </c>
      <c r="CR233" s="203"/>
      <c r="CS233" s="205"/>
      <c r="CT233" s="205"/>
      <c r="CU233" s="205"/>
      <c r="CV233" s="204"/>
      <c r="CW233" s="208">
        <f t="shared" si="642"/>
        <v>0</v>
      </c>
      <c r="CX233" s="203"/>
      <c r="CY233" s="205"/>
      <c r="CZ233" s="205"/>
      <c r="DA233" s="204"/>
      <c r="DB233" s="208">
        <f t="shared" si="643"/>
        <v>0</v>
      </c>
      <c r="DC233" s="208">
        <f t="shared" si="614"/>
        <v>0</v>
      </c>
      <c r="DD233" s="203"/>
      <c r="DE233" s="205"/>
      <c r="DF233" s="205"/>
      <c r="DG233" s="205"/>
      <c r="DH233" s="205"/>
      <c r="DI233" s="208">
        <f t="shared" si="615"/>
        <v>0</v>
      </c>
      <c r="DJ233" s="203"/>
      <c r="DK233" s="205"/>
      <c r="DL233" s="205"/>
      <c r="DM233" s="205"/>
      <c r="DN233" s="204"/>
      <c r="DO233" s="208">
        <f t="shared" si="644"/>
        <v>0</v>
      </c>
      <c r="DP233" s="203"/>
      <c r="DQ233" s="205"/>
      <c r="DR233" s="205"/>
      <c r="DS233" s="205"/>
      <c r="DT233" s="204"/>
      <c r="DU233" s="208">
        <f t="shared" si="645"/>
        <v>0</v>
      </c>
      <c r="DV233" s="203"/>
      <c r="DW233" s="205"/>
      <c r="DX233" s="205"/>
      <c r="DY233" s="205"/>
      <c r="DZ233" s="204"/>
      <c r="EA233" s="208">
        <f t="shared" si="646"/>
        <v>0</v>
      </c>
      <c r="EB233" s="208">
        <f t="shared" si="647"/>
        <v>0</v>
      </c>
      <c r="EC233" s="203"/>
      <c r="ED233" s="205"/>
      <c r="EE233" s="205"/>
      <c r="EF233" s="205"/>
      <c r="EG233" s="204"/>
      <c r="EH233" s="208">
        <f t="shared" si="648"/>
        <v>0</v>
      </c>
      <c r="EI233" s="203"/>
      <c r="EJ233" s="205"/>
      <c r="EK233" s="205"/>
      <c r="EL233" s="205"/>
      <c r="EM233" s="204"/>
      <c r="EN233" s="208">
        <f t="shared" si="649"/>
        <v>0</v>
      </c>
      <c r="EO233" s="203"/>
      <c r="EP233" s="205"/>
      <c r="EQ233" s="205"/>
      <c r="ER233" s="205"/>
      <c r="ES233" s="204"/>
      <c r="ET233" s="208">
        <f t="shared" si="650"/>
        <v>0</v>
      </c>
      <c r="EU233" s="203"/>
      <c r="EV233" s="205"/>
      <c r="EW233" s="205"/>
      <c r="EX233" s="205"/>
      <c r="EY233" s="205"/>
      <c r="EZ233" s="205"/>
      <c r="FA233" s="204"/>
      <c r="FB233" s="208">
        <f t="shared" si="651"/>
        <v>0</v>
      </c>
      <c r="FC233" s="208">
        <f t="shared" si="652"/>
        <v>0</v>
      </c>
      <c r="FD233" s="203"/>
      <c r="FE233" s="205"/>
      <c r="FF233" s="204"/>
      <c r="FG233" s="208">
        <f t="shared" si="653"/>
        <v>0</v>
      </c>
      <c r="FH233" s="203"/>
      <c r="FI233" s="205"/>
      <c r="FJ233" s="205"/>
      <c r="FK233" s="205"/>
      <c r="FL233" s="204"/>
      <c r="FM233" s="208">
        <f t="shared" si="654"/>
        <v>0</v>
      </c>
      <c r="FN233" s="203"/>
      <c r="FO233" s="205"/>
      <c r="FP233" s="205"/>
      <c r="FQ233" s="205"/>
      <c r="FR233" s="208">
        <f t="shared" si="616"/>
        <v>0</v>
      </c>
      <c r="FS233" s="203"/>
      <c r="FT233" s="205"/>
      <c r="FU233" s="205"/>
      <c r="FV233" s="205"/>
      <c r="FW233" s="204"/>
      <c r="FX233" s="208">
        <f t="shared" si="655"/>
        <v>0</v>
      </c>
      <c r="FY233" s="203"/>
      <c r="FZ233" s="205"/>
      <c r="GA233" s="205"/>
      <c r="GB233" s="205"/>
      <c r="GC233" s="204"/>
      <c r="GD233" s="208">
        <f t="shared" si="656"/>
        <v>0</v>
      </c>
      <c r="GE233" s="208">
        <f t="shared" si="617"/>
        <v>0</v>
      </c>
      <c r="GF233" s="203"/>
      <c r="GG233" s="205"/>
      <c r="GH233" s="205"/>
      <c r="GI233" s="205"/>
      <c r="GJ233" s="205"/>
      <c r="GK233" s="208">
        <f t="shared" si="618"/>
        <v>0</v>
      </c>
      <c r="GL233" s="203"/>
      <c r="GM233" s="205"/>
      <c r="GN233" s="205"/>
      <c r="GO233" s="204"/>
      <c r="GP233" s="208">
        <f t="shared" si="657"/>
        <v>0</v>
      </c>
      <c r="GQ233" s="203"/>
      <c r="GR233" s="205"/>
      <c r="GS233" s="205"/>
      <c r="GT233" s="205"/>
      <c r="GU233" s="204"/>
      <c r="GV233" s="208">
        <f t="shared" si="658"/>
        <v>0</v>
      </c>
      <c r="GW233" s="203"/>
      <c r="GX233" s="205"/>
      <c r="GY233" s="205"/>
      <c r="GZ233" s="205"/>
      <c r="HA233" s="205"/>
      <c r="HB233" s="204"/>
      <c r="HC233" s="208">
        <f t="shared" si="659"/>
        <v>0</v>
      </c>
      <c r="HD233" s="208">
        <f t="shared" si="619"/>
        <v>0</v>
      </c>
      <c r="HE233" s="203"/>
      <c r="HF233" s="205"/>
      <c r="HG233" s="205"/>
      <c r="HH233" s="205"/>
      <c r="HI233" s="208">
        <f t="shared" si="620"/>
        <v>0</v>
      </c>
      <c r="HJ233" s="203"/>
      <c r="HK233" s="205"/>
      <c r="HL233" s="205"/>
      <c r="HM233" s="205"/>
      <c r="HN233" s="204"/>
      <c r="HO233" s="208">
        <f t="shared" si="660"/>
        <v>0</v>
      </c>
      <c r="HP233" s="203"/>
      <c r="HQ233" s="205"/>
      <c r="HR233" s="205"/>
      <c r="HS233" s="205"/>
      <c r="HT233" s="204"/>
      <c r="HU233" s="208">
        <f t="shared" si="661"/>
        <v>0</v>
      </c>
      <c r="HV233" s="203"/>
      <c r="HW233" s="205"/>
      <c r="HX233" s="205"/>
      <c r="HY233" s="208">
        <f t="shared" si="621"/>
        <v>0</v>
      </c>
      <c r="HZ233" s="203"/>
      <c r="IA233" s="205"/>
      <c r="IB233" s="204"/>
      <c r="IC233" s="208">
        <f t="shared" si="662"/>
        <v>0</v>
      </c>
      <c r="ID233" s="208">
        <f t="shared" si="622"/>
        <v>0</v>
      </c>
      <c r="IE233" s="203"/>
      <c r="IF233" s="204"/>
      <c r="IG233" s="208">
        <f t="shared" si="663"/>
        <v>0</v>
      </c>
      <c r="IH233" s="203"/>
      <c r="II233" s="205"/>
      <c r="IJ233" s="205"/>
      <c r="IK233" s="205"/>
      <c r="IL233" s="204"/>
      <c r="IM233" s="208">
        <f t="shared" si="664"/>
        <v>0</v>
      </c>
      <c r="IN233" s="203"/>
      <c r="IO233" s="205"/>
      <c r="IP233" s="204"/>
      <c r="IQ233" s="208">
        <f t="shared" si="665"/>
        <v>0</v>
      </c>
      <c r="IR233" s="203"/>
      <c r="IS233" s="205"/>
      <c r="IT233" s="205"/>
      <c r="IU233" s="205"/>
      <c r="IV233" s="204"/>
      <c r="IW233" s="208">
        <f t="shared" si="666"/>
        <v>0</v>
      </c>
      <c r="IX233" s="203"/>
      <c r="IY233" s="205"/>
      <c r="IZ233" s="205"/>
      <c r="JA233" s="205"/>
      <c r="JB233" s="204"/>
      <c r="JC233" s="208">
        <f t="shared" si="667"/>
        <v>0</v>
      </c>
      <c r="JD233" s="208">
        <f t="shared" si="623"/>
        <v>0</v>
      </c>
      <c r="JE233" s="203"/>
      <c r="JF233" s="205"/>
      <c r="JG233" s="205"/>
      <c r="JH233" s="205"/>
      <c r="JI233" s="204"/>
      <c r="JJ233" s="208">
        <f t="shared" si="668"/>
        <v>0</v>
      </c>
      <c r="JK233" s="203"/>
      <c r="JL233" s="205"/>
      <c r="JM233" s="205"/>
      <c r="JN233" s="205"/>
      <c r="JO233" s="204"/>
      <c r="JP233" s="208">
        <f t="shared" si="669"/>
        <v>0</v>
      </c>
      <c r="JQ233" s="203"/>
      <c r="JR233" s="205"/>
      <c r="JS233" s="205"/>
      <c r="JT233" s="205"/>
      <c r="JU233" s="204"/>
      <c r="JV233" s="208">
        <f t="shared" si="670"/>
        <v>0</v>
      </c>
      <c r="JW233" s="203"/>
      <c r="JX233" s="205"/>
      <c r="JY233" s="205"/>
      <c r="JZ233" s="205"/>
      <c r="KA233" s="205"/>
      <c r="KB233" s="204"/>
      <c r="KC233" s="208">
        <f t="shared" si="671"/>
        <v>0</v>
      </c>
      <c r="KD233" s="208">
        <f t="shared" si="672"/>
        <v>0</v>
      </c>
      <c r="KE233" s="203"/>
      <c r="KF233" s="205"/>
      <c r="KG233" s="205"/>
      <c r="KH233" s="205"/>
      <c r="KI233" s="204"/>
      <c r="KJ233" s="208">
        <f t="shared" si="673"/>
        <v>0</v>
      </c>
      <c r="KK233" s="203"/>
      <c r="KL233" s="205"/>
      <c r="KM233" s="205"/>
      <c r="KN233" s="205"/>
      <c r="KO233" s="204"/>
      <c r="KP233" s="208">
        <f t="shared" si="674"/>
        <v>0</v>
      </c>
      <c r="KQ233" s="203"/>
      <c r="KR233" s="205"/>
      <c r="KS233" s="205"/>
      <c r="KT233" s="205"/>
      <c r="KU233" s="204"/>
      <c r="KV233" s="208">
        <f t="shared" si="675"/>
        <v>0</v>
      </c>
      <c r="KW233" s="202"/>
      <c r="KX233" s="244"/>
      <c r="KY233" s="244"/>
      <c r="KZ233" s="244"/>
      <c r="LA233" s="245"/>
      <c r="LB233" s="208">
        <f t="shared" si="676"/>
        <v>0</v>
      </c>
      <c r="LC233" s="202"/>
      <c r="LD233" s="244"/>
      <c r="LE233" s="245"/>
      <c r="LF233" s="208">
        <f t="shared" si="677"/>
        <v>0</v>
      </c>
      <c r="LG233" s="208">
        <f t="shared" si="678"/>
        <v>0</v>
      </c>
    </row>
    <row r="234" spans="2:319">
      <c r="B234" s="93" t="s">
        <v>80</v>
      </c>
      <c r="C234" s="167"/>
      <c r="D234" s="202">
        <f t="shared" si="612"/>
        <v>0</v>
      </c>
      <c r="E234" s="167"/>
      <c r="F234" s="177"/>
      <c r="G234" s="177"/>
      <c r="H234" s="177"/>
      <c r="I234" s="178"/>
      <c r="J234" s="202">
        <f t="shared" si="624"/>
        <v>0</v>
      </c>
      <c r="K234" s="167"/>
      <c r="L234" s="177"/>
      <c r="M234" s="177"/>
      <c r="N234" s="178"/>
      <c r="O234" s="202">
        <f t="shared" si="625"/>
        <v>0</v>
      </c>
      <c r="P234" s="167"/>
      <c r="Q234" s="177"/>
      <c r="R234" s="177"/>
      <c r="S234" s="177"/>
      <c r="T234" s="178"/>
      <c r="U234" s="202">
        <f t="shared" si="626"/>
        <v>0</v>
      </c>
      <c r="V234" s="167"/>
      <c r="W234" s="177"/>
      <c r="X234" s="177"/>
      <c r="Y234" s="177"/>
      <c r="Z234" s="178"/>
      <c r="AA234" s="202">
        <f t="shared" si="627"/>
        <v>0</v>
      </c>
      <c r="AB234" s="208">
        <f t="shared" si="628"/>
        <v>0</v>
      </c>
      <c r="AC234" s="203"/>
      <c r="AD234" s="205"/>
      <c r="AE234" s="205"/>
      <c r="AF234" s="205"/>
      <c r="AG234" s="204"/>
      <c r="AH234" s="208">
        <f t="shared" si="629"/>
        <v>0</v>
      </c>
      <c r="AI234" s="203"/>
      <c r="AJ234" s="205"/>
      <c r="AK234" s="205"/>
      <c r="AL234" s="205"/>
      <c r="AM234" s="204"/>
      <c r="AN234" s="208">
        <f t="shared" si="630"/>
        <v>0</v>
      </c>
      <c r="AO234" s="203"/>
      <c r="AP234" s="205"/>
      <c r="AQ234" s="205"/>
      <c r="AR234" s="205"/>
      <c r="AS234" s="204"/>
      <c r="AT234" s="208">
        <f t="shared" si="631"/>
        <v>0</v>
      </c>
      <c r="AU234" s="203"/>
      <c r="AV234" s="205"/>
      <c r="AW234" s="205"/>
      <c r="AX234" s="205"/>
      <c r="AY234" s="204"/>
      <c r="AZ234" s="208">
        <f t="shared" si="632"/>
        <v>0</v>
      </c>
      <c r="BA234" s="208">
        <f t="shared" si="633"/>
        <v>0</v>
      </c>
      <c r="BB234" s="203"/>
      <c r="BC234" s="205"/>
      <c r="BD234" s="205"/>
      <c r="BE234" s="205"/>
      <c r="BF234" s="204"/>
      <c r="BG234" s="208">
        <f t="shared" si="634"/>
        <v>0</v>
      </c>
      <c r="BH234" s="203"/>
      <c r="BI234" s="205"/>
      <c r="BJ234" s="205"/>
      <c r="BK234" s="205"/>
      <c r="BL234" s="204"/>
      <c r="BM234" s="208">
        <f t="shared" si="635"/>
        <v>0</v>
      </c>
      <c r="BN234" s="203"/>
      <c r="BO234" s="205"/>
      <c r="BP234" s="205"/>
      <c r="BQ234" s="204"/>
      <c r="BR234" s="208">
        <f t="shared" si="636"/>
        <v>0</v>
      </c>
      <c r="BS234" s="203"/>
      <c r="BT234" s="205"/>
      <c r="BU234" s="205"/>
      <c r="BV234" s="205"/>
      <c r="BW234" s="204"/>
      <c r="BX234" s="208">
        <f t="shared" si="637"/>
        <v>0</v>
      </c>
      <c r="BY234" s="203"/>
      <c r="BZ234" s="205"/>
      <c r="CA234" s="208">
        <f t="shared" si="638"/>
        <v>0</v>
      </c>
      <c r="CB234" s="208">
        <f t="shared" si="639"/>
        <v>0</v>
      </c>
      <c r="CC234" s="203"/>
      <c r="CD234" s="205"/>
      <c r="CE234" s="205"/>
      <c r="CF234" s="208">
        <f t="shared" si="613"/>
        <v>0</v>
      </c>
      <c r="CG234" s="203"/>
      <c r="CH234" s="205"/>
      <c r="CI234" s="205"/>
      <c r="CJ234" s="204"/>
      <c r="CK234" s="208">
        <f t="shared" si="640"/>
        <v>0</v>
      </c>
      <c r="CL234" s="203"/>
      <c r="CM234" s="205"/>
      <c r="CN234" s="205"/>
      <c r="CO234" s="205"/>
      <c r="CP234" s="204"/>
      <c r="CQ234" s="208">
        <f t="shared" si="641"/>
        <v>0</v>
      </c>
      <c r="CR234" s="203"/>
      <c r="CS234" s="205"/>
      <c r="CT234" s="205"/>
      <c r="CU234" s="205"/>
      <c r="CV234" s="204"/>
      <c r="CW234" s="208">
        <f t="shared" si="642"/>
        <v>0</v>
      </c>
      <c r="CX234" s="203"/>
      <c r="CY234" s="205"/>
      <c r="CZ234" s="205"/>
      <c r="DA234" s="204"/>
      <c r="DB234" s="208">
        <f t="shared" si="643"/>
        <v>0</v>
      </c>
      <c r="DC234" s="208">
        <f t="shared" si="614"/>
        <v>0</v>
      </c>
      <c r="DD234" s="203"/>
      <c r="DE234" s="205"/>
      <c r="DF234" s="205"/>
      <c r="DG234" s="205"/>
      <c r="DH234" s="205"/>
      <c r="DI234" s="208">
        <f t="shared" si="615"/>
        <v>0</v>
      </c>
      <c r="DJ234" s="203"/>
      <c r="DK234" s="205"/>
      <c r="DL234" s="205"/>
      <c r="DM234" s="205"/>
      <c r="DN234" s="204"/>
      <c r="DO234" s="208">
        <f t="shared" si="644"/>
        <v>0</v>
      </c>
      <c r="DP234" s="203"/>
      <c r="DQ234" s="205"/>
      <c r="DR234" s="205"/>
      <c r="DS234" s="205"/>
      <c r="DT234" s="204"/>
      <c r="DU234" s="208">
        <f t="shared" si="645"/>
        <v>0</v>
      </c>
      <c r="DV234" s="203"/>
      <c r="DW234" s="205"/>
      <c r="DX234" s="205"/>
      <c r="DY234" s="205"/>
      <c r="DZ234" s="204"/>
      <c r="EA234" s="208">
        <f t="shared" si="646"/>
        <v>0</v>
      </c>
      <c r="EB234" s="208">
        <f t="shared" si="647"/>
        <v>0</v>
      </c>
      <c r="EC234" s="203"/>
      <c r="ED234" s="205"/>
      <c r="EE234" s="205"/>
      <c r="EF234" s="205"/>
      <c r="EG234" s="204"/>
      <c r="EH234" s="208">
        <f t="shared" si="648"/>
        <v>0</v>
      </c>
      <c r="EI234" s="203"/>
      <c r="EJ234" s="205"/>
      <c r="EK234" s="205"/>
      <c r="EL234" s="205"/>
      <c r="EM234" s="204"/>
      <c r="EN234" s="208">
        <f t="shared" si="649"/>
        <v>0</v>
      </c>
      <c r="EO234" s="203"/>
      <c r="EP234" s="205"/>
      <c r="EQ234" s="205"/>
      <c r="ER234" s="205"/>
      <c r="ES234" s="204"/>
      <c r="ET234" s="208">
        <f t="shared" si="650"/>
        <v>0</v>
      </c>
      <c r="EU234" s="203"/>
      <c r="EV234" s="205"/>
      <c r="EW234" s="205"/>
      <c r="EX234" s="205"/>
      <c r="EY234" s="205"/>
      <c r="EZ234" s="205"/>
      <c r="FA234" s="204"/>
      <c r="FB234" s="208">
        <f t="shared" si="651"/>
        <v>0</v>
      </c>
      <c r="FC234" s="208">
        <f t="shared" si="652"/>
        <v>0</v>
      </c>
      <c r="FD234" s="203"/>
      <c r="FE234" s="205"/>
      <c r="FF234" s="204"/>
      <c r="FG234" s="208">
        <f t="shared" si="653"/>
        <v>0</v>
      </c>
      <c r="FH234" s="203"/>
      <c r="FI234" s="205"/>
      <c r="FJ234" s="205"/>
      <c r="FK234" s="205"/>
      <c r="FL234" s="204"/>
      <c r="FM234" s="208">
        <f t="shared" si="654"/>
        <v>0</v>
      </c>
      <c r="FN234" s="203"/>
      <c r="FO234" s="205"/>
      <c r="FP234" s="205"/>
      <c r="FQ234" s="205"/>
      <c r="FR234" s="208">
        <f t="shared" si="616"/>
        <v>0</v>
      </c>
      <c r="FS234" s="203"/>
      <c r="FT234" s="205"/>
      <c r="FU234" s="205"/>
      <c r="FV234" s="205"/>
      <c r="FW234" s="204"/>
      <c r="FX234" s="208">
        <f t="shared" si="655"/>
        <v>0</v>
      </c>
      <c r="FY234" s="203"/>
      <c r="FZ234" s="205"/>
      <c r="GA234" s="205"/>
      <c r="GB234" s="205"/>
      <c r="GC234" s="204"/>
      <c r="GD234" s="208">
        <f t="shared" si="656"/>
        <v>0</v>
      </c>
      <c r="GE234" s="208">
        <f t="shared" si="617"/>
        <v>0</v>
      </c>
      <c r="GF234" s="203"/>
      <c r="GG234" s="205"/>
      <c r="GH234" s="205"/>
      <c r="GI234" s="205"/>
      <c r="GJ234" s="205"/>
      <c r="GK234" s="208">
        <f t="shared" si="618"/>
        <v>0</v>
      </c>
      <c r="GL234" s="203"/>
      <c r="GM234" s="205"/>
      <c r="GN234" s="205"/>
      <c r="GO234" s="204"/>
      <c r="GP234" s="208">
        <f t="shared" si="657"/>
        <v>0</v>
      </c>
      <c r="GQ234" s="203"/>
      <c r="GR234" s="205"/>
      <c r="GS234" s="205"/>
      <c r="GT234" s="205"/>
      <c r="GU234" s="204"/>
      <c r="GV234" s="208">
        <f t="shared" si="658"/>
        <v>0</v>
      </c>
      <c r="GW234" s="203"/>
      <c r="GX234" s="205"/>
      <c r="GY234" s="205"/>
      <c r="GZ234" s="205"/>
      <c r="HA234" s="205"/>
      <c r="HB234" s="204"/>
      <c r="HC234" s="208">
        <f t="shared" si="659"/>
        <v>0</v>
      </c>
      <c r="HD234" s="208">
        <f t="shared" si="619"/>
        <v>0</v>
      </c>
      <c r="HE234" s="203"/>
      <c r="HF234" s="205"/>
      <c r="HG234" s="205"/>
      <c r="HH234" s="205"/>
      <c r="HI234" s="208">
        <f t="shared" si="620"/>
        <v>0</v>
      </c>
      <c r="HJ234" s="203"/>
      <c r="HK234" s="205"/>
      <c r="HL234" s="205"/>
      <c r="HM234" s="205"/>
      <c r="HN234" s="204"/>
      <c r="HO234" s="208">
        <f t="shared" si="660"/>
        <v>0</v>
      </c>
      <c r="HP234" s="203"/>
      <c r="HQ234" s="205"/>
      <c r="HR234" s="205"/>
      <c r="HS234" s="205"/>
      <c r="HT234" s="204"/>
      <c r="HU234" s="208">
        <f t="shared" si="661"/>
        <v>0</v>
      </c>
      <c r="HV234" s="203"/>
      <c r="HW234" s="205"/>
      <c r="HX234" s="205"/>
      <c r="HY234" s="208">
        <f t="shared" si="621"/>
        <v>0</v>
      </c>
      <c r="HZ234" s="203"/>
      <c r="IA234" s="205"/>
      <c r="IB234" s="204"/>
      <c r="IC234" s="208">
        <f t="shared" si="662"/>
        <v>0</v>
      </c>
      <c r="ID234" s="208">
        <f t="shared" si="622"/>
        <v>0</v>
      </c>
      <c r="IE234" s="203"/>
      <c r="IF234" s="204"/>
      <c r="IG234" s="208">
        <f t="shared" si="663"/>
        <v>0</v>
      </c>
      <c r="IH234" s="203"/>
      <c r="II234" s="205"/>
      <c r="IJ234" s="205"/>
      <c r="IK234" s="205"/>
      <c r="IL234" s="204"/>
      <c r="IM234" s="208">
        <f t="shared" si="664"/>
        <v>0</v>
      </c>
      <c r="IN234" s="203"/>
      <c r="IO234" s="205"/>
      <c r="IP234" s="204"/>
      <c r="IQ234" s="208">
        <f t="shared" si="665"/>
        <v>0</v>
      </c>
      <c r="IR234" s="203"/>
      <c r="IS234" s="205"/>
      <c r="IT234" s="205"/>
      <c r="IU234" s="205"/>
      <c r="IV234" s="204"/>
      <c r="IW234" s="208">
        <f t="shared" si="666"/>
        <v>0</v>
      </c>
      <c r="IX234" s="203"/>
      <c r="IY234" s="205"/>
      <c r="IZ234" s="205"/>
      <c r="JA234" s="205"/>
      <c r="JB234" s="204"/>
      <c r="JC234" s="208">
        <f t="shared" si="667"/>
        <v>0</v>
      </c>
      <c r="JD234" s="208">
        <f t="shared" si="623"/>
        <v>0</v>
      </c>
      <c r="JE234" s="203"/>
      <c r="JF234" s="205"/>
      <c r="JG234" s="205"/>
      <c r="JH234" s="205"/>
      <c r="JI234" s="204"/>
      <c r="JJ234" s="208">
        <f t="shared" si="668"/>
        <v>0</v>
      </c>
      <c r="JK234" s="203"/>
      <c r="JL234" s="205"/>
      <c r="JM234" s="205"/>
      <c r="JN234" s="205"/>
      <c r="JO234" s="204"/>
      <c r="JP234" s="208">
        <f t="shared" si="669"/>
        <v>0</v>
      </c>
      <c r="JQ234" s="203"/>
      <c r="JR234" s="205"/>
      <c r="JS234" s="205"/>
      <c r="JT234" s="205"/>
      <c r="JU234" s="204"/>
      <c r="JV234" s="208">
        <f t="shared" si="670"/>
        <v>0</v>
      </c>
      <c r="JW234" s="203"/>
      <c r="JX234" s="205"/>
      <c r="JY234" s="205"/>
      <c r="JZ234" s="205"/>
      <c r="KA234" s="205"/>
      <c r="KB234" s="204"/>
      <c r="KC234" s="208">
        <f t="shared" si="671"/>
        <v>0</v>
      </c>
      <c r="KD234" s="208">
        <f t="shared" si="672"/>
        <v>0</v>
      </c>
      <c r="KE234" s="203"/>
      <c r="KF234" s="205"/>
      <c r="KG234" s="205"/>
      <c r="KH234" s="205"/>
      <c r="KI234" s="204"/>
      <c r="KJ234" s="208">
        <f t="shared" si="673"/>
        <v>0</v>
      </c>
      <c r="KK234" s="203"/>
      <c r="KL234" s="205"/>
      <c r="KM234" s="205"/>
      <c r="KN234" s="205"/>
      <c r="KO234" s="204"/>
      <c r="KP234" s="208">
        <f t="shared" si="674"/>
        <v>0</v>
      </c>
      <c r="KQ234" s="203"/>
      <c r="KR234" s="205"/>
      <c r="KS234" s="205"/>
      <c r="KT234" s="205"/>
      <c r="KU234" s="204"/>
      <c r="KV234" s="208">
        <f t="shared" si="675"/>
        <v>0</v>
      </c>
      <c r="KW234" s="202"/>
      <c r="KX234" s="244"/>
      <c r="KY234" s="244"/>
      <c r="KZ234" s="244"/>
      <c r="LA234" s="245"/>
      <c r="LB234" s="208">
        <f t="shared" si="676"/>
        <v>0</v>
      </c>
      <c r="LC234" s="202"/>
      <c r="LD234" s="244"/>
      <c r="LE234" s="245"/>
      <c r="LF234" s="208">
        <f t="shared" si="677"/>
        <v>0</v>
      </c>
      <c r="LG234" s="208">
        <f t="shared" si="678"/>
        <v>0</v>
      </c>
    </row>
    <row r="235" spans="2:319">
      <c r="B235" s="93" t="s">
        <v>81</v>
      </c>
      <c r="C235" s="167"/>
      <c r="D235" s="202">
        <f t="shared" si="612"/>
        <v>0</v>
      </c>
      <c r="E235" s="167"/>
      <c r="F235" s="177"/>
      <c r="G235" s="177"/>
      <c r="H235" s="177"/>
      <c r="I235" s="178"/>
      <c r="J235" s="202">
        <f t="shared" si="624"/>
        <v>0</v>
      </c>
      <c r="K235" s="167"/>
      <c r="L235" s="177"/>
      <c r="M235" s="177"/>
      <c r="N235" s="178"/>
      <c r="O235" s="202">
        <f t="shared" si="625"/>
        <v>0</v>
      </c>
      <c r="P235" s="167"/>
      <c r="Q235" s="177"/>
      <c r="R235" s="177"/>
      <c r="S235" s="177"/>
      <c r="T235" s="178"/>
      <c r="U235" s="202">
        <f t="shared" si="626"/>
        <v>0</v>
      </c>
      <c r="V235" s="167"/>
      <c r="W235" s="177"/>
      <c r="X235" s="177"/>
      <c r="Y235" s="177"/>
      <c r="Z235" s="178"/>
      <c r="AA235" s="202">
        <f t="shared" si="627"/>
        <v>0</v>
      </c>
      <c r="AB235" s="208">
        <f t="shared" si="628"/>
        <v>0</v>
      </c>
      <c r="AC235" s="203"/>
      <c r="AD235" s="205"/>
      <c r="AE235" s="205"/>
      <c r="AF235" s="205"/>
      <c r="AG235" s="204"/>
      <c r="AH235" s="208">
        <f t="shared" si="629"/>
        <v>0</v>
      </c>
      <c r="AI235" s="203"/>
      <c r="AJ235" s="205"/>
      <c r="AK235" s="205"/>
      <c r="AL235" s="205"/>
      <c r="AM235" s="204"/>
      <c r="AN235" s="208">
        <f t="shared" si="630"/>
        <v>0</v>
      </c>
      <c r="AO235" s="203"/>
      <c r="AP235" s="205"/>
      <c r="AQ235" s="205"/>
      <c r="AR235" s="205"/>
      <c r="AS235" s="204"/>
      <c r="AT235" s="208">
        <f t="shared" si="631"/>
        <v>0</v>
      </c>
      <c r="AU235" s="203"/>
      <c r="AV235" s="205"/>
      <c r="AW235" s="205"/>
      <c r="AX235" s="205"/>
      <c r="AY235" s="204"/>
      <c r="AZ235" s="208">
        <f t="shared" si="632"/>
        <v>0</v>
      </c>
      <c r="BA235" s="208">
        <f>AZ235+AT235+AN235+AH235</f>
        <v>0</v>
      </c>
      <c r="BB235" s="203"/>
      <c r="BC235" s="205"/>
      <c r="BD235" s="205"/>
      <c r="BE235" s="205"/>
      <c r="BF235" s="204"/>
      <c r="BG235" s="208">
        <f t="shared" si="634"/>
        <v>0</v>
      </c>
      <c r="BH235" s="203"/>
      <c r="BI235" s="205"/>
      <c r="BJ235" s="205"/>
      <c r="BK235" s="205"/>
      <c r="BL235" s="204"/>
      <c r="BM235" s="208">
        <f t="shared" si="635"/>
        <v>0</v>
      </c>
      <c r="BN235" s="203"/>
      <c r="BO235" s="205"/>
      <c r="BP235" s="205"/>
      <c r="BQ235" s="204"/>
      <c r="BR235" s="208">
        <f t="shared" si="636"/>
        <v>0</v>
      </c>
      <c r="BS235" s="203"/>
      <c r="BT235" s="205"/>
      <c r="BU235" s="205"/>
      <c r="BV235" s="205"/>
      <c r="BW235" s="204"/>
      <c r="BX235" s="208">
        <f t="shared" si="637"/>
        <v>0</v>
      </c>
      <c r="BY235" s="203"/>
      <c r="BZ235" s="205"/>
      <c r="CA235" s="208">
        <f t="shared" si="638"/>
        <v>0</v>
      </c>
      <c r="CB235" s="208">
        <f t="shared" si="639"/>
        <v>0</v>
      </c>
      <c r="CC235" s="203"/>
      <c r="CD235" s="205"/>
      <c r="CE235" s="205"/>
      <c r="CF235" s="208">
        <f t="shared" si="613"/>
        <v>0</v>
      </c>
      <c r="CG235" s="203"/>
      <c r="CH235" s="205"/>
      <c r="CI235" s="205"/>
      <c r="CJ235" s="204"/>
      <c r="CK235" s="208">
        <f t="shared" ref="CK235:CK250" si="679">SUM(CG235:CJ235)</f>
        <v>0</v>
      </c>
      <c r="CL235" s="203"/>
      <c r="CM235" s="205"/>
      <c r="CN235" s="205"/>
      <c r="CO235" s="205"/>
      <c r="CP235" s="204"/>
      <c r="CQ235" s="208">
        <f t="shared" si="641"/>
        <v>0</v>
      </c>
      <c r="CR235" s="203"/>
      <c r="CS235" s="205"/>
      <c r="CT235" s="205"/>
      <c r="CU235" s="205"/>
      <c r="CV235" s="204"/>
      <c r="CW235" s="208">
        <f t="shared" ref="CW235:CW250" si="680">SUM(CR235:CV235)</f>
        <v>0</v>
      </c>
      <c r="CX235" s="203"/>
      <c r="CY235" s="205"/>
      <c r="CZ235" s="205"/>
      <c r="DA235" s="204"/>
      <c r="DB235" s="208">
        <f t="shared" si="643"/>
        <v>0</v>
      </c>
      <c r="DC235" s="208">
        <f t="shared" ref="DC235:DC250" si="681">DB235+CW235+CQ235+CK235+CF235</f>
        <v>0</v>
      </c>
      <c r="DD235" s="203"/>
      <c r="DE235" s="205"/>
      <c r="DF235" s="205"/>
      <c r="DG235" s="205"/>
      <c r="DH235" s="205"/>
      <c r="DI235" s="208">
        <f t="shared" si="615"/>
        <v>0</v>
      </c>
      <c r="DJ235" s="203"/>
      <c r="DK235" s="205"/>
      <c r="DL235" s="205"/>
      <c r="DM235" s="205"/>
      <c r="DN235" s="204"/>
      <c r="DO235" s="208">
        <f t="shared" ref="DO235:DO250" si="682">SUM(DJ235:DN235)</f>
        <v>0</v>
      </c>
      <c r="DP235" s="203"/>
      <c r="DQ235" s="205"/>
      <c r="DR235" s="205"/>
      <c r="DS235" s="205"/>
      <c r="DT235" s="204"/>
      <c r="DU235" s="208">
        <f t="shared" si="645"/>
        <v>0</v>
      </c>
      <c r="DV235" s="203"/>
      <c r="DW235" s="205"/>
      <c r="DX235" s="205"/>
      <c r="DY235" s="205"/>
      <c r="DZ235" s="204"/>
      <c r="EA235" s="208">
        <f t="shared" si="646"/>
        <v>0</v>
      </c>
      <c r="EB235" s="208">
        <f t="shared" si="647"/>
        <v>0</v>
      </c>
      <c r="EC235" s="203"/>
      <c r="ED235" s="205"/>
      <c r="EE235" s="205"/>
      <c r="EF235" s="205"/>
      <c r="EG235" s="204"/>
      <c r="EH235" s="208">
        <f t="shared" ref="EH235:EH250" si="683">SUM(EC235:EG235)</f>
        <v>0</v>
      </c>
      <c r="EI235" s="203"/>
      <c r="EJ235" s="205"/>
      <c r="EK235" s="205"/>
      <c r="EL235" s="205"/>
      <c r="EM235" s="204"/>
      <c r="EN235" s="208">
        <f t="shared" ref="EN235:EN250" si="684">SUM(EI235:EM235)</f>
        <v>0</v>
      </c>
      <c r="EO235" s="203"/>
      <c r="EP235" s="205"/>
      <c r="EQ235" s="205"/>
      <c r="ER235" s="205"/>
      <c r="ES235" s="204"/>
      <c r="ET235" s="208">
        <f t="shared" ref="ET235:ET250" si="685">SUM(EO235:ES235)</f>
        <v>0</v>
      </c>
      <c r="EU235" s="203"/>
      <c r="EV235" s="205"/>
      <c r="EW235" s="205"/>
      <c r="EX235" s="205"/>
      <c r="EY235" s="205"/>
      <c r="EZ235" s="205"/>
      <c r="FA235" s="204"/>
      <c r="FB235" s="208">
        <f t="shared" si="651"/>
        <v>0</v>
      </c>
      <c r="FC235" s="208">
        <f t="shared" ref="FC235:FC250" si="686">FB235+ET235+EN235+EH235</f>
        <v>0</v>
      </c>
      <c r="FD235" s="203"/>
      <c r="FE235" s="205"/>
      <c r="FF235" s="204"/>
      <c r="FG235" s="208">
        <f t="shared" si="653"/>
        <v>0</v>
      </c>
      <c r="FH235" s="203"/>
      <c r="FI235" s="205"/>
      <c r="FJ235" s="205"/>
      <c r="FK235" s="205"/>
      <c r="FL235" s="204"/>
      <c r="FM235" s="208">
        <f t="shared" si="654"/>
        <v>0</v>
      </c>
      <c r="FN235" s="203"/>
      <c r="FO235" s="205"/>
      <c r="FP235" s="205"/>
      <c r="FQ235" s="205"/>
      <c r="FR235" s="208">
        <f t="shared" si="616"/>
        <v>0</v>
      </c>
      <c r="FS235" s="203"/>
      <c r="FT235" s="205"/>
      <c r="FU235" s="205"/>
      <c r="FV235" s="205"/>
      <c r="FW235" s="204"/>
      <c r="FX235" s="208">
        <f t="shared" si="655"/>
        <v>0</v>
      </c>
      <c r="FY235" s="203"/>
      <c r="FZ235" s="205"/>
      <c r="GA235" s="205"/>
      <c r="GB235" s="205"/>
      <c r="GC235" s="204"/>
      <c r="GD235" s="208">
        <f t="shared" si="656"/>
        <v>0</v>
      </c>
      <c r="GE235" s="208">
        <f t="shared" si="617"/>
        <v>0</v>
      </c>
      <c r="GF235" s="203"/>
      <c r="GG235" s="205"/>
      <c r="GH235" s="205"/>
      <c r="GI235" s="205"/>
      <c r="GJ235" s="205"/>
      <c r="GK235" s="208">
        <f t="shared" si="618"/>
        <v>0</v>
      </c>
      <c r="GL235" s="203"/>
      <c r="GM235" s="205"/>
      <c r="GN235" s="205"/>
      <c r="GO235" s="204"/>
      <c r="GP235" s="208">
        <f t="shared" si="657"/>
        <v>0</v>
      </c>
      <c r="GQ235" s="203"/>
      <c r="GR235" s="205"/>
      <c r="GS235" s="205"/>
      <c r="GT235" s="205"/>
      <c r="GU235" s="204"/>
      <c r="GV235" s="208">
        <f t="shared" si="658"/>
        <v>0</v>
      </c>
      <c r="GW235" s="203"/>
      <c r="GX235" s="205"/>
      <c r="GY235" s="205"/>
      <c r="GZ235" s="205"/>
      <c r="HA235" s="205"/>
      <c r="HB235" s="204"/>
      <c r="HC235" s="208">
        <f t="shared" si="659"/>
        <v>0</v>
      </c>
      <c r="HD235" s="208">
        <f t="shared" si="619"/>
        <v>0</v>
      </c>
      <c r="HE235" s="203"/>
      <c r="HF235" s="205"/>
      <c r="HG235" s="205"/>
      <c r="HH235" s="205"/>
      <c r="HI235" s="208">
        <f t="shared" si="620"/>
        <v>0</v>
      </c>
      <c r="HJ235" s="203"/>
      <c r="HK235" s="205"/>
      <c r="HL235" s="205"/>
      <c r="HM235" s="205"/>
      <c r="HN235" s="204"/>
      <c r="HO235" s="208">
        <f t="shared" ref="HO235:HO250" si="687">SUM(HJ235:HN235)</f>
        <v>0</v>
      </c>
      <c r="HP235" s="203"/>
      <c r="HQ235" s="205"/>
      <c r="HR235" s="205"/>
      <c r="HS235" s="205"/>
      <c r="HT235" s="204"/>
      <c r="HU235" s="208">
        <f t="shared" ref="HU235:HU250" si="688">SUM(HP235:HT235)</f>
        <v>0</v>
      </c>
      <c r="HV235" s="203"/>
      <c r="HW235" s="205"/>
      <c r="HX235" s="205"/>
      <c r="HY235" s="208">
        <f t="shared" si="621"/>
        <v>0</v>
      </c>
      <c r="HZ235" s="203"/>
      <c r="IA235" s="205"/>
      <c r="IB235" s="204"/>
      <c r="IC235" s="208">
        <f t="shared" ref="IC235:IC250" si="689">SUM(HZ235:IB235)</f>
        <v>0</v>
      </c>
      <c r="ID235" s="208">
        <f t="shared" si="622"/>
        <v>0</v>
      </c>
      <c r="IE235" s="203"/>
      <c r="IF235" s="204"/>
      <c r="IG235" s="208">
        <f t="shared" ref="IG235:IG250" si="690">SUM(IE235:IF235)</f>
        <v>0</v>
      </c>
      <c r="IH235" s="203"/>
      <c r="II235" s="205"/>
      <c r="IJ235" s="205"/>
      <c r="IK235" s="205"/>
      <c r="IL235" s="204"/>
      <c r="IM235" s="208">
        <f t="shared" ref="IM235:IM250" si="691">SUM(IH235:IL235)</f>
        <v>0</v>
      </c>
      <c r="IN235" s="203"/>
      <c r="IO235" s="205"/>
      <c r="IP235" s="204"/>
      <c r="IQ235" s="208">
        <f t="shared" ref="IQ235:IQ250" si="692">SUM(IN235:IP235)</f>
        <v>0</v>
      </c>
      <c r="IR235" s="203"/>
      <c r="IS235" s="205"/>
      <c r="IT235" s="205"/>
      <c r="IU235" s="205"/>
      <c r="IV235" s="204"/>
      <c r="IW235" s="208">
        <f t="shared" ref="IW235:IW250" si="693">SUM(IR235:IV235)</f>
        <v>0</v>
      </c>
      <c r="IX235" s="203"/>
      <c r="IY235" s="205"/>
      <c r="IZ235" s="205"/>
      <c r="JA235" s="205"/>
      <c r="JB235" s="204"/>
      <c r="JC235" s="208">
        <f t="shared" ref="JC235:JC250" si="694">SUM(IX235:JB235)</f>
        <v>0</v>
      </c>
      <c r="JD235" s="208">
        <f t="shared" si="623"/>
        <v>0</v>
      </c>
      <c r="JE235" s="203"/>
      <c r="JF235" s="205"/>
      <c r="JG235" s="205"/>
      <c r="JH235" s="205"/>
      <c r="JI235" s="204"/>
      <c r="JJ235" s="208">
        <f t="shared" ref="JJ235:JJ250" si="695">SUM(JE235:JI235)</f>
        <v>0</v>
      </c>
      <c r="JK235" s="203"/>
      <c r="JL235" s="205"/>
      <c r="JM235" s="205"/>
      <c r="JN235" s="205"/>
      <c r="JO235" s="204"/>
      <c r="JP235" s="208">
        <f t="shared" ref="JP235:JP250" si="696">SUM(JK235:JO235)</f>
        <v>0</v>
      </c>
      <c r="JQ235" s="203"/>
      <c r="JR235" s="205"/>
      <c r="JS235" s="205"/>
      <c r="JT235" s="205"/>
      <c r="JU235" s="204"/>
      <c r="JV235" s="208">
        <f t="shared" ref="JV235:JV250" si="697">SUM(JQ235:JU235)</f>
        <v>0</v>
      </c>
      <c r="JW235" s="203"/>
      <c r="JX235" s="205"/>
      <c r="JY235" s="205"/>
      <c r="JZ235" s="205"/>
      <c r="KA235" s="205"/>
      <c r="KB235" s="204"/>
      <c r="KC235" s="208">
        <f t="shared" ref="KC235:KC250" si="698">SUM(JW235:KB235)</f>
        <v>0</v>
      </c>
      <c r="KD235" s="208">
        <f t="shared" ref="KD235:KD250" si="699">JJ235+JP235+JV235+KC235</f>
        <v>0</v>
      </c>
      <c r="KE235" s="203"/>
      <c r="KF235" s="205"/>
      <c r="KG235" s="205"/>
      <c r="KH235" s="205"/>
      <c r="KI235" s="204"/>
      <c r="KJ235" s="208">
        <f t="shared" ref="KJ235:KJ250" si="700">SUM(KE235:KI235)</f>
        <v>0</v>
      </c>
      <c r="KK235" s="203"/>
      <c r="KL235" s="205"/>
      <c r="KM235" s="205"/>
      <c r="KN235" s="205"/>
      <c r="KO235" s="204"/>
      <c r="KP235" s="208">
        <f t="shared" ref="KP235:KP250" si="701">SUM(KK235:KO235)</f>
        <v>0</v>
      </c>
      <c r="KQ235" s="203"/>
      <c r="KR235" s="205"/>
      <c r="KS235" s="205"/>
      <c r="KT235" s="205"/>
      <c r="KU235" s="204"/>
      <c r="KV235" s="208">
        <f t="shared" ref="KV235:KV250" si="702">SUM(KQ235:KU235)</f>
        <v>0</v>
      </c>
      <c r="KW235" s="202"/>
      <c r="KX235" s="244"/>
      <c r="KY235" s="244"/>
      <c r="KZ235" s="244"/>
      <c r="LA235" s="245"/>
      <c r="LB235" s="208">
        <f t="shared" ref="LB235:LB250" si="703">SUM(KW235:LA235)</f>
        <v>0</v>
      </c>
      <c r="LC235" s="202"/>
      <c r="LD235" s="244"/>
      <c r="LE235" s="245"/>
      <c r="LF235" s="208">
        <f t="shared" ref="LF235:LF250" si="704">SUM(LC235:LE235)</f>
        <v>0</v>
      </c>
      <c r="LG235" s="208">
        <f t="shared" ref="LG235:LG250" si="705">LF235+LB235+KV235+KP235+KJ235</f>
        <v>0</v>
      </c>
    </row>
    <row r="236" spans="2:319">
      <c r="B236" s="93" t="s">
        <v>82</v>
      </c>
      <c r="C236" s="167"/>
      <c r="D236" s="202">
        <f t="shared" si="612"/>
        <v>0</v>
      </c>
      <c r="E236" s="167"/>
      <c r="F236" s="177"/>
      <c r="G236" s="177"/>
      <c r="H236" s="177"/>
      <c r="I236" s="178"/>
      <c r="J236" s="202">
        <f t="shared" si="624"/>
        <v>0</v>
      </c>
      <c r="K236" s="167"/>
      <c r="L236" s="177"/>
      <c r="M236" s="177"/>
      <c r="N236" s="178"/>
      <c r="O236" s="202">
        <f t="shared" si="625"/>
        <v>0</v>
      </c>
      <c r="P236" s="167"/>
      <c r="Q236" s="177"/>
      <c r="R236" s="177"/>
      <c r="S236" s="177"/>
      <c r="T236" s="178"/>
      <c r="U236" s="202">
        <f t="shared" si="626"/>
        <v>0</v>
      </c>
      <c r="V236" s="167"/>
      <c r="W236" s="177"/>
      <c r="X236" s="177"/>
      <c r="Y236" s="177"/>
      <c r="Z236" s="178"/>
      <c r="AA236" s="202">
        <f t="shared" si="627"/>
        <v>0</v>
      </c>
      <c r="AB236" s="208">
        <f t="shared" si="628"/>
        <v>0</v>
      </c>
      <c r="AC236" s="203"/>
      <c r="AD236" s="205"/>
      <c r="AE236" s="205"/>
      <c r="AF236" s="205"/>
      <c r="AG236" s="204"/>
      <c r="AH236" s="208">
        <f t="shared" ref="AH236:AH250" si="706">SUM(AC236:AG236)</f>
        <v>0</v>
      </c>
      <c r="AI236" s="203"/>
      <c r="AJ236" s="205"/>
      <c r="AK236" s="205"/>
      <c r="AL236" s="205"/>
      <c r="AM236" s="204"/>
      <c r="AN236" s="208">
        <f t="shared" si="630"/>
        <v>0</v>
      </c>
      <c r="AO236" s="203"/>
      <c r="AP236" s="205"/>
      <c r="AQ236" s="205"/>
      <c r="AR236" s="205"/>
      <c r="AS236" s="204"/>
      <c r="AT236" s="208">
        <f t="shared" ref="AT236:AT250" si="707">SUM(AO236:AS236)</f>
        <v>0</v>
      </c>
      <c r="AU236" s="203"/>
      <c r="AV236" s="205"/>
      <c r="AW236" s="205"/>
      <c r="AX236" s="205"/>
      <c r="AY236" s="204"/>
      <c r="AZ236" s="208">
        <f t="shared" si="632"/>
        <v>0</v>
      </c>
      <c r="BA236" s="208">
        <f t="shared" ref="BA236:BA250" si="708">AZ236+AT236+AN236+AH236</f>
        <v>0</v>
      </c>
      <c r="BB236" s="203"/>
      <c r="BC236" s="205"/>
      <c r="BD236" s="205"/>
      <c r="BE236" s="205"/>
      <c r="BF236" s="204"/>
      <c r="BG236" s="208">
        <f t="shared" si="634"/>
        <v>0</v>
      </c>
      <c r="BH236" s="203"/>
      <c r="BI236" s="205"/>
      <c r="BJ236" s="205"/>
      <c r="BK236" s="205"/>
      <c r="BL236" s="204"/>
      <c r="BM236" s="208">
        <f t="shared" si="635"/>
        <v>0</v>
      </c>
      <c r="BN236" s="203"/>
      <c r="BO236" s="205"/>
      <c r="BP236" s="205"/>
      <c r="BQ236" s="204"/>
      <c r="BR236" s="208">
        <f t="shared" si="636"/>
        <v>0</v>
      </c>
      <c r="BS236" s="203"/>
      <c r="BT236" s="205"/>
      <c r="BU236" s="205"/>
      <c r="BV236" s="205"/>
      <c r="BW236" s="204"/>
      <c r="BX236" s="208">
        <f t="shared" si="637"/>
        <v>0</v>
      </c>
      <c r="BY236" s="203"/>
      <c r="BZ236" s="205"/>
      <c r="CA236" s="208">
        <f t="shared" si="638"/>
        <v>0</v>
      </c>
      <c r="CB236" s="208">
        <f t="shared" si="639"/>
        <v>0</v>
      </c>
      <c r="CC236" s="203"/>
      <c r="CD236" s="205"/>
      <c r="CE236" s="205"/>
      <c r="CF236" s="208">
        <f t="shared" si="613"/>
        <v>0</v>
      </c>
      <c r="CG236" s="203"/>
      <c r="CH236" s="205"/>
      <c r="CI236" s="205"/>
      <c r="CJ236" s="204"/>
      <c r="CK236" s="208">
        <f t="shared" si="679"/>
        <v>0</v>
      </c>
      <c r="CL236" s="203"/>
      <c r="CM236" s="205"/>
      <c r="CN236" s="205"/>
      <c r="CO236" s="205"/>
      <c r="CP236" s="204"/>
      <c r="CQ236" s="208">
        <f t="shared" si="641"/>
        <v>0</v>
      </c>
      <c r="CR236" s="203"/>
      <c r="CS236" s="205"/>
      <c r="CT236" s="205"/>
      <c r="CU236" s="205"/>
      <c r="CV236" s="204"/>
      <c r="CW236" s="208">
        <f t="shared" si="680"/>
        <v>0</v>
      </c>
      <c r="CX236" s="203"/>
      <c r="CY236" s="205"/>
      <c r="CZ236" s="205"/>
      <c r="DA236" s="204"/>
      <c r="DB236" s="208">
        <f t="shared" si="643"/>
        <v>0</v>
      </c>
      <c r="DC236" s="208">
        <f t="shared" si="681"/>
        <v>0</v>
      </c>
      <c r="DD236" s="203"/>
      <c r="DE236" s="205"/>
      <c r="DF236" s="205"/>
      <c r="DG236" s="205"/>
      <c r="DH236" s="205"/>
      <c r="DI236" s="208">
        <f t="shared" si="615"/>
        <v>0</v>
      </c>
      <c r="DJ236" s="203"/>
      <c r="DK236" s="205"/>
      <c r="DL236" s="205"/>
      <c r="DM236" s="205"/>
      <c r="DN236" s="204"/>
      <c r="DO236" s="208">
        <f t="shared" si="682"/>
        <v>0</v>
      </c>
      <c r="DP236" s="203"/>
      <c r="DQ236" s="205"/>
      <c r="DR236" s="205"/>
      <c r="DS236" s="205"/>
      <c r="DT236" s="204"/>
      <c r="DU236" s="208">
        <f t="shared" si="645"/>
        <v>0</v>
      </c>
      <c r="DV236" s="203"/>
      <c r="DW236" s="205"/>
      <c r="DX236" s="205"/>
      <c r="DY236" s="205"/>
      <c r="DZ236" s="204"/>
      <c r="EA236" s="208">
        <f t="shared" si="646"/>
        <v>0</v>
      </c>
      <c r="EB236" s="208">
        <f t="shared" si="647"/>
        <v>0</v>
      </c>
      <c r="EC236" s="203"/>
      <c r="ED236" s="205"/>
      <c r="EE236" s="205"/>
      <c r="EF236" s="205"/>
      <c r="EG236" s="204"/>
      <c r="EH236" s="208">
        <f t="shared" si="683"/>
        <v>0</v>
      </c>
      <c r="EI236" s="203"/>
      <c r="EJ236" s="205"/>
      <c r="EK236" s="205"/>
      <c r="EL236" s="205"/>
      <c r="EM236" s="204"/>
      <c r="EN236" s="208">
        <f t="shared" si="684"/>
        <v>0</v>
      </c>
      <c r="EO236" s="203"/>
      <c r="EP236" s="205"/>
      <c r="EQ236" s="205"/>
      <c r="ER236" s="205"/>
      <c r="ES236" s="204"/>
      <c r="ET236" s="208">
        <f t="shared" si="685"/>
        <v>0</v>
      </c>
      <c r="EU236" s="203"/>
      <c r="EV236" s="205"/>
      <c r="EW236" s="205"/>
      <c r="EX236" s="205"/>
      <c r="EY236" s="205"/>
      <c r="EZ236" s="205"/>
      <c r="FA236" s="204"/>
      <c r="FB236" s="208">
        <f t="shared" si="651"/>
        <v>0</v>
      </c>
      <c r="FC236" s="208">
        <f t="shared" si="686"/>
        <v>0</v>
      </c>
      <c r="FD236" s="203"/>
      <c r="FE236" s="205"/>
      <c r="FF236" s="204"/>
      <c r="FG236" s="208">
        <f t="shared" si="653"/>
        <v>0</v>
      </c>
      <c r="FH236" s="203"/>
      <c r="FI236" s="205"/>
      <c r="FJ236" s="205"/>
      <c r="FK236" s="205"/>
      <c r="FL236" s="204"/>
      <c r="FM236" s="208">
        <f t="shared" si="654"/>
        <v>0</v>
      </c>
      <c r="FN236" s="203"/>
      <c r="FO236" s="205"/>
      <c r="FP236" s="205"/>
      <c r="FQ236" s="205"/>
      <c r="FR236" s="208">
        <f t="shared" si="616"/>
        <v>0</v>
      </c>
      <c r="FS236" s="203"/>
      <c r="FT236" s="205"/>
      <c r="FU236" s="205"/>
      <c r="FV236" s="205"/>
      <c r="FW236" s="204"/>
      <c r="FX236" s="208">
        <f t="shared" si="655"/>
        <v>0</v>
      </c>
      <c r="FY236" s="203"/>
      <c r="FZ236" s="205"/>
      <c r="GA236" s="205"/>
      <c r="GB236" s="205"/>
      <c r="GC236" s="204"/>
      <c r="GD236" s="208">
        <f t="shared" si="656"/>
        <v>0</v>
      </c>
      <c r="GE236" s="208">
        <f t="shared" si="617"/>
        <v>0</v>
      </c>
      <c r="GF236" s="203"/>
      <c r="GG236" s="205"/>
      <c r="GH236" s="205"/>
      <c r="GI236" s="205"/>
      <c r="GJ236" s="205"/>
      <c r="GK236" s="208">
        <f t="shared" si="618"/>
        <v>0</v>
      </c>
      <c r="GL236" s="203"/>
      <c r="GM236" s="205"/>
      <c r="GN236" s="205"/>
      <c r="GO236" s="204"/>
      <c r="GP236" s="208">
        <f t="shared" si="657"/>
        <v>0</v>
      </c>
      <c r="GQ236" s="203"/>
      <c r="GR236" s="205"/>
      <c r="GS236" s="205"/>
      <c r="GT236" s="205"/>
      <c r="GU236" s="204"/>
      <c r="GV236" s="208">
        <f t="shared" si="658"/>
        <v>0</v>
      </c>
      <c r="GW236" s="203"/>
      <c r="GX236" s="205"/>
      <c r="GY236" s="205"/>
      <c r="GZ236" s="205"/>
      <c r="HA236" s="205"/>
      <c r="HB236" s="204"/>
      <c r="HC236" s="208">
        <f t="shared" si="659"/>
        <v>0</v>
      </c>
      <c r="HD236" s="208">
        <f t="shared" si="619"/>
        <v>0</v>
      </c>
      <c r="HE236" s="203"/>
      <c r="HF236" s="205"/>
      <c r="HG236" s="205"/>
      <c r="HH236" s="205"/>
      <c r="HI236" s="208">
        <f t="shared" si="620"/>
        <v>0</v>
      </c>
      <c r="HJ236" s="203"/>
      <c r="HK236" s="205"/>
      <c r="HL236" s="205"/>
      <c r="HM236" s="205"/>
      <c r="HN236" s="204"/>
      <c r="HO236" s="208">
        <f t="shared" si="687"/>
        <v>0</v>
      </c>
      <c r="HP236" s="203"/>
      <c r="HQ236" s="205"/>
      <c r="HR236" s="205"/>
      <c r="HS236" s="205"/>
      <c r="HT236" s="204"/>
      <c r="HU236" s="208">
        <f t="shared" si="688"/>
        <v>0</v>
      </c>
      <c r="HV236" s="203"/>
      <c r="HW236" s="205"/>
      <c r="HX236" s="205"/>
      <c r="HY236" s="208">
        <f t="shared" si="621"/>
        <v>0</v>
      </c>
      <c r="HZ236" s="203"/>
      <c r="IA236" s="205"/>
      <c r="IB236" s="204"/>
      <c r="IC236" s="208">
        <f t="shared" si="689"/>
        <v>0</v>
      </c>
      <c r="ID236" s="208">
        <f t="shared" si="622"/>
        <v>0</v>
      </c>
      <c r="IE236" s="203"/>
      <c r="IF236" s="204"/>
      <c r="IG236" s="208">
        <f t="shared" si="690"/>
        <v>0</v>
      </c>
      <c r="IH236" s="203"/>
      <c r="II236" s="205"/>
      <c r="IJ236" s="205"/>
      <c r="IK236" s="205"/>
      <c r="IL236" s="204"/>
      <c r="IM236" s="208">
        <f t="shared" si="691"/>
        <v>0</v>
      </c>
      <c r="IN236" s="203"/>
      <c r="IO236" s="205"/>
      <c r="IP236" s="204"/>
      <c r="IQ236" s="208">
        <f t="shared" si="692"/>
        <v>0</v>
      </c>
      <c r="IR236" s="203"/>
      <c r="IS236" s="205"/>
      <c r="IT236" s="205"/>
      <c r="IU236" s="205"/>
      <c r="IV236" s="204"/>
      <c r="IW236" s="208">
        <f t="shared" si="693"/>
        <v>0</v>
      </c>
      <c r="IX236" s="203"/>
      <c r="IY236" s="205"/>
      <c r="IZ236" s="205"/>
      <c r="JA236" s="205"/>
      <c r="JB236" s="204"/>
      <c r="JC236" s="208">
        <f t="shared" si="694"/>
        <v>0</v>
      </c>
      <c r="JD236" s="208">
        <f t="shared" si="623"/>
        <v>0</v>
      </c>
      <c r="JE236" s="203"/>
      <c r="JF236" s="205"/>
      <c r="JG236" s="205"/>
      <c r="JH236" s="205"/>
      <c r="JI236" s="204"/>
      <c r="JJ236" s="208">
        <f t="shared" si="695"/>
        <v>0</v>
      </c>
      <c r="JK236" s="203"/>
      <c r="JL236" s="205"/>
      <c r="JM236" s="205"/>
      <c r="JN236" s="205"/>
      <c r="JO236" s="204"/>
      <c r="JP236" s="208">
        <f t="shared" si="696"/>
        <v>0</v>
      </c>
      <c r="JQ236" s="203"/>
      <c r="JR236" s="205"/>
      <c r="JS236" s="205"/>
      <c r="JT236" s="205"/>
      <c r="JU236" s="204"/>
      <c r="JV236" s="208">
        <f t="shared" si="697"/>
        <v>0</v>
      </c>
      <c r="JW236" s="203"/>
      <c r="JX236" s="205"/>
      <c r="JY236" s="205"/>
      <c r="JZ236" s="205"/>
      <c r="KA236" s="205"/>
      <c r="KB236" s="204"/>
      <c r="KC236" s="208">
        <f t="shared" si="698"/>
        <v>0</v>
      </c>
      <c r="KD236" s="208">
        <f t="shared" si="699"/>
        <v>0</v>
      </c>
      <c r="KE236" s="203"/>
      <c r="KF236" s="205"/>
      <c r="KG236" s="205"/>
      <c r="KH236" s="205"/>
      <c r="KI236" s="204"/>
      <c r="KJ236" s="208">
        <f t="shared" si="700"/>
        <v>0</v>
      </c>
      <c r="KK236" s="203"/>
      <c r="KL236" s="205"/>
      <c r="KM236" s="205"/>
      <c r="KN236" s="205"/>
      <c r="KO236" s="204"/>
      <c r="KP236" s="208">
        <f t="shared" si="701"/>
        <v>0</v>
      </c>
      <c r="KQ236" s="203"/>
      <c r="KR236" s="205"/>
      <c r="KS236" s="205"/>
      <c r="KT236" s="205"/>
      <c r="KU236" s="204"/>
      <c r="KV236" s="208">
        <f t="shared" si="702"/>
        <v>0</v>
      </c>
      <c r="KW236" s="202"/>
      <c r="KX236" s="244"/>
      <c r="KY236" s="244"/>
      <c r="KZ236" s="244"/>
      <c r="LA236" s="245"/>
      <c r="LB236" s="208">
        <f t="shared" si="703"/>
        <v>0</v>
      </c>
      <c r="LC236" s="202"/>
      <c r="LD236" s="244"/>
      <c r="LE236" s="245"/>
      <c r="LF236" s="208">
        <f t="shared" si="704"/>
        <v>0</v>
      </c>
      <c r="LG236" s="208">
        <f t="shared" si="705"/>
        <v>0</v>
      </c>
    </row>
    <row r="237" spans="2:319">
      <c r="B237" s="93" t="s">
        <v>83</v>
      </c>
      <c r="C237" s="167"/>
      <c r="D237" s="202">
        <f t="shared" si="612"/>
        <v>0</v>
      </c>
      <c r="E237" s="167"/>
      <c r="F237" s="177"/>
      <c r="G237" s="177"/>
      <c r="H237" s="177"/>
      <c r="I237" s="178"/>
      <c r="J237" s="202">
        <f t="shared" si="624"/>
        <v>0</v>
      </c>
      <c r="K237" s="167"/>
      <c r="L237" s="177"/>
      <c r="M237" s="177"/>
      <c r="N237" s="178"/>
      <c r="O237" s="202">
        <f t="shared" si="625"/>
        <v>0</v>
      </c>
      <c r="P237" s="167"/>
      <c r="Q237" s="177"/>
      <c r="R237" s="177"/>
      <c r="S237" s="177"/>
      <c r="T237" s="178"/>
      <c r="U237" s="202">
        <f t="shared" si="626"/>
        <v>0</v>
      </c>
      <c r="V237" s="167"/>
      <c r="W237" s="177"/>
      <c r="X237" s="177"/>
      <c r="Y237" s="177"/>
      <c r="Z237" s="178"/>
      <c r="AA237" s="202">
        <f t="shared" si="627"/>
        <v>0</v>
      </c>
      <c r="AB237" s="208">
        <f t="shared" si="628"/>
        <v>0</v>
      </c>
      <c r="AC237" s="203"/>
      <c r="AD237" s="205"/>
      <c r="AE237" s="205"/>
      <c r="AF237" s="205"/>
      <c r="AG237" s="204"/>
      <c r="AH237" s="208">
        <f t="shared" si="706"/>
        <v>0</v>
      </c>
      <c r="AI237" s="203"/>
      <c r="AJ237" s="205"/>
      <c r="AK237" s="205"/>
      <c r="AL237" s="205"/>
      <c r="AM237" s="204"/>
      <c r="AN237" s="208">
        <f t="shared" si="630"/>
        <v>0</v>
      </c>
      <c r="AO237" s="203"/>
      <c r="AP237" s="205"/>
      <c r="AQ237" s="205"/>
      <c r="AR237" s="205"/>
      <c r="AS237" s="204"/>
      <c r="AT237" s="208">
        <f t="shared" si="707"/>
        <v>0</v>
      </c>
      <c r="AU237" s="203"/>
      <c r="AV237" s="205"/>
      <c r="AW237" s="205"/>
      <c r="AX237" s="205"/>
      <c r="AY237" s="204"/>
      <c r="AZ237" s="208">
        <f t="shared" si="632"/>
        <v>0</v>
      </c>
      <c r="BA237" s="208">
        <f t="shared" si="708"/>
        <v>0</v>
      </c>
      <c r="BB237" s="203"/>
      <c r="BC237" s="205"/>
      <c r="BD237" s="205"/>
      <c r="BE237" s="205"/>
      <c r="BF237" s="204"/>
      <c r="BG237" s="208">
        <f t="shared" si="634"/>
        <v>0</v>
      </c>
      <c r="BH237" s="203"/>
      <c r="BI237" s="205"/>
      <c r="BJ237" s="205"/>
      <c r="BK237" s="205"/>
      <c r="BL237" s="204"/>
      <c r="BM237" s="208">
        <f t="shared" si="635"/>
        <v>0</v>
      </c>
      <c r="BN237" s="203"/>
      <c r="BO237" s="205"/>
      <c r="BP237" s="205"/>
      <c r="BQ237" s="204"/>
      <c r="BR237" s="208">
        <f t="shared" si="636"/>
        <v>0</v>
      </c>
      <c r="BS237" s="203"/>
      <c r="BT237" s="205"/>
      <c r="BU237" s="205"/>
      <c r="BV237" s="205"/>
      <c r="BW237" s="204"/>
      <c r="BX237" s="208">
        <f t="shared" si="637"/>
        <v>0</v>
      </c>
      <c r="BY237" s="203"/>
      <c r="BZ237" s="205"/>
      <c r="CA237" s="208">
        <f t="shared" si="638"/>
        <v>0</v>
      </c>
      <c r="CB237" s="208">
        <f t="shared" si="639"/>
        <v>0</v>
      </c>
      <c r="CC237" s="203"/>
      <c r="CD237" s="205"/>
      <c r="CE237" s="205"/>
      <c r="CF237" s="208">
        <f t="shared" si="613"/>
        <v>0</v>
      </c>
      <c r="CG237" s="203"/>
      <c r="CH237" s="205"/>
      <c r="CI237" s="205"/>
      <c r="CJ237" s="204"/>
      <c r="CK237" s="208">
        <f t="shared" si="679"/>
        <v>0</v>
      </c>
      <c r="CL237" s="203"/>
      <c r="CM237" s="205"/>
      <c r="CN237" s="205"/>
      <c r="CO237" s="205"/>
      <c r="CP237" s="204"/>
      <c r="CQ237" s="208">
        <f t="shared" si="641"/>
        <v>0</v>
      </c>
      <c r="CR237" s="203"/>
      <c r="CS237" s="205"/>
      <c r="CT237" s="205"/>
      <c r="CU237" s="205"/>
      <c r="CV237" s="204"/>
      <c r="CW237" s="208">
        <f t="shared" si="680"/>
        <v>0</v>
      </c>
      <c r="CX237" s="203"/>
      <c r="CY237" s="205"/>
      <c r="CZ237" s="205"/>
      <c r="DA237" s="204"/>
      <c r="DB237" s="208">
        <f t="shared" si="643"/>
        <v>0</v>
      </c>
      <c r="DC237" s="208">
        <f t="shared" si="681"/>
        <v>0</v>
      </c>
      <c r="DD237" s="203"/>
      <c r="DE237" s="205"/>
      <c r="DF237" s="205"/>
      <c r="DG237" s="205"/>
      <c r="DH237" s="205"/>
      <c r="DI237" s="208">
        <f t="shared" si="615"/>
        <v>0</v>
      </c>
      <c r="DJ237" s="203"/>
      <c r="DK237" s="205"/>
      <c r="DL237" s="205"/>
      <c r="DM237" s="205"/>
      <c r="DN237" s="204"/>
      <c r="DO237" s="208">
        <f t="shared" si="682"/>
        <v>0</v>
      </c>
      <c r="DP237" s="203"/>
      <c r="DQ237" s="205"/>
      <c r="DR237" s="205"/>
      <c r="DS237" s="205"/>
      <c r="DT237" s="204"/>
      <c r="DU237" s="208">
        <f t="shared" si="645"/>
        <v>0</v>
      </c>
      <c r="DV237" s="203"/>
      <c r="DW237" s="205"/>
      <c r="DX237" s="205"/>
      <c r="DY237" s="205"/>
      <c r="DZ237" s="204"/>
      <c r="EA237" s="208">
        <f t="shared" si="646"/>
        <v>0</v>
      </c>
      <c r="EB237" s="208">
        <f t="shared" si="647"/>
        <v>0</v>
      </c>
      <c r="EC237" s="203"/>
      <c r="ED237" s="205"/>
      <c r="EE237" s="205"/>
      <c r="EF237" s="205"/>
      <c r="EG237" s="204"/>
      <c r="EH237" s="208">
        <f t="shared" si="683"/>
        <v>0</v>
      </c>
      <c r="EI237" s="203"/>
      <c r="EJ237" s="205"/>
      <c r="EK237" s="205"/>
      <c r="EL237" s="205"/>
      <c r="EM237" s="204"/>
      <c r="EN237" s="208">
        <f t="shared" si="684"/>
        <v>0</v>
      </c>
      <c r="EO237" s="203"/>
      <c r="EP237" s="205"/>
      <c r="EQ237" s="205"/>
      <c r="ER237" s="205"/>
      <c r="ES237" s="204"/>
      <c r="ET237" s="208">
        <f t="shared" si="685"/>
        <v>0</v>
      </c>
      <c r="EU237" s="203"/>
      <c r="EV237" s="205"/>
      <c r="EW237" s="205"/>
      <c r="EX237" s="205"/>
      <c r="EY237" s="205"/>
      <c r="EZ237" s="205"/>
      <c r="FA237" s="204"/>
      <c r="FB237" s="208">
        <f t="shared" si="651"/>
        <v>0</v>
      </c>
      <c r="FC237" s="208">
        <f t="shared" si="686"/>
        <v>0</v>
      </c>
      <c r="FD237" s="203"/>
      <c r="FE237" s="205"/>
      <c r="FF237" s="204"/>
      <c r="FG237" s="208">
        <f t="shared" si="653"/>
        <v>0</v>
      </c>
      <c r="FH237" s="203"/>
      <c r="FI237" s="205"/>
      <c r="FJ237" s="205"/>
      <c r="FK237" s="205"/>
      <c r="FL237" s="204"/>
      <c r="FM237" s="208">
        <f t="shared" si="654"/>
        <v>0</v>
      </c>
      <c r="FN237" s="203"/>
      <c r="FO237" s="205"/>
      <c r="FP237" s="205"/>
      <c r="FQ237" s="205"/>
      <c r="FR237" s="208">
        <f t="shared" si="616"/>
        <v>0</v>
      </c>
      <c r="FS237" s="203"/>
      <c r="FT237" s="205"/>
      <c r="FU237" s="205"/>
      <c r="FV237" s="205"/>
      <c r="FW237" s="204"/>
      <c r="FX237" s="208">
        <f t="shared" si="655"/>
        <v>0</v>
      </c>
      <c r="FY237" s="203"/>
      <c r="FZ237" s="205"/>
      <c r="GA237" s="205"/>
      <c r="GB237" s="205"/>
      <c r="GC237" s="204"/>
      <c r="GD237" s="208">
        <f t="shared" si="656"/>
        <v>0</v>
      </c>
      <c r="GE237" s="208">
        <f t="shared" si="617"/>
        <v>0</v>
      </c>
      <c r="GF237" s="203"/>
      <c r="GG237" s="205"/>
      <c r="GH237" s="205"/>
      <c r="GI237" s="205"/>
      <c r="GJ237" s="205"/>
      <c r="GK237" s="208">
        <f t="shared" si="618"/>
        <v>0</v>
      </c>
      <c r="GL237" s="203"/>
      <c r="GM237" s="205"/>
      <c r="GN237" s="205"/>
      <c r="GO237" s="204"/>
      <c r="GP237" s="208">
        <f t="shared" si="657"/>
        <v>0</v>
      </c>
      <c r="GQ237" s="203"/>
      <c r="GR237" s="205"/>
      <c r="GS237" s="205"/>
      <c r="GT237" s="205"/>
      <c r="GU237" s="204"/>
      <c r="GV237" s="208">
        <f t="shared" si="658"/>
        <v>0</v>
      </c>
      <c r="GW237" s="203"/>
      <c r="GX237" s="205"/>
      <c r="GY237" s="205"/>
      <c r="GZ237" s="205"/>
      <c r="HA237" s="205"/>
      <c r="HB237" s="204"/>
      <c r="HC237" s="208">
        <f t="shared" si="659"/>
        <v>0</v>
      </c>
      <c r="HD237" s="208">
        <f t="shared" si="619"/>
        <v>0</v>
      </c>
      <c r="HE237" s="203"/>
      <c r="HF237" s="205"/>
      <c r="HG237" s="205"/>
      <c r="HH237" s="205"/>
      <c r="HI237" s="208">
        <f t="shared" si="620"/>
        <v>0</v>
      </c>
      <c r="HJ237" s="203"/>
      <c r="HK237" s="205"/>
      <c r="HL237" s="205"/>
      <c r="HM237" s="205"/>
      <c r="HN237" s="204"/>
      <c r="HO237" s="208">
        <f t="shared" si="687"/>
        <v>0</v>
      </c>
      <c r="HP237" s="203"/>
      <c r="HQ237" s="205"/>
      <c r="HR237" s="205"/>
      <c r="HS237" s="205"/>
      <c r="HT237" s="204"/>
      <c r="HU237" s="208">
        <f t="shared" si="688"/>
        <v>0</v>
      </c>
      <c r="HV237" s="203"/>
      <c r="HW237" s="205"/>
      <c r="HX237" s="205"/>
      <c r="HY237" s="208">
        <f t="shared" si="621"/>
        <v>0</v>
      </c>
      <c r="HZ237" s="203"/>
      <c r="IA237" s="205"/>
      <c r="IB237" s="204"/>
      <c r="IC237" s="208">
        <f t="shared" si="689"/>
        <v>0</v>
      </c>
      <c r="ID237" s="208">
        <f t="shared" si="622"/>
        <v>0</v>
      </c>
      <c r="IE237" s="203"/>
      <c r="IF237" s="204"/>
      <c r="IG237" s="208">
        <f t="shared" si="690"/>
        <v>0</v>
      </c>
      <c r="IH237" s="203"/>
      <c r="II237" s="205"/>
      <c r="IJ237" s="205"/>
      <c r="IK237" s="205"/>
      <c r="IL237" s="204"/>
      <c r="IM237" s="208">
        <f t="shared" si="691"/>
        <v>0</v>
      </c>
      <c r="IN237" s="203"/>
      <c r="IO237" s="205"/>
      <c r="IP237" s="204"/>
      <c r="IQ237" s="208">
        <f t="shared" si="692"/>
        <v>0</v>
      </c>
      <c r="IR237" s="203"/>
      <c r="IS237" s="205"/>
      <c r="IT237" s="205"/>
      <c r="IU237" s="205"/>
      <c r="IV237" s="204"/>
      <c r="IW237" s="208">
        <f t="shared" si="693"/>
        <v>0</v>
      </c>
      <c r="IX237" s="203"/>
      <c r="IY237" s="205"/>
      <c r="IZ237" s="205"/>
      <c r="JA237" s="205"/>
      <c r="JB237" s="204"/>
      <c r="JC237" s="208">
        <f t="shared" si="694"/>
        <v>0</v>
      </c>
      <c r="JD237" s="208">
        <f t="shared" si="623"/>
        <v>0</v>
      </c>
      <c r="JE237" s="203"/>
      <c r="JF237" s="205"/>
      <c r="JG237" s="205"/>
      <c r="JH237" s="205"/>
      <c r="JI237" s="204"/>
      <c r="JJ237" s="208">
        <f t="shared" si="695"/>
        <v>0</v>
      </c>
      <c r="JK237" s="203"/>
      <c r="JL237" s="205"/>
      <c r="JM237" s="205"/>
      <c r="JN237" s="205"/>
      <c r="JO237" s="204"/>
      <c r="JP237" s="208">
        <f t="shared" si="696"/>
        <v>0</v>
      </c>
      <c r="JQ237" s="203"/>
      <c r="JR237" s="205"/>
      <c r="JS237" s="205"/>
      <c r="JT237" s="205"/>
      <c r="JU237" s="204"/>
      <c r="JV237" s="208">
        <f t="shared" si="697"/>
        <v>0</v>
      </c>
      <c r="JW237" s="203"/>
      <c r="JX237" s="205"/>
      <c r="JY237" s="205"/>
      <c r="JZ237" s="205"/>
      <c r="KA237" s="205"/>
      <c r="KB237" s="204"/>
      <c r="KC237" s="208">
        <f t="shared" si="698"/>
        <v>0</v>
      </c>
      <c r="KD237" s="208">
        <f t="shared" si="699"/>
        <v>0</v>
      </c>
      <c r="KE237" s="203"/>
      <c r="KF237" s="205"/>
      <c r="KG237" s="205"/>
      <c r="KH237" s="205"/>
      <c r="KI237" s="204"/>
      <c r="KJ237" s="208">
        <f t="shared" si="700"/>
        <v>0</v>
      </c>
      <c r="KK237" s="203"/>
      <c r="KL237" s="205"/>
      <c r="KM237" s="205"/>
      <c r="KN237" s="205"/>
      <c r="KO237" s="204"/>
      <c r="KP237" s="208">
        <f t="shared" si="701"/>
        <v>0</v>
      </c>
      <c r="KQ237" s="203"/>
      <c r="KR237" s="205"/>
      <c r="KS237" s="205"/>
      <c r="KT237" s="205"/>
      <c r="KU237" s="204"/>
      <c r="KV237" s="208">
        <f t="shared" si="702"/>
        <v>0</v>
      </c>
      <c r="KW237" s="202"/>
      <c r="KX237" s="244"/>
      <c r="KY237" s="244"/>
      <c r="KZ237" s="244"/>
      <c r="LA237" s="245"/>
      <c r="LB237" s="208">
        <f t="shared" si="703"/>
        <v>0</v>
      </c>
      <c r="LC237" s="202"/>
      <c r="LD237" s="244"/>
      <c r="LE237" s="245"/>
      <c r="LF237" s="208">
        <f t="shared" si="704"/>
        <v>0</v>
      </c>
      <c r="LG237" s="208">
        <f t="shared" si="705"/>
        <v>0</v>
      </c>
    </row>
    <row r="238" spans="2:319">
      <c r="B238" s="93" t="s">
        <v>84</v>
      </c>
      <c r="C238" s="167"/>
      <c r="D238" s="202">
        <f t="shared" si="612"/>
        <v>0</v>
      </c>
      <c r="E238" s="167"/>
      <c r="F238" s="177"/>
      <c r="G238" s="177"/>
      <c r="H238" s="177"/>
      <c r="I238" s="178"/>
      <c r="J238" s="202">
        <f t="shared" si="624"/>
        <v>0</v>
      </c>
      <c r="K238" s="167"/>
      <c r="L238" s="177"/>
      <c r="M238" s="177"/>
      <c r="N238" s="178"/>
      <c r="O238" s="202">
        <f t="shared" si="625"/>
        <v>0</v>
      </c>
      <c r="P238" s="167"/>
      <c r="Q238" s="177"/>
      <c r="R238" s="177"/>
      <c r="S238" s="177"/>
      <c r="T238" s="178"/>
      <c r="U238" s="202">
        <f t="shared" si="626"/>
        <v>0</v>
      </c>
      <c r="V238" s="167"/>
      <c r="W238" s="177"/>
      <c r="X238" s="177"/>
      <c r="Y238" s="177"/>
      <c r="Z238" s="178"/>
      <c r="AA238" s="202">
        <f t="shared" si="627"/>
        <v>0</v>
      </c>
      <c r="AB238" s="208">
        <f t="shared" si="628"/>
        <v>0</v>
      </c>
      <c r="AC238" s="203"/>
      <c r="AD238" s="205"/>
      <c r="AE238" s="205"/>
      <c r="AF238" s="205"/>
      <c r="AG238" s="204"/>
      <c r="AH238" s="208">
        <f t="shared" si="706"/>
        <v>0</v>
      </c>
      <c r="AI238" s="203"/>
      <c r="AJ238" s="205"/>
      <c r="AK238" s="205"/>
      <c r="AL238" s="205"/>
      <c r="AM238" s="204"/>
      <c r="AN238" s="208">
        <f t="shared" si="630"/>
        <v>0</v>
      </c>
      <c r="AO238" s="203"/>
      <c r="AP238" s="205"/>
      <c r="AQ238" s="205"/>
      <c r="AR238" s="205"/>
      <c r="AS238" s="204"/>
      <c r="AT238" s="208">
        <f t="shared" si="707"/>
        <v>0</v>
      </c>
      <c r="AU238" s="203"/>
      <c r="AV238" s="205"/>
      <c r="AW238" s="205"/>
      <c r="AX238" s="205"/>
      <c r="AY238" s="204"/>
      <c r="AZ238" s="208">
        <f t="shared" si="632"/>
        <v>0</v>
      </c>
      <c r="BA238" s="208">
        <f t="shared" si="708"/>
        <v>0</v>
      </c>
      <c r="BB238" s="203"/>
      <c r="BC238" s="205"/>
      <c r="BD238" s="205"/>
      <c r="BE238" s="205"/>
      <c r="BF238" s="204"/>
      <c r="BG238" s="208">
        <f t="shared" si="634"/>
        <v>0</v>
      </c>
      <c r="BH238" s="203"/>
      <c r="BI238" s="205"/>
      <c r="BJ238" s="205"/>
      <c r="BK238" s="205"/>
      <c r="BL238" s="204"/>
      <c r="BM238" s="208">
        <f t="shared" si="635"/>
        <v>0</v>
      </c>
      <c r="BN238" s="203"/>
      <c r="BO238" s="205"/>
      <c r="BP238" s="205"/>
      <c r="BQ238" s="204"/>
      <c r="BR238" s="208">
        <f t="shared" si="636"/>
        <v>0</v>
      </c>
      <c r="BS238" s="203"/>
      <c r="BT238" s="205"/>
      <c r="BU238" s="205"/>
      <c r="BV238" s="205"/>
      <c r="BW238" s="204"/>
      <c r="BX238" s="208">
        <f t="shared" si="637"/>
        <v>0</v>
      </c>
      <c r="BY238" s="203"/>
      <c r="BZ238" s="205"/>
      <c r="CA238" s="208">
        <f t="shared" si="638"/>
        <v>0</v>
      </c>
      <c r="CB238" s="208">
        <f t="shared" si="639"/>
        <v>0</v>
      </c>
      <c r="CC238" s="203"/>
      <c r="CD238" s="205"/>
      <c r="CE238" s="205"/>
      <c r="CF238" s="208">
        <f t="shared" si="613"/>
        <v>0</v>
      </c>
      <c r="CG238" s="203"/>
      <c r="CH238" s="205"/>
      <c r="CI238" s="205"/>
      <c r="CJ238" s="204"/>
      <c r="CK238" s="208">
        <f t="shared" si="679"/>
        <v>0</v>
      </c>
      <c r="CL238" s="203"/>
      <c r="CM238" s="205"/>
      <c r="CN238" s="205"/>
      <c r="CO238" s="205"/>
      <c r="CP238" s="204"/>
      <c r="CQ238" s="208">
        <f t="shared" si="641"/>
        <v>0</v>
      </c>
      <c r="CR238" s="203"/>
      <c r="CS238" s="205"/>
      <c r="CT238" s="205"/>
      <c r="CU238" s="205"/>
      <c r="CV238" s="204"/>
      <c r="CW238" s="208">
        <f t="shared" si="680"/>
        <v>0</v>
      </c>
      <c r="CX238" s="203"/>
      <c r="CY238" s="205"/>
      <c r="CZ238" s="205"/>
      <c r="DA238" s="204"/>
      <c r="DB238" s="208">
        <f t="shared" si="643"/>
        <v>0</v>
      </c>
      <c r="DC238" s="208">
        <f t="shared" si="681"/>
        <v>0</v>
      </c>
      <c r="DD238" s="203"/>
      <c r="DE238" s="205"/>
      <c r="DF238" s="205"/>
      <c r="DG238" s="205"/>
      <c r="DH238" s="205"/>
      <c r="DI238" s="208">
        <f t="shared" si="615"/>
        <v>0</v>
      </c>
      <c r="DJ238" s="203"/>
      <c r="DK238" s="205"/>
      <c r="DL238" s="205"/>
      <c r="DM238" s="205"/>
      <c r="DN238" s="204"/>
      <c r="DO238" s="208">
        <f t="shared" si="682"/>
        <v>0</v>
      </c>
      <c r="DP238" s="203"/>
      <c r="DQ238" s="205"/>
      <c r="DR238" s="205"/>
      <c r="DS238" s="205"/>
      <c r="DT238" s="204"/>
      <c r="DU238" s="208">
        <f t="shared" si="645"/>
        <v>0</v>
      </c>
      <c r="DV238" s="203"/>
      <c r="DW238" s="205"/>
      <c r="DX238" s="205"/>
      <c r="DY238" s="205"/>
      <c r="DZ238" s="204"/>
      <c r="EA238" s="208">
        <f t="shared" si="646"/>
        <v>0</v>
      </c>
      <c r="EB238" s="208">
        <f t="shared" si="647"/>
        <v>0</v>
      </c>
      <c r="EC238" s="203"/>
      <c r="ED238" s="205"/>
      <c r="EE238" s="205"/>
      <c r="EF238" s="205"/>
      <c r="EG238" s="204"/>
      <c r="EH238" s="208">
        <f t="shared" si="683"/>
        <v>0</v>
      </c>
      <c r="EI238" s="203"/>
      <c r="EJ238" s="205"/>
      <c r="EK238" s="205"/>
      <c r="EL238" s="205"/>
      <c r="EM238" s="204"/>
      <c r="EN238" s="208">
        <f t="shared" si="684"/>
        <v>0</v>
      </c>
      <c r="EO238" s="203"/>
      <c r="EP238" s="205"/>
      <c r="EQ238" s="205"/>
      <c r="ER238" s="205"/>
      <c r="ES238" s="204"/>
      <c r="ET238" s="208">
        <f t="shared" si="685"/>
        <v>0</v>
      </c>
      <c r="EU238" s="203"/>
      <c r="EV238" s="205"/>
      <c r="EW238" s="205"/>
      <c r="EX238" s="205"/>
      <c r="EY238" s="205"/>
      <c r="EZ238" s="205"/>
      <c r="FA238" s="204"/>
      <c r="FB238" s="208">
        <f t="shared" si="651"/>
        <v>0</v>
      </c>
      <c r="FC238" s="208">
        <f t="shared" si="686"/>
        <v>0</v>
      </c>
      <c r="FD238" s="203"/>
      <c r="FE238" s="205"/>
      <c r="FF238" s="204"/>
      <c r="FG238" s="208">
        <f t="shared" si="653"/>
        <v>0</v>
      </c>
      <c r="FH238" s="203"/>
      <c r="FI238" s="205"/>
      <c r="FJ238" s="205"/>
      <c r="FK238" s="205"/>
      <c r="FL238" s="204"/>
      <c r="FM238" s="208">
        <f t="shared" si="654"/>
        <v>0</v>
      </c>
      <c r="FN238" s="203"/>
      <c r="FO238" s="205"/>
      <c r="FP238" s="205"/>
      <c r="FQ238" s="205"/>
      <c r="FR238" s="208">
        <f t="shared" si="616"/>
        <v>0</v>
      </c>
      <c r="FS238" s="203"/>
      <c r="FT238" s="205"/>
      <c r="FU238" s="205"/>
      <c r="FV238" s="205"/>
      <c r="FW238" s="204"/>
      <c r="FX238" s="208">
        <f t="shared" si="655"/>
        <v>0</v>
      </c>
      <c r="FY238" s="203"/>
      <c r="FZ238" s="205"/>
      <c r="GA238" s="205"/>
      <c r="GB238" s="205"/>
      <c r="GC238" s="204"/>
      <c r="GD238" s="208">
        <f t="shared" si="656"/>
        <v>0</v>
      </c>
      <c r="GE238" s="208">
        <f t="shared" si="617"/>
        <v>0</v>
      </c>
      <c r="GF238" s="203"/>
      <c r="GG238" s="205"/>
      <c r="GH238" s="205"/>
      <c r="GI238" s="205"/>
      <c r="GJ238" s="205"/>
      <c r="GK238" s="208">
        <f t="shared" si="618"/>
        <v>0</v>
      </c>
      <c r="GL238" s="203"/>
      <c r="GM238" s="205"/>
      <c r="GN238" s="205"/>
      <c r="GO238" s="204"/>
      <c r="GP238" s="208">
        <f t="shared" si="657"/>
        <v>0</v>
      </c>
      <c r="GQ238" s="203"/>
      <c r="GR238" s="205"/>
      <c r="GS238" s="205"/>
      <c r="GT238" s="205"/>
      <c r="GU238" s="204"/>
      <c r="GV238" s="208">
        <f t="shared" si="658"/>
        <v>0</v>
      </c>
      <c r="GW238" s="203"/>
      <c r="GX238" s="205"/>
      <c r="GY238" s="205"/>
      <c r="GZ238" s="205"/>
      <c r="HA238" s="205"/>
      <c r="HB238" s="204"/>
      <c r="HC238" s="208">
        <f t="shared" si="659"/>
        <v>0</v>
      </c>
      <c r="HD238" s="208">
        <f t="shared" si="619"/>
        <v>0</v>
      </c>
      <c r="HE238" s="203"/>
      <c r="HF238" s="205"/>
      <c r="HG238" s="205"/>
      <c r="HH238" s="205"/>
      <c r="HI238" s="208">
        <f t="shared" si="620"/>
        <v>0</v>
      </c>
      <c r="HJ238" s="203"/>
      <c r="HK238" s="205"/>
      <c r="HL238" s="205"/>
      <c r="HM238" s="205"/>
      <c r="HN238" s="204"/>
      <c r="HO238" s="208">
        <f t="shared" si="687"/>
        <v>0</v>
      </c>
      <c r="HP238" s="203"/>
      <c r="HQ238" s="205"/>
      <c r="HR238" s="205"/>
      <c r="HS238" s="205"/>
      <c r="HT238" s="204"/>
      <c r="HU238" s="208">
        <f t="shared" si="688"/>
        <v>0</v>
      </c>
      <c r="HV238" s="203"/>
      <c r="HW238" s="205"/>
      <c r="HX238" s="205"/>
      <c r="HY238" s="208">
        <f t="shared" si="621"/>
        <v>0</v>
      </c>
      <c r="HZ238" s="203"/>
      <c r="IA238" s="205"/>
      <c r="IB238" s="204"/>
      <c r="IC238" s="208">
        <f t="shared" si="689"/>
        <v>0</v>
      </c>
      <c r="ID238" s="208">
        <f t="shared" si="622"/>
        <v>0</v>
      </c>
      <c r="IE238" s="203"/>
      <c r="IF238" s="204"/>
      <c r="IG238" s="208">
        <f t="shared" si="690"/>
        <v>0</v>
      </c>
      <c r="IH238" s="203"/>
      <c r="II238" s="205"/>
      <c r="IJ238" s="205"/>
      <c r="IK238" s="205"/>
      <c r="IL238" s="204"/>
      <c r="IM238" s="208">
        <f t="shared" si="691"/>
        <v>0</v>
      </c>
      <c r="IN238" s="203"/>
      <c r="IO238" s="205"/>
      <c r="IP238" s="204"/>
      <c r="IQ238" s="208">
        <f t="shared" si="692"/>
        <v>0</v>
      </c>
      <c r="IR238" s="203"/>
      <c r="IS238" s="205"/>
      <c r="IT238" s="205"/>
      <c r="IU238" s="205"/>
      <c r="IV238" s="204"/>
      <c r="IW238" s="208">
        <f t="shared" si="693"/>
        <v>0</v>
      </c>
      <c r="IX238" s="203"/>
      <c r="IY238" s="205"/>
      <c r="IZ238" s="205"/>
      <c r="JA238" s="205"/>
      <c r="JB238" s="204"/>
      <c r="JC238" s="208">
        <f t="shared" si="694"/>
        <v>0</v>
      </c>
      <c r="JD238" s="208">
        <f t="shared" si="623"/>
        <v>0</v>
      </c>
      <c r="JE238" s="203"/>
      <c r="JF238" s="205"/>
      <c r="JG238" s="205"/>
      <c r="JH238" s="205"/>
      <c r="JI238" s="204"/>
      <c r="JJ238" s="208">
        <f t="shared" si="695"/>
        <v>0</v>
      </c>
      <c r="JK238" s="203"/>
      <c r="JL238" s="205"/>
      <c r="JM238" s="205"/>
      <c r="JN238" s="205"/>
      <c r="JO238" s="204"/>
      <c r="JP238" s="208">
        <f t="shared" si="696"/>
        <v>0</v>
      </c>
      <c r="JQ238" s="203"/>
      <c r="JR238" s="205"/>
      <c r="JS238" s="205"/>
      <c r="JT238" s="205"/>
      <c r="JU238" s="204"/>
      <c r="JV238" s="208">
        <f t="shared" si="697"/>
        <v>0</v>
      </c>
      <c r="JW238" s="203"/>
      <c r="JX238" s="205"/>
      <c r="JY238" s="205"/>
      <c r="JZ238" s="205"/>
      <c r="KA238" s="205"/>
      <c r="KB238" s="204"/>
      <c r="KC238" s="208">
        <f t="shared" si="698"/>
        <v>0</v>
      </c>
      <c r="KD238" s="208">
        <f t="shared" si="699"/>
        <v>0</v>
      </c>
      <c r="KE238" s="203"/>
      <c r="KF238" s="205"/>
      <c r="KG238" s="205"/>
      <c r="KH238" s="205"/>
      <c r="KI238" s="204"/>
      <c r="KJ238" s="208">
        <f t="shared" si="700"/>
        <v>0</v>
      </c>
      <c r="KK238" s="203"/>
      <c r="KL238" s="205"/>
      <c r="KM238" s="205"/>
      <c r="KN238" s="205"/>
      <c r="KO238" s="204"/>
      <c r="KP238" s="208">
        <f t="shared" si="701"/>
        <v>0</v>
      </c>
      <c r="KQ238" s="203"/>
      <c r="KR238" s="205"/>
      <c r="KS238" s="205"/>
      <c r="KT238" s="205"/>
      <c r="KU238" s="204"/>
      <c r="KV238" s="208">
        <f t="shared" si="702"/>
        <v>0</v>
      </c>
      <c r="KW238" s="202"/>
      <c r="KX238" s="244"/>
      <c r="KY238" s="244"/>
      <c r="KZ238" s="244"/>
      <c r="LA238" s="245"/>
      <c r="LB238" s="208">
        <f t="shared" si="703"/>
        <v>0</v>
      </c>
      <c r="LC238" s="202"/>
      <c r="LD238" s="244"/>
      <c r="LE238" s="245"/>
      <c r="LF238" s="208">
        <f t="shared" si="704"/>
        <v>0</v>
      </c>
      <c r="LG238" s="208">
        <f t="shared" si="705"/>
        <v>0</v>
      </c>
    </row>
    <row r="239" spans="2:319">
      <c r="B239" s="93" t="s">
        <v>85</v>
      </c>
      <c r="C239" s="167"/>
      <c r="D239" s="202">
        <f t="shared" si="612"/>
        <v>0</v>
      </c>
      <c r="E239" s="167"/>
      <c r="F239" s="177"/>
      <c r="G239" s="177"/>
      <c r="H239" s="177"/>
      <c r="I239" s="178"/>
      <c r="J239" s="202">
        <f t="shared" si="624"/>
        <v>0</v>
      </c>
      <c r="K239" s="167"/>
      <c r="L239" s="177"/>
      <c r="M239" s="177"/>
      <c r="N239" s="178"/>
      <c r="O239" s="202">
        <f t="shared" si="625"/>
        <v>0</v>
      </c>
      <c r="P239" s="167"/>
      <c r="Q239" s="177"/>
      <c r="R239" s="177"/>
      <c r="S239" s="177"/>
      <c r="T239" s="178"/>
      <c r="U239" s="202">
        <f t="shared" si="626"/>
        <v>0</v>
      </c>
      <c r="V239" s="167"/>
      <c r="W239" s="177"/>
      <c r="X239" s="177"/>
      <c r="Y239" s="177"/>
      <c r="Z239" s="178">
        <v>11873.528</v>
      </c>
      <c r="AA239" s="202">
        <f t="shared" si="627"/>
        <v>11873.528</v>
      </c>
      <c r="AB239" s="208">
        <f t="shared" si="628"/>
        <v>11873.528</v>
      </c>
      <c r="AC239" s="203">
        <f>-300+426.557</f>
        <v>126.55700000000002</v>
      </c>
      <c r="AD239" s="205"/>
      <c r="AE239" s="205"/>
      <c r="AF239" s="205"/>
      <c r="AG239" s="204"/>
      <c r="AH239" s="208">
        <f t="shared" si="706"/>
        <v>126.55700000000002</v>
      </c>
      <c r="AI239" s="203"/>
      <c r="AJ239" s="205"/>
      <c r="AK239" s="205"/>
      <c r="AL239" s="205"/>
      <c r="AM239" s="204"/>
      <c r="AN239" s="208">
        <f t="shared" si="630"/>
        <v>0</v>
      </c>
      <c r="AO239" s="203"/>
      <c r="AP239" s="205"/>
      <c r="AQ239" s="205"/>
      <c r="AR239" s="205"/>
      <c r="AS239" s="204"/>
      <c r="AT239" s="208">
        <f t="shared" si="707"/>
        <v>0</v>
      </c>
      <c r="AU239" s="203"/>
      <c r="AV239" s="205"/>
      <c r="AW239" s="205"/>
      <c r="AX239" s="205"/>
      <c r="AY239" s="204"/>
      <c r="AZ239" s="208">
        <f t="shared" si="632"/>
        <v>0</v>
      </c>
      <c r="BA239" s="208">
        <f t="shared" si="708"/>
        <v>126.55700000000002</v>
      </c>
      <c r="BB239" s="203">
        <v>12130.594999999999</v>
      </c>
      <c r="BC239" s="205"/>
      <c r="BD239" s="205"/>
      <c r="BE239" s="205"/>
      <c r="BF239" s="204"/>
      <c r="BG239" s="208">
        <f t="shared" si="634"/>
        <v>12130.594999999999</v>
      </c>
      <c r="BH239" s="203"/>
      <c r="BI239" s="205"/>
      <c r="BJ239" s="205"/>
      <c r="BK239" s="205"/>
      <c r="BL239" s="204"/>
      <c r="BM239" s="208">
        <f t="shared" si="635"/>
        <v>0</v>
      </c>
      <c r="BN239" s="203"/>
      <c r="BO239" s="205"/>
      <c r="BP239" s="205"/>
      <c r="BQ239" s="204"/>
      <c r="BR239" s="208">
        <f t="shared" si="636"/>
        <v>0</v>
      </c>
      <c r="BS239" s="203"/>
      <c r="BT239" s="205"/>
      <c r="BU239" s="205"/>
      <c r="BV239" s="205"/>
      <c r="BW239" s="204"/>
      <c r="BX239" s="208">
        <f t="shared" si="637"/>
        <v>0</v>
      </c>
      <c r="BY239" s="203"/>
      <c r="BZ239" s="205"/>
      <c r="CA239" s="208">
        <f t="shared" si="638"/>
        <v>0</v>
      </c>
      <c r="CB239" s="208">
        <f t="shared" si="639"/>
        <v>12130.594999999999</v>
      </c>
      <c r="CC239" s="203">
        <v>12277.203</v>
      </c>
      <c r="CD239" s="205"/>
      <c r="CE239" s="205"/>
      <c r="CF239" s="208">
        <f t="shared" si="613"/>
        <v>12277.203</v>
      </c>
      <c r="CG239" s="203"/>
      <c r="CH239" s="205"/>
      <c r="CI239" s="205"/>
      <c r="CJ239" s="204"/>
      <c r="CK239" s="208">
        <f t="shared" si="679"/>
        <v>0</v>
      </c>
      <c r="CL239" s="203"/>
      <c r="CM239" s="205"/>
      <c r="CN239" s="205"/>
      <c r="CO239" s="205"/>
      <c r="CP239" s="204"/>
      <c r="CQ239" s="208">
        <f t="shared" si="641"/>
        <v>0</v>
      </c>
      <c r="CR239" s="203"/>
      <c r="CS239" s="205"/>
      <c r="CT239" s="205"/>
      <c r="CU239" s="205"/>
      <c r="CV239" s="204"/>
      <c r="CW239" s="208">
        <f t="shared" si="680"/>
        <v>0</v>
      </c>
      <c r="CX239" s="203"/>
      <c r="CY239" s="205"/>
      <c r="CZ239" s="205"/>
      <c r="DA239" s="204">
        <v>11873.528</v>
      </c>
      <c r="DB239" s="208">
        <f t="shared" si="643"/>
        <v>11873.528</v>
      </c>
      <c r="DC239" s="208">
        <f t="shared" si="681"/>
        <v>24150.731</v>
      </c>
      <c r="DD239" s="203"/>
      <c r="DE239" s="205"/>
      <c r="DF239" s="205"/>
      <c r="DG239" s="205"/>
      <c r="DH239" s="205"/>
      <c r="DI239" s="208">
        <f t="shared" si="615"/>
        <v>0</v>
      </c>
      <c r="DJ239" s="203"/>
      <c r="DK239" s="205"/>
      <c r="DL239" s="205"/>
      <c r="DM239" s="205"/>
      <c r="DN239" s="204"/>
      <c r="DO239" s="208">
        <f t="shared" si="682"/>
        <v>0</v>
      </c>
      <c r="DP239" s="203"/>
      <c r="DQ239" s="205"/>
      <c r="DR239" s="205"/>
      <c r="DS239" s="205"/>
      <c r="DT239" s="204"/>
      <c r="DU239" s="208">
        <f t="shared" si="645"/>
        <v>0</v>
      </c>
      <c r="DV239" s="203"/>
      <c r="DW239" s="205"/>
      <c r="DX239" s="205"/>
      <c r="DY239" s="205"/>
      <c r="DZ239" s="204"/>
      <c r="EA239" s="208">
        <f t="shared" si="646"/>
        <v>0</v>
      </c>
      <c r="EB239" s="208">
        <f t="shared" si="647"/>
        <v>0</v>
      </c>
      <c r="EC239" s="203">
        <v>11873.528</v>
      </c>
      <c r="ED239" s="205"/>
      <c r="EE239" s="205"/>
      <c r="EF239" s="205"/>
      <c r="EG239" s="204"/>
      <c r="EH239" s="208">
        <f t="shared" si="683"/>
        <v>11873.528</v>
      </c>
      <c r="EI239" s="203"/>
      <c r="EJ239" s="205"/>
      <c r="EK239" s="205"/>
      <c r="EL239" s="205"/>
      <c r="EM239" s="204"/>
      <c r="EN239" s="208">
        <f t="shared" si="684"/>
        <v>0</v>
      </c>
      <c r="EO239" s="203"/>
      <c r="EP239" s="205"/>
      <c r="EQ239" s="205"/>
      <c r="ER239" s="205"/>
      <c r="ES239" s="204"/>
      <c r="ET239" s="208">
        <f t="shared" si="685"/>
        <v>0</v>
      </c>
      <c r="EU239" s="203"/>
      <c r="EV239" s="205"/>
      <c r="EW239" s="205"/>
      <c r="EX239" s="205"/>
      <c r="EY239" s="205"/>
      <c r="EZ239" s="205"/>
      <c r="FA239" s="204"/>
      <c r="FB239" s="208">
        <f t="shared" si="651"/>
        <v>0</v>
      </c>
      <c r="FC239" s="208">
        <f t="shared" si="686"/>
        <v>11873.528</v>
      </c>
      <c r="FD239" s="203">
        <v>11873.528</v>
      </c>
      <c r="FE239" s="205"/>
      <c r="FF239" s="204"/>
      <c r="FG239" s="208">
        <f t="shared" si="653"/>
        <v>11873.528</v>
      </c>
      <c r="FH239" s="203"/>
      <c r="FI239" s="205"/>
      <c r="FJ239" s="205"/>
      <c r="FK239" s="205"/>
      <c r="FL239" s="204"/>
      <c r="FM239" s="208">
        <f t="shared" si="654"/>
        <v>0</v>
      </c>
      <c r="FN239" s="203"/>
      <c r="FO239" s="205"/>
      <c r="FP239" s="205"/>
      <c r="FQ239" s="205"/>
      <c r="FR239" s="208">
        <f t="shared" si="616"/>
        <v>0</v>
      </c>
      <c r="FS239" s="203"/>
      <c r="FT239" s="205"/>
      <c r="FU239" s="205"/>
      <c r="FV239" s="205"/>
      <c r="FW239" s="204"/>
      <c r="FX239" s="208">
        <f t="shared" si="655"/>
        <v>0</v>
      </c>
      <c r="FY239" s="203"/>
      <c r="FZ239" s="205"/>
      <c r="GA239" s="205"/>
      <c r="GB239" s="205"/>
      <c r="GC239" s="204"/>
      <c r="GD239" s="208">
        <f t="shared" si="656"/>
        <v>0</v>
      </c>
      <c r="GE239" s="208">
        <f t="shared" si="617"/>
        <v>11873.528</v>
      </c>
      <c r="GF239" s="203"/>
      <c r="GG239" s="205"/>
      <c r="GH239" s="205"/>
      <c r="GI239" s="205"/>
      <c r="GJ239" s="205"/>
      <c r="GK239" s="208">
        <f t="shared" si="618"/>
        <v>0</v>
      </c>
      <c r="GL239" s="203"/>
      <c r="GM239" s="205"/>
      <c r="GN239" s="205"/>
      <c r="GO239" s="204"/>
      <c r="GP239" s="208">
        <f t="shared" si="657"/>
        <v>0</v>
      </c>
      <c r="GQ239" s="203"/>
      <c r="GR239" s="205"/>
      <c r="GS239" s="205"/>
      <c r="GT239" s="205"/>
      <c r="GU239" s="204"/>
      <c r="GV239" s="208">
        <f t="shared" si="658"/>
        <v>0</v>
      </c>
      <c r="GW239" s="203"/>
      <c r="GX239" s="205"/>
      <c r="GY239" s="205"/>
      <c r="GZ239" s="205"/>
      <c r="HA239" s="205"/>
      <c r="HB239" s="204"/>
      <c r="HC239" s="208">
        <f t="shared" si="659"/>
        <v>0</v>
      </c>
      <c r="HD239" s="208">
        <f t="shared" si="619"/>
        <v>0</v>
      </c>
      <c r="HE239" s="203"/>
      <c r="HF239" s="205"/>
      <c r="HG239" s="205"/>
      <c r="HH239" s="205"/>
      <c r="HI239" s="208">
        <f t="shared" si="620"/>
        <v>0</v>
      </c>
      <c r="HJ239" s="203"/>
      <c r="HK239" s="205"/>
      <c r="HL239" s="205"/>
      <c r="HM239" s="205"/>
      <c r="HN239" s="204"/>
      <c r="HO239" s="208">
        <f t="shared" si="687"/>
        <v>0</v>
      </c>
      <c r="HP239" s="203"/>
      <c r="HQ239" s="205"/>
      <c r="HR239" s="205"/>
      <c r="HS239" s="205"/>
      <c r="HT239" s="204"/>
      <c r="HU239" s="208">
        <f t="shared" si="688"/>
        <v>0</v>
      </c>
      <c r="HV239" s="203"/>
      <c r="HW239" s="205"/>
      <c r="HX239" s="205"/>
      <c r="HY239" s="208">
        <f t="shared" si="621"/>
        <v>0</v>
      </c>
      <c r="HZ239" s="203"/>
      <c r="IA239" s="205"/>
      <c r="IB239" s="204"/>
      <c r="IC239" s="208">
        <f t="shared" si="689"/>
        <v>0</v>
      </c>
      <c r="ID239" s="208">
        <f t="shared" si="622"/>
        <v>0</v>
      </c>
      <c r="IE239" s="203"/>
      <c r="IF239" s="204"/>
      <c r="IG239" s="208">
        <f t="shared" si="690"/>
        <v>0</v>
      </c>
      <c r="IH239" s="203"/>
      <c r="II239" s="205"/>
      <c r="IJ239" s="205"/>
      <c r="IK239" s="205"/>
      <c r="IL239" s="204"/>
      <c r="IM239" s="208">
        <f t="shared" si="691"/>
        <v>0</v>
      </c>
      <c r="IN239" s="203"/>
      <c r="IO239" s="205"/>
      <c r="IP239" s="204"/>
      <c r="IQ239" s="208">
        <f t="shared" si="692"/>
        <v>0</v>
      </c>
      <c r="IR239" s="203"/>
      <c r="IS239" s="205"/>
      <c r="IT239" s="205"/>
      <c r="IU239" s="205"/>
      <c r="IV239" s="204"/>
      <c r="IW239" s="208">
        <f t="shared" si="693"/>
        <v>0</v>
      </c>
      <c r="IX239" s="203"/>
      <c r="IY239" s="205"/>
      <c r="IZ239" s="205"/>
      <c r="JA239" s="205"/>
      <c r="JB239" s="204"/>
      <c r="JC239" s="208">
        <f t="shared" si="694"/>
        <v>0</v>
      </c>
      <c r="JD239" s="208">
        <f t="shared" si="623"/>
        <v>0</v>
      </c>
      <c r="JE239" s="203"/>
      <c r="JF239" s="205"/>
      <c r="JG239" s="205"/>
      <c r="JH239" s="205"/>
      <c r="JI239" s="204"/>
      <c r="JJ239" s="208">
        <f t="shared" si="695"/>
        <v>0</v>
      </c>
      <c r="JK239" s="203"/>
      <c r="JL239" s="205"/>
      <c r="JM239" s="205"/>
      <c r="JN239" s="205"/>
      <c r="JO239" s="204"/>
      <c r="JP239" s="208">
        <f t="shared" si="696"/>
        <v>0</v>
      </c>
      <c r="JQ239" s="203"/>
      <c r="JR239" s="205"/>
      <c r="JS239" s="205"/>
      <c r="JT239" s="205"/>
      <c r="JU239" s="204"/>
      <c r="JV239" s="208">
        <f t="shared" si="697"/>
        <v>0</v>
      </c>
      <c r="JW239" s="203"/>
      <c r="JX239" s="205"/>
      <c r="JY239" s="205"/>
      <c r="JZ239" s="205"/>
      <c r="KA239" s="205"/>
      <c r="KB239" s="204"/>
      <c r="KC239" s="208">
        <f t="shared" si="698"/>
        <v>0</v>
      </c>
      <c r="KD239" s="208">
        <f t="shared" si="699"/>
        <v>0</v>
      </c>
      <c r="KE239" s="203"/>
      <c r="KF239" s="205"/>
      <c r="KG239" s="205"/>
      <c r="KH239" s="205"/>
      <c r="KI239" s="204"/>
      <c r="KJ239" s="208">
        <f t="shared" si="700"/>
        <v>0</v>
      </c>
      <c r="KK239" s="203"/>
      <c r="KL239" s="205"/>
      <c r="KM239" s="205"/>
      <c r="KN239" s="205"/>
      <c r="KO239" s="204"/>
      <c r="KP239" s="208">
        <f t="shared" si="701"/>
        <v>0</v>
      </c>
      <c r="KQ239" s="203"/>
      <c r="KR239" s="205"/>
      <c r="KS239" s="205"/>
      <c r="KT239" s="205"/>
      <c r="KU239" s="204"/>
      <c r="KV239" s="208">
        <f t="shared" si="702"/>
        <v>0</v>
      </c>
      <c r="KW239" s="202"/>
      <c r="KX239" s="244"/>
      <c r="KY239" s="244"/>
      <c r="KZ239" s="244"/>
      <c r="LA239" s="245"/>
      <c r="LB239" s="208">
        <f t="shared" si="703"/>
        <v>0</v>
      </c>
      <c r="LC239" s="202"/>
      <c r="LD239" s="244"/>
      <c r="LE239" s="245"/>
      <c r="LF239" s="208">
        <f t="shared" si="704"/>
        <v>0</v>
      </c>
      <c r="LG239" s="208">
        <f t="shared" si="705"/>
        <v>0</v>
      </c>
    </row>
    <row r="240" spans="2:319">
      <c r="B240" s="93" t="s">
        <v>388</v>
      </c>
      <c r="C240" s="167"/>
      <c r="D240" s="202">
        <f t="shared" si="612"/>
        <v>0</v>
      </c>
      <c r="E240" s="167"/>
      <c r="F240" s="177"/>
      <c r="G240" s="177"/>
      <c r="H240" s="177"/>
      <c r="I240" s="178"/>
      <c r="J240" s="202">
        <f t="shared" si="624"/>
        <v>0</v>
      </c>
      <c r="K240" s="167"/>
      <c r="L240" s="177"/>
      <c r="M240" s="177"/>
      <c r="N240" s="178">
        <v>100</v>
      </c>
      <c r="O240" s="202">
        <f t="shared" si="625"/>
        <v>100</v>
      </c>
      <c r="P240" s="167"/>
      <c r="Q240" s="177"/>
      <c r="R240" s="177"/>
      <c r="S240" s="177"/>
      <c r="T240" s="178"/>
      <c r="U240" s="202">
        <f t="shared" si="626"/>
        <v>0</v>
      </c>
      <c r="V240" s="167"/>
      <c r="W240" s="177"/>
      <c r="X240" s="177"/>
      <c r="Y240" s="177"/>
      <c r="Z240" s="178"/>
      <c r="AA240" s="202">
        <f t="shared" si="627"/>
        <v>0</v>
      </c>
      <c r="AB240" s="208">
        <f t="shared" si="628"/>
        <v>100</v>
      </c>
      <c r="AC240" s="203"/>
      <c r="AD240" s="205"/>
      <c r="AE240" s="205"/>
      <c r="AF240" s="205"/>
      <c r="AG240" s="204"/>
      <c r="AH240" s="208">
        <f t="shared" si="706"/>
        <v>0</v>
      </c>
      <c r="AI240" s="203"/>
      <c r="AJ240" s="205"/>
      <c r="AK240" s="205"/>
      <c r="AL240" s="205"/>
      <c r="AM240" s="204"/>
      <c r="AN240" s="208">
        <f t="shared" si="630"/>
        <v>0</v>
      </c>
      <c r="AO240" s="203"/>
      <c r="AP240" s="205"/>
      <c r="AQ240" s="205"/>
      <c r="AR240" s="205"/>
      <c r="AS240" s="204"/>
      <c r="AT240" s="208">
        <f t="shared" si="707"/>
        <v>0</v>
      </c>
      <c r="AU240" s="203"/>
      <c r="AV240" s="205"/>
      <c r="AW240" s="205">
        <v>100</v>
      </c>
      <c r="AX240" s="205"/>
      <c r="AY240" s="204"/>
      <c r="AZ240" s="208">
        <f t="shared" si="632"/>
        <v>100</v>
      </c>
      <c r="BA240" s="208">
        <f t="shared" si="708"/>
        <v>100</v>
      </c>
      <c r="BB240" s="203"/>
      <c r="BC240" s="205">
        <v>300</v>
      </c>
      <c r="BD240" s="205"/>
      <c r="BE240" s="205"/>
      <c r="BF240" s="204"/>
      <c r="BG240" s="208">
        <f t="shared" si="634"/>
        <v>300</v>
      </c>
      <c r="BH240" s="203"/>
      <c r="BI240" s="205"/>
      <c r="BJ240" s="205"/>
      <c r="BK240" s="205"/>
      <c r="BL240" s="204"/>
      <c r="BM240" s="208">
        <f t="shared" si="635"/>
        <v>0</v>
      </c>
      <c r="BN240" s="203"/>
      <c r="BO240" s="205"/>
      <c r="BP240" s="205"/>
      <c r="BQ240" s="204"/>
      <c r="BR240" s="208">
        <f t="shared" si="636"/>
        <v>0</v>
      </c>
      <c r="BS240" s="203"/>
      <c r="BT240" s="205"/>
      <c r="BU240" s="205"/>
      <c r="BV240" s="205"/>
      <c r="BW240" s="204"/>
      <c r="BX240" s="208">
        <f t="shared" si="637"/>
        <v>0</v>
      </c>
      <c r="BY240" s="203"/>
      <c r="BZ240" s="205">
        <v>100</v>
      </c>
      <c r="CA240" s="208">
        <f t="shared" si="638"/>
        <v>100</v>
      </c>
      <c r="CB240" s="208">
        <f t="shared" si="639"/>
        <v>400</v>
      </c>
      <c r="CC240" s="203"/>
      <c r="CD240" s="205"/>
      <c r="CE240" s="205"/>
      <c r="CF240" s="208">
        <f t="shared" si="613"/>
        <v>0</v>
      </c>
      <c r="CG240" s="203"/>
      <c r="CH240" s="205"/>
      <c r="CI240" s="205">
        <v>100</v>
      </c>
      <c r="CJ240" s="204"/>
      <c r="CK240" s="208">
        <f t="shared" si="679"/>
        <v>100</v>
      </c>
      <c r="CL240" s="203"/>
      <c r="CM240" s="205"/>
      <c r="CN240" s="205">
        <v>100</v>
      </c>
      <c r="CO240" s="205"/>
      <c r="CP240" s="204"/>
      <c r="CQ240" s="208">
        <f t="shared" si="641"/>
        <v>100</v>
      </c>
      <c r="CR240" s="203"/>
      <c r="CS240" s="205"/>
      <c r="CT240" s="205"/>
      <c r="CU240" s="205"/>
      <c r="CV240" s="204"/>
      <c r="CW240" s="208">
        <f t="shared" si="680"/>
        <v>0</v>
      </c>
      <c r="CX240" s="203"/>
      <c r="CY240" s="205"/>
      <c r="CZ240" s="205"/>
      <c r="DA240" s="204"/>
      <c r="DB240" s="208">
        <f t="shared" si="643"/>
        <v>0</v>
      </c>
      <c r="DC240" s="208">
        <f t="shared" si="681"/>
        <v>200</v>
      </c>
      <c r="DD240" s="203"/>
      <c r="DE240" s="205"/>
      <c r="DF240" s="205"/>
      <c r="DG240" s="205"/>
      <c r="DH240" s="205"/>
      <c r="DI240" s="208">
        <f t="shared" si="615"/>
        <v>0</v>
      </c>
      <c r="DJ240" s="203"/>
      <c r="DK240" s="205"/>
      <c r="DL240" s="205"/>
      <c r="DM240" s="205"/>
      <c r="DN240" s="204"/>
      <c r="DO240" s="208">
        <f t="shared" si="682"/>
        <v>0</v>
      </c>
      <c r="DP240" s="203"/>
      <c r="DQ240" s="205"/>
      <c r="DR240" s="205"/>
      <c r="DS240" s="205"/>
      <c r="DT240" s="204"/>
      <c r="DU240" s="208">
        <f t="shared" si="645"/>
        <v>0</v>
      </c>
      <c r="DV240" s="203"/>
      <c r="DW240" s="205"/>
      <c r="DX240" s="205"/>
      <c r="DY240" s="205"/>
      <c r="DZ240" s="204"/>
      <c r="EA240" s="208">
        <f t="shared" si="646"/>
        <v>0</v>
      </c>
      <c r="EB240" s="208">
        <f t="shared" si="647"/>
        <v>0</v>
      </c>
      <c r="EC240" s="203"/>
      <c r="ED240" s="205"/>
      <c r="EE240" s="205"/>
      <c r="EF240" s="205"/>
      <c r="EG240" s="204"/>
      <c r="EH240" s="208">
        <f t="shared" si="683"/>
        <v>0</v>
      </c>
      <c r="EI240" s="203"/>
      <c r="EJ240" s="205"/>
      <c r="EK240" s="205"/>
      <c r="EL240" s="205"/>
      <c r="EM240" s="204"/>
      <c r="EN240" s="208">
        <f t="shared" si="684"/>
        <v>0</v>
      </c>
      <c r="EO240" s="203"/>
      <c r="EP240" s="205"/>
      <c r="EQ240" s="205"/>
      <c r="ER240" s="205"/>
      <c r="ES240" s="204"/>
      <c r="ET240" s="208">
        <f t="shared" si="685"/>
        <v>0</v>
      </c>
      <c r="EU240" s="203"/>
      <c r="EV240" s="205"/>
      <c r="EW240" s="205"/>
      <c r="EX240" s="205"/>
      <c r="EY240" s="205"/>
      <c r="EZ240" s="205"/>
      <c r="FA240" s="204"/>
      <c r="FB240" s="208">
        <f t="shared" si="651"/>
        <v>0</v>
      </c>
      <c r="FC240" s="208">
        <f t="shared" si="686"/>
        <v>0</v>
      </c>
      <c r="FD240" s="203"/>
      <c r="FE240" s="205"/>
      <c r="FF240" s="204"/>
      <c r="FG240" s="208">
        <f t="shared" si="653"/>
        <v>0</v>
      </c>
      <c r="FH240" s="203"/>
      <c r="FI240" s="205"/>
      <c r="FJ240" s="205"/>
      <c r="FK240" s="205"/>
      <c r="FL240" s="204"/>
      <c r="FM240" s="208">
        <f t="shared" si="654"/>
        <v>0</v>
      </c>
      <c r="FN240" s="203"/>
      <c r="FO240" s="205"/>
      <c r="FP240" s="205"/>
      <c r="FQ240" s="205"/>
      <c r="FR240" s="208">
        <f t="shared" si="616"/>
        <v>0</v>
      </c>
      <c r="FS240" s="203"/>
      <c r="FT240" s="205"/>
      <c r="FU240" s="205"/>
      <c r="FV240" s="205"/>
      <c r="FW240" s="204"/>
      <c r="FX240" s="208">
        <f t="shared" si="655"/>
        <v>0</v>
      </c>
      <c r="FY240" s="203"/>
      <c r="FZ240" s="205"/>
      <c r="GA240" s="205"/>
      <c r="GB240" s="205"/>
      <c r="GC240" s="204"/>
      <c r="GD240" s="208">
        <f t="shared" si="656"/>
        <v>0</v>
      </c>
      <c r="GE240" s="208">
        <f t="shared" si="617"/>
        <v>0</v>
      </c>
      <c r="GF240" s="203"/>
      <c r="GG240" s="205"/>
      <c r="GH240" s="205"/>
      <c r="GI240" s="205"/>
      <c r="GJ240" s="205"/>
      <c r="GK240" s="208">
        <f t="shared" si="618"/>
        <v>0</v>
      </c>
      <c r="GL240" s="203"/>
      <c r="GM240" s="205"/>
      <c r="GN240" s="205"/>
      <c r="GO240" s="204"/>
      <c r="GP240" s="208">
        <f t="shared" si="657"/>
        <v>0</v>
      </c>
      <c r="GQ240" s="203"/>
      <c r="GR240" s="205"/>
      <c r="GS240" s="205"/>
      <c r="GT240" s="205"/>
      <c r="GU240" s="204"/>
      <c r="GV240" s="208">
        <f t="shared" si="658"/>
        <v>0</v>
      </c>
      <c r="GW240" s="203"/>
      <c r="GX240" s="205"/>
      <c r="GY240" s="205"/>
      <c r="GZ240" s="205"/>
      <c r="HA240" s="205"/>
      <c r="HB240" s="204"/>
      <c r="HC240" s="208">
        <f t="shared" si="659"/>
        <v>0</v>
      </c>
      <c r="HD240" s="208">
        <f t="shared" si="619"/>
        <v>0</v>
      </c>
      <c r="HE240" s="203"/>
      <c r="HF240" s="205"/>
      <c r="HG240" s="205"/>
      <c r="HH240" s="205"/>
      <c r="HI240" s="208">
        <f t="shared" si="620"/>
        <v>0</v>
      </c>
      <c r="HJ240" s="203"/>
      <c r="HK240" s="205"/>
      <c r="HL240" s="205"/>
      <c r="HM240" s="205"/>
      <c r="HN240" s="204"/>
      <c r="HO240" s="208">
        <f t="shared" si="687"/>
        <v>0</v>
      </c>
      <c r="HP240" s="203"/>
      <c r="HQ240" s="205"/>
      <c r="HR240" s="205"/>
      <c r="HS240" s="205"/>
      <c r="HT240" s="204"/>
      <c r="HU240" s="208">
        <f t="shared" si="688"/>
        <v>0</v>
      </c>
      <c r="HV240" s="203"/>
      <c r="HW240" s="205"/>
      <c r="HX240" s="205"/>
      <c r="HY240" s="208">
        <f t="shared" si="621"/>
        <v>0</v>
      </c>
      <c r="HZ240" s="203"/>
      <c r="IA240" s="205"/>
      <c r="IB240" s="204"/>
      <c r="IC240" s="208">
        <f t="shared" si="689"/>
        <v>0</v>
      </c>
      <c r="ID240" s="208">
        <f t="shared" si="622"/>
        <v>0</v>
      </c>
      <c r="IE240" s="203"/>
      <c r="IF240" s="204"/>
      <c r="IG240" s="208">
        <f t="shared" si="690"/>
        <v>0</v>
      </c>
      <c r="IH240" s="203"/>
      <c r="II240" s="205"/>
      <c r="IJ240" s="205"/>
      <c r="IK240" s="205"/>
      <c r="IL240" s="204"/>
      <c r="IM240" s="208">
        <f t="shared" si="691"/>
        <v>0</v>
      </c>
      <c r="IN240" s="203"/>
      <c r="IO240" s="205"/>
      <c r="IP240" s="204"/>
      <c r="IQ240" s="208">
        <f t="shared" si="692"/>
        <v>0</v>
      </c>
      <c r="IR240" s="203"/>
      <c r="IS240" s="205"/>
      <c r="IT240" s="205"/>
      <c r="IU240" s="205"/>
      <c r="IV240" s="204"/>
      <c r="IW240" s="208">
        <f t="shared" si="693"/>
        <v>0</v>
      </c>
      <c r="IX240" s="203"/>
      <c r="IY240" s="205"/>
      <c r="IZ240" s="205"/>
      <c r="JA240" s="205"/>
      <c r="JB240" s="204"/>
      <c r="JC240" s="208">
        <f t="shared" si="694"/>
        <v>0</v>
      </c>
      <c r="JD240" s="208">
        <f t="shared" si="623"/>
        <v>0</v>
      </c>
      <c r="JE240" s="203"/>
      <c r="JF240" s="205"/>
      <c r="JG240" s="205"/>
      <c r="JH240" s="205"/>
      <c r="JI240" s="204"/>
      <c r="JJ240" s="208">
        <f t="shared" si="695"/>
        <v>0</v>
      </c>
      <c r="JK240" s="203"/>
      <c r="JL240" s="205"/>
      <c r="JM240" s="205"/>
      <c r="JN240" s="205"/>
      <c r="JO240" s="204"/>
      <c r="JP240" s="208">
        <f t="shared" si="696"/>
        <v>0</v>
      </c>
      <c r="JQ240" s="203"/>
      <c r="JR240" s="205"/>
      <c r="JS240" s="205"/>
      <c r="JT240" s="205"/>
      <c r="JU240" s="204"/>
      <c r="JV240" s="208">
        <f t="shared" si="697"/>
        <v>0</v>
      </c>
      <c r="JW240" s="203"/>
      <c r="JX240" s="205"/>
      <c r="JY240" s="205"/>
      <c r="JZ240" s="205"/>
      <c r="KA240" s="205"/>
      <c r="KB240" s="204"/>
      <c r="KC240" s="208">
        <f t="shared" si="698"/>
        <v>0</v>
      </c>
      <c r="KD240" s="208">
        <f t="shared" si="699"/>
        <v>0</v>
      </c>
      <c r="KE240" s="203"/>
      <c r="KF240" s="205"/>
      <c r="KG240" s="205"/>
      <c r="KH240" s="205"/>
      <c r="KI240" s="204"/>
      <c r="KJ240" s="208">
        <f t="shared" si="700"/>
        <v>0</v>
      </c>
      <c r="KK240" s="203"/>
      <c r="KL240" s="205"/>
      <c r="KM240" s="205"/>
      <c r="KN240" s="205"/>
      <c r="KO240" s="204"/>
      <c r="KP240" s="208">
        <f t="shared" si="701"/>
        <v>0</v>
      </c>
      <c r="KQ240" s="203"/>
      <c r="KR240" s="205"/>
      <c r="KS240" s="205"/>
      <c r="KT240" s="205"/>
      <c r="KU240" s="204"/>
      <c r="KV240" s="208">
        <f t="shared" si="702"/>
        <v>0</v>
      </c>
      <c r="KW240" s="202"/>
      <c r="KX240" s="244"/>
      <c r="KY240" s="244"/>
      <c r="KZ240" s="244"/>
      <c r="LA240" s="245"/>
      <c r="LB240" s="208">
        <f t="shared" si="703"/>
        <v>0</v>
      </c>
      <c r="LC240" s="202"/>
      <c r="LD240" s="244"/>
      <c r="LE240" s="245"/>
      <c r="LF240" s="208">
        <f t="shared" si="704"/>
        <v>0</v>
      </c>
      <c r="LG240" s="208">
        <f t="shared" si="705"/>
        <v>0</v>
      </c>
    </row>
    <row r="241" spans="2:322">
      <c r="B241" s="93" t="s">
        <v>389</v>
      </c>
      <c r="C241" s="167"/>
      <c r="D241" s="202">
        <f t="shared" si="612"/>
        <v>0</v>
      </c>
      <c r="E241" s="167"/>
      <c r="F241" s="177"/>
      <c r="G241" s="177"/>
      <c r="H241" s="177"/>
      <c r="I241" s="178"/>
      <c r="J241" s="202">
        <f t="shared" si="624"/>
        <v>0</v>
      </c>
      <c r="K241" s="167"/>
      <c r="L241" s="177"/>
      <c r="M241" s="177"/>
      <c r="N241" s="178">
        <v>1808.7159999999999</v>
      </c>
      <c r="O241" s="202">
        <f t="shared" si="625"/>
        <v>1808.7159999999999</v>
      </c>
      <c r="P241" s="167"/>
      <c r="Q241" s="177"/>
      <c r="R241" s="177"/>
      <c r="S241" s="177"/>
      <c r="T241" s="178"/>
      <c r="U241" s="202">
        <f t="shared" si="626"/>
        <v>0</v>
      </c>
      <c r="V241" s="167"/>
      <c r="W241" s="177"/>
      <c r="X241" s="177"/>
      <c r="Y241" s="177"/>
      <c r="Z241" s="178"/>
      <c r="AA241" s="202">
        <f t="shared" si="627"/>
        <v>0</v>
      </c>
      <c r="AB241" s="208">
        <f t="shared" si="628"/>
        <v>1808.7159999999999</v>
      </c>
      <c r="AC241" s="203"/>
      <c r="AD241" s="205"/>
      <c r="AE241" s="205"/>
      <c r="AF241" s="205"/>
      <c r="AG241" s="204"/>
      <c r="AH241" s="208">
        <f t="shared" si="706"/>
        <v>0</v>
      </c>
      <c r="AI241" s="203"/>
      <c r="AJ241" s="205"/>
      <c r="AK241" s="205"/>
      <c r="AL241" s="205"/>
      <c r="AM241" s="204"/>
      <c r="AN241" s="208">
        <f t="shared" si="630"/>
        <v>0</v>
      </c>
      <c r="AO241" s="203"/>
      <c r="AP241" s="205"/>
      <c r="AQ241" s="205"/>
      <c r="AR241" s="205"/>
      <c r="AS241" s="204"/>
      <c r="AT241" s="208">
        <f t="shared" si="707"/>
        <v>0</v>
      </c>
      <c r="AU241" s="203"/>
      <c r="AV241" s="205"/>
      <c r="AW241" s="205"/>
      <c r="AX241" s="205"/>
      <c r="AY241" s="204"/>
      <c r="AZ241" s="208">
        <f t="shared" si="632"/>
        <v>0</v>
      </c>
      <c r="BA241" s="208">
        <f t="shared" si="708"/>
        <v>0</v>
      </c>
      <c r="BB241" s="203"/>
      <c r="BC241" s="205"/>
      <c r="BD241" s="205"/>
      <c r="BE241" s="205"/>
      <c r="BF241" s="204"/>
      <c r="BG241" s="208">
        <f t="shared" si="634"/>
        <v>0</v>
      </c>
      <c r="BH241" s="203"/>
      <c r="BI241" s="205"/>
      <c r="BJ241" s="205"/>
      <c r="BK241" s="205"/>
      <c r="BL241" s="204"/>
      <c r="BM241" s="208">
        <f t="shared" si="635"/>
        <v>0</v>
      </c>
      <c r="BN241" s="203"/>
      <c r="BO241" s="205"/>
      <c r="BP241" s="205"/>
      <c r="BQ241" s="204"/>
      <c r="BR241" s="208">
        <f t="shared" si="636"/>
        <v>0</v>
      </c>
      <c r="BS241" s="203"/>
      <c r="BT241" s="205"/>
      <c r="BU241" s="205"/>
      <c r="BV241" s="205"/>
      <c r="BW241" s="204"/>
      <c r="BX241" s="208">
        <f t="shared" si="637"/>
        <v>0</v>
      </c>
      <c r="BY241" s="203"/>
      <c r="BZ241" s="205"/>
      <c r="CA241" s="208">
        <f t="shared" si="638"/>
        <v>0</v>
      </c>
      <c r="CB241" s="208">
        <f t="shared" si="639"/>
        <v>0</v>
      </c>
      <c r="CC241" s="203"/>
      <c r="CD241" s="205"/>
      <c r="CE241" s="205"/>
      <c r="CF241" s="208">
        <f t="shared" si="613"/>
        <v>0</v>
      </c>
      <c r="CG241" s="203"/>
      <c r="CH241" s="205"/>
      <c r="CI241" s="205"/>
      <c r="CJ241" s="204"/>
      <c r="CK241" s="208">
        <f t="shared" si="679"/>
        <v>0</v>
      </c>
      <c r="CL241" s="203"/>
      <c r="CM241" s="205"/>
      <c r="CN241" s="205"/>
      <c r="CO241" s="205"/>
      <c r="CP241" s="204"/>
      <c r="CQ241" s="208">
        <f t="shared" si="641"/>
        <v>0</v>
      </c>
      <c r="CR241" s="203"/>
      <c r="CS241" s="205"/>
      <c r="CT241" s="205"/>
      <c r="CU241" s="205"/>
      <c r="CV241" s="204"/>
      <c r="CW241" s="208">
        <f t="shared" si="680"/>
        <v>0</v>
      </c>
      <c r="CX241" s="203"/>
      <c r="CY241" s="205"/>
      <c r="CZ241" s="205"/>
      <c r="DA241" s="204"/>
      <c r="DB241" s="208">
        <f t="shared" si="643"/>
        <v>0</v>
      </c>
      <c r="DC241" s="208">
        <f t="shared" si="681"/>
        <v>0</v>
      </c>
      <c r="DD241" s="203"/>
      <c r="DE241" s="205"/>
      <c r="DF241" s="205"/>
      <c r="DG241" s="205"/>
      <c r="DH241" s="205"/>
      <c r="DI241" s="208">
        <f t="shared" si="615"/>
        <v>0</v>
      </c>
      <c r="DJ241" s="203"/>
      <c r="DK241" s="205"/>
      <c r="DL241" s="205"/>
      <c r="DM241" s="205"/>
      <c r="DN241" s="204"/>
      <c r="DO241" s="208">
        <f t="shared" si="682"/>
        <v>0</v>
      </c>
      <c r="DP241" s="203"/>
      <c r="DQ241" s="205"/>
      <c r="DR241" s="205"/>
      <c r="DS241" s="205"/>
      <c r="DT241" s="204"/>
      <c r="DU241" s="208">
        <f t="shared" si="645"/>
        <v>0</v>
      </c>
      <c r="DV241" s="203"/>
      <c r="DW241" s="205"/>
      <c r="DX241" s="205"/>
      <c r="DY241" s="205"/>
      <c r="DZ241" s="204"/>
      <c r="EA241" s="208">
        <f t="shared" si="646"/>
        <v>0</v>
      </c>
      <c r="EB241" s="208">
        <f t="shared" si="647"/>
        <v>0</v>
      </c>
      <c r="EC241" s="203"/>
      <c r="ED241" s="205"/>
      <c r="EE241" s="205"/>
      <c r="EF241" s="205"/>
      <c r="EG241" s="204"/>
      <c r="EH241" s="208">
        <f t="shared" si="683"/>
        <v>0</v>
      </c>
      <c r="EI241" s="203"/>
      <c r="EJ241" s="205"/>
      <c r="EK241" s="205"/>
      <c r="EL241" s="205"/>
      <c r="EM241" s="204"/>
      <c r="EN241" s="208">
        <f t="shared" si="684"/>
        <v>0</v>
      </c>
      <c r="EO241" s="203"/>
      <c r="EP241" s="205"/>
      <c r="EQ241" s="205"/>
      <c r="ER241" s="205"/>
      <c r="ES241" s="204"/>
      <c r="ET241" s="208">
        <f t="shared" si="685"/>
        <v>0</v>
      </c>
      <c r="EU241" s="203"/>
      <c r="EV241" s="205"/>
      <c r="EW241" s="205"/>
      <c r="EX241" s="205"/>
      <c r="EY241" s="205"/>
      <c r="EZ241" s="205"/>
      <c r="FA241" s="204"/>
      <c r="FB241" s="208">
        <f t="shared" si="651"/>
        <v>0</v>
      </c>
      <c r="FC241" s="208">
        <f t="shared" si="686"/>
        <v>0</v>
      </c>
      <c r="FD241" s="203"/>
      <c r="FE241" s="205"/>
      <c r="FF241" s="204"/>
      <c r="FG241" s="208">
        <f t="shared" si="653"/>
        <v>0</v>
      </c>
      <c r="FH241" s="203"/>
      <c r="FI241" s="205"/>
      <c r="FJ241" s="205"/>
      <c r="FK241" s="205"/>
      <c r="FL241" s="204"/>
      <c r="FM241" s="208">
        <f t="shared" si="654"/>
        <v>0</v>
      </c>
      <c r="FN241" s="203"/>
      <c r="FO241" s="205"/>
      <c r="FP241" s="205"/>
      <c r="FQ241" s="205"/>
      <c r="FR241" s="208">
        <f t="shared" si="616"/>
        <v>0</v>
      </c>
      <c r="FS241" s="203"/>
      <c r="FT241" s="205"/>
      <c r="FU241" s="205"/>
      <c r="FV241" s="205"/>
      <c r="FW241" s="204"/>
      <c r="FX241" s="208">
        <f t="shared" si="655"/>
        <v>0</v>
      </c>
      <c r="FY241" s="203"/>
      <c r="FZ241" s="205"/>
      <c r="GA241" s="205"/>
      <c r="GB241" s="205"/>
      <c r="GC241" s="204"/>
      <c r="GD241" s="208">
        <f t="shared" si="656"/>
        <v>0</v>
      </c>
      <c r="GE241" s="208">
        <f t="shared" si="617"/>
        <v>0</v>
      </c>
      <c r="GF241" s="203"/>
      <c r="GG241" s="205"/>
      <c r="GH241" s="205"/>
      <c r="GI241" s="205"/>
      <c r="GJ241" s="205"/>
      <c r="GK241" s="208">
        <f t="shared" si="618"/>
        <v>0</v>
      </c>
      <c r="GL241" s="203"/>
      <c r="GM241" s="205"/>
      <c r="GN241" s="205"/>
      <c r="GO241" s="204"/>
      <c r="GP241" s="208">
        <f t="shared" si="657"/>
        <v>0</v>
      </c>
      <c r="GQ241" s="203"/>
      <c r="GR241" s="205"/>
      <c r="GS241" s="205"/>
      <c r="GT241" s="205"/>
      <c r="GU241" s="204"/>
      <c r="GV241" s="208">
        <f t="shared" si="658"/>
        <v>0</v>
      </c>
      <c r="GW241" s="203"/>
      <c r="GX241" s="205"/>
      <c r="GY241" s="205"/>
      <c r="GZ241" s="205"/>
      <c r="HA241" s="205"/>
      <c r="HB241" s="204"/>
      <c r="HC241" s="208">
        <f t="shared" si="659"/>
        <v>0</v>
      </c>
      <c r="HD241" s="208">
        <f t="shared" si="619"/>
        <v>0</v>
      </c>
      <c r="HE241" s="203"/>
      <c r="HF241" s="205"/>
      <c r="HG241" s="205"/>
      <c r="HH241" s="205"/>
      <c r="HI241" s="208">
        <f t="shared" si="620"/>
        <v>0</v>
      </c>
      <c r="HJ241" s="203"/>
      <c r="HK241" s="205"/>
      <c r="HL241" s="205"/>
      <c r="HM241" s="205"/>
      <c r="HN241" s="204"/>
      <c r="HO241" s="208">
        <f t="shared" si="687"/>
        <v>0</v>
      </c>
      <c r="HP241" s="203"/>
      <c r="HQ241" s="205"/>
      <c r="HR241" s="205"/>
      <c r="HS241" s="205"/>
      <c r="HT241" s="204"/>
      <c r="HU241" s="208">
        <f t="shared" si="688"/>
        <v>0</v>
      </c>
      <c r="HV241" s="203"/>
      <c r="HW241" s="205"/>
      <c r="HX241" s="205"/>
      <c r="HY241" s="208">
        <f t="shared" si="621"/>
        <v>0</v>
      </c>
      <c r="HZ241" s="203"/>
      <c r="IA241" s="205"/>
      <c r="IB241" s="204"/>
      <c r="IC241" s="208">
        <f t="shared" si="689"/>
        <v>0</v>
      </c>
      <c r="ID241" s="208">
        <f t="shared" si="622"/>
        <v>0</v>
      </c>
      <c r="IE241" s="203"/>
      <c r="IF241" s="204"/>
      <c r="IG241" s="208">
        <f t="shared" si="690"/>
        <v>0</v>
      </c>
      <c r="IH241" s="203"/>
      <c r="II241" s="205"/>
      <c r="IJ241" s="205"/>
      <c r="IK241" s="205"/>
      <c r="IL241" s="204"/>
      <c r="IM241" s="208">
        <f t="shared" si="691"/>
        <v>0</v>
      </c>
      <c r="IN241" s="203"/>
      <c r="IO241" s="205"/>
      <c r="IP241" s="204"/>
      <c r="IQ241" s="208">
        <f t="shared" si="692"/>
        <v>0</v>
      </c>
      <c r="IR241" s="203"/>
      <c r="IS241" s="205"/>
      <c r="IT241" s="205"/>
      <c r="IU241" s="205"/>
      <c r="IV241" s="204"/>
      <c r="IW241" s="208">
        <f t="shared" si="693"/>
        <v>0</v>
      </c>
      <c r="IX241" s="203"/>
      <c r="IY241" s="205"/>
      <c r="IZ241" s="205"/>
      <c r="JA241" s="205"/>
      <c r="JB241" s="204"/>
      <c r="JC241" s="208">
        <f t="shared" si="694"/>
        <v>0</v>
      </c>
      <c r="JD241" s="208">
        <f t="shared" si="623"/>
        <v>0</v>
      </c>
      <c r="JE241" s="203"/>
      <c r="JF241" s="205"/>
      <c r="JG241" s="205"/>
      <c r="JH241" s="205"/>
      <c r="JI241" s="204"/>
      <c r="JJ241" s="208">
        <f t="shared" si="695"/>
        <v>0</v>
      </c>
      <c r="JK241" s="203"/>
      <c r="JL241" s="205"/>
      <c r="JM241" s="205"/>
      <c r="JN241" s="205"/>
      <c r="JO241" s="204"/>
      <c r="JP241" s="208">
        <f t="shared" si="696"/>
        <v>0</v>
      </c>
      <c r="JQ241" s="203"/>
      <c r="JR241" s="205"/>
      <c r="JS241" s="205"/>
      <c r="JT241" s="205"/>
      <c r="JU241" s="204"/>
      <c r="JV241" s="208">
        <f t="shared" si="697"/>
        <v>0</v>
      </c>
      <c r="JW241" s="203"/>
      <c r="JX241" s="205"/>
      <c r="JY241" s="205"/>
      <c r="JZ241" s="205"/>
      <c r="KA241" s="205"/>
      <c r="KB241" s="204"/>
      <c r="KC241" s="208">
        <f t="shared" si="698"/>
        <v>0</v>
      </c>
      <c r="KD241" s="208">
        <f t="shared" si="699"/>
        <v>0</v>
      </c>
      <c r="KE241" s="203"/>
      <c r="KF241" s="205"/>
      <c r="KG241" s="205"/>
      <c r="KH241" s="205"/>
      <c r="KI241" s="204"/>
      <c r="KJ241" s="208">
        <f t="shared" si="700"/>
        <v>0</v>
      </c>
      <c r="KK241" s="203"/>
      <c r="KL241" s="205"/>
      <c r="KM241" s="205"/>
      <c r="KN241" s="205"/>
      <c r="KO241" s="204"/>
      <c r="KP241" s="208">
        <f t="shared" si="701"/>
        <v>0</v>
      </c>
      <c r="KQ241" s="203"/>
      <c r="KR241" s="205"/>
      <c r="KS241" s="205"/>
      <c r="KT241" s="205"/>
      <c r="KU241" s="204"/>
      <c r="KV241" s="208">
        <f t="shared" si="702"/>
        <v>0</v>
      </c>
      <c r="KW241" s="202"/>
      <c r="KX241" s="244"/>
      <c r="KY241" s="244"/>
      <c r="KZ241" s="244"/>
      <c r="LA241" s="245"/>
      <c r="LB241" s="208">
        <f t="shared" si="703"/>
        <v>0</v>
      </c>
      <c r="LC241" s="202"/>
      <c r="LD241" s="244"/>
      <c r="LE241" s="245"/>
      <c r="LF241" s="208">
        <f t="shared" si="704"/>
        <v>0</v>
      </c>
      <c r="LG241" s="208">
        <f t="shared" si="705"/>
        <v>0</v>
      </c>
    </row>
    <row r="242" spans="2:322">
      <c r="B242" s="93" t="s">
        <v>86</v>
      </c>
      <c r="C242" s="167"/>
      <c r="D242" s="202">
        <f t="shared" si="612"/>
        <v>0</v>
      </c>
      <c r="E242" s="167"/>
      <c r="F242" s="177"/>
      <c r="G242" s="177"/>
      <c r="H242" s="177"/>
      <c r="I242" s="178"/>
      <c r="J242" s="202">
        <f t="shared" si="624"/>
        <v>0</v>
      </c>
      <c r="K242" s="167"/>
      <c r="L242" s="177"/>
      <c r="M242" s="177"/>
      <c r="N242" s="178"/>
      <c r="O242" s="202">
        <f t="shared" si="625"/>
        <v>0</v>
      </c>
      <c r="P242" s="167"/>
      <c r="Q242" s="177"/>
      <c r="R242" s="177">
        <v>3475.0050000000001</v>
      </c>
      <c r="S242" s="177"/>
      <c r="T242" s="178"/>
      <c r="U242" s="202">
        <f t="shared" si="626"/>
        <v>3475.0050000000001</v>
      </c>
      <c r="V242" s="167"/>
      <c r="W242" s="177"/>
      <c r="X242" s="177"/>
      <c r="Y242" s="177"/>
      <c r="Z242" s="178"/>
      <c r="AA242" s="202">
        <f t="shared" si="627"/>
        <v>0</v>
      </c>
      <c r="AB242" s="208">
        <f t="shared" si="628"/>
        <v>3475.0050000000001</v>
      </c>
      <c r="AC242" s="203"/>
      <c r="AD242" s="205"/>
      <c r="AE242" s="205"/>
      <c r="AF242" s="205"/>
      <c r="AG242" s="204"/>
      <c r="AH242" s="208">
        <f t="shared" si="706"/>
        <v>0</v>
      </c>
      <c r="AI242" s="203"/>
      <c r="AJ242" s="205"/>
      <c r="AK242" s="205"/>
      <c r="AL242" s="205"/>
      <c r="AM242" s="204"/>
      <c r="AN242" s="208">
        <f t="shared" si="630"/>
        <v>0</v>
      </c>
      <c r="AO242" s="203"/>
      <c r="AP242" s="205"/>
      <c r="AQ242" s="205"/>
      <c r="AR242" s="205"/>
      <c r="AS242" s="204"/>
      <c r="AT242" s="208">
        <f t="shared" si="707"/>
        <v>0</v>
      </c>
      <c r="AU242" s="203"/>
      <c r="AV242" s="205"/>
      <c r="AW242" s="205"/>
      <c r="AX242" s="205"/>
      <c r="AY242" s="204"/>
      <c r="AZ242" s="208">
        <f t="shared" si="632"/>
        <v>0</v>
      </c>
      <c r="BA242" s="208">
        <f t="shared" si="708"/>
        <v>0</v>
      </c>
      <c r="BB242" s="203"/>
      <c r="BC242" s="205"/>
      <c r="BD242" s="205"/>
      <c r="BE242" s="205"/>
      <c r="BF242" s="204"/>
      <c r="BG242" s="208">
        <f t="shared" si="634"/>
        <v>0</v>
      </c>
      <c r="BH242" s="203"/>
      <c r="BI242" s="205"/>
      <c r="BJ242" s="205"/>
      <c r="BK242" s="205"/>
      <c r="BL242" s="204"/>
      <c r="BM242" s="208">
        <f t="shared" si="635"/>
        <v>0</v>
      </c>
      <c r="BN242" s="203"/>
      <c r="BO242" s="205"/>
      <c r="BP242" s="205"/>
      <c r="BQ242" s="204"/>
      <c r="BR242" s="208">
        <f t="shared" si="636"/>
        <v>0</v>
      </c>
      <c r="BS242" s="203"/>
      <c r="BT242" s="205"/>
      <c r="BU242" s="205"/>
      <c r="BV242" s="205"/>
      <c r="BW242" s="204"/>
      <c r="BX242" s="208">
        <f t="shared" si="637"/>
        <v>0</v>
      </c>
      <c r="BY242" s="203"/>
      <c r="BZ242" s="205"/>
      <c r="CA242" s="208">
        <f t="shared" si="638"/>
        <v>0</v>
      </c>
      <c r="CB242" s="208">
        <f t="shared" si="639"/>
        <v>0</v>
      </c>
      <c r="CC242" s="203"/>
      <c r="CD242" s="205"/>
      <c r="CE242" s="205"/>
      <c r="CF242" s="208">
        <f t="shared" si="613"/>
        <v>0</v>
      </c>
      <c r="CG242" s="203"/>
      <c r="CH242" s="205"/>
      <c r="CI242" s="205"/>
      <c r="CJ242" s="204"/>
      <c r="CK242" s="208">
        <f t="shared" si="679"/>
        <v>0</v>
      </c>
      <c r="CL242" s="203"/>
      <c r="CM242" s="205"/>
      <c r="CN242" s="205"/>
      <c r="CO242" s="205"/>
      <c r="CP242" s="204">
        <v>2848.0390000000002</v>
      </c>
      <c r="CQ242" s="208">
        <f t="shared" si="641"/>
        <v>2848.0390000000002</v>
      </c>
      <c r="CR242" s="203"/>
      <c r="CS242" s="205"/>
      <c r="CT242" s="205"/>
      <c r="CU242" s="205"/>
      <c r="CV242" s="204"/>
      <c r="CW242" s="208">
        <f t="shared" si="680"/>
        <v>0</v>
      </c>
      <c r="CX242" s="203"/>
      <c r="CY242" s="205"/>
      <c r="CZ242" s="205"/>
      <c r="DA242" s="204"/>
      <c r="DB242" s="208">
        <f t="shared" si="643"/>
        <v>0</v>
      </c>
      <c r="DC242" s="208">
        <f t="shared" si="681"/>
        <v>2848.0390000000002</v>
      </c>
      <c r="DD242" s="203"/>
      <c r="DE242" s="205"/>
      <c r="DF242" s="205"/>
      <c r="DG242" s="205"/>
      <c r="DH242" s="205"/>
      <c r="DI242" s="208">
        <f t="shared" si="615"/>
        <v>0</v>
      </c>
      <c r="DJ242" s="203"/>
      <c r="DK242" s="205"/>
      <c r="DL242" s="205"/>
      <c r="DM242" s="205"/>
      <c r="DN242" s="204"/>
      <c r="DO242" s="208">
        <f t="shared" si="682"/>
        <v>0</v>
      </c>
      <c r="DP242" s="203"/>
      <c r="DQ242" s="205"/>
      <c r="DR242" s="205"/>
      <c r="DS242" s="205"/>
      <c r="DT242" s="204"/>
      <c r="DU242" s="208">
        <f t="shared" si="645"/>
        <v>0</v>
      </c>
      <c r="DV242" s="203"/>
      <c r="DW242" s="205"/>
      <c r="DX242" s="205"/>
      <c r="DY242" s="205"/>
      <c r="DZ242" s="204"/>
      <c r="EA242" s="208">
        <f t="shared" si="646"/>
        <v>0</v>
      </c>
      <c r="EB242" s="208">
        <f t="shared" si="647"/>
        <v>0</v>
      </c>
      <c r="EC242" s="203"/>
      <c r="ED242" s="205"/>
      <c r="EE242" s="205"/>
      <c r="EF242" s="205"/>
      <c r="EG242" s="204"/>
      <c r="EH242" s="208">
        <f t="shared" si="683"/>
        <v>0</v>
      </c>
      <c r="EI242" s="203"/>
      <c r="EJ242" s="205"/>
      <c r="EK242" s="205"/>
      <c r="EL242" s="205"/>
      <c r="EM242" s="204"/>
      <c r="EN242" s="208">
        <f t="shared" si="684"/>
        <v>0</v>
      </c>
      <c r="EO242" s="203"/>
      <c r="EP242" s="205"/>
      <c r="EQ242" s="205"/>
      <c r="ER242" s="205"/>
      <c r="ES242" s="204"/>
      <c r="ET242" s="208">
        <f t="shared" si="685"/>
        <v>0</v>
      </c>
      <c r="EU242" s="203"/>
      <c r="EV242" s="205"/>
      <c r="EW242" s="205"/>
      <c r="EX242" s="205"/>
      <c r="EY242" s="205"/>
      <c r="EZ242" s="205"/>
      <c r="FA242" s="204"/>
      <c r="FB242" s="208">
        <f t="shared" si="651"/>
        <v>0</v>
      </c>
      <c r="FC242" s="208">
        <f t="shared" si="686"/>
        <v>0</v>
      </c>
      <c r="FD242" s="203"/>
      <c r="FE242" s="205"/>
      <c r="FF242" s="204"/>
      <c r="FG242" s="208">
        <f t="shared" si="653"/>
        <v>0</v>
      </c>
      <c r="FH242" s="203"/>
      <c r="FI242" s="205"/>
      <c r="FJ242" s="205"/>
      <c r="FK242" s="205"/>
      <c r="FL242" s="204"/>
      <c r="FM242" s="208">
        <f t="shared" si="654"/>
        <v>0</v>
      </c>
      <c r="FN242" s="203"/>
      <c r="FO242" s="205"/>
      <c r="FP242" s="205"/>
      <c r="FQ242" s="205"/>
      <c r="FR242" s="208">
        <f t="shared" si="616"/>
        <v>0</v>
      </c>
      <c r="FS242" s="203">
        <v>2133.3020000000001</v>
      </c>
      <c r="FT242" s="205"/>
      <c r="FU242" s="205"/>
      <c r="FV242" s="205"/>
      <c r="FW242" s="204"/>
      <c r="FX242" s="208">
        <f t="shared" si="655"/>
        <v>2133.3020000000001</v>
      </c>
      <c r="FY242" s="203"/>
      <c r="FZ242" s="205"/>
      <c r="GA242" s="205"/>
      <c r="GB242" s="205"/>
      <c r="GC242" s="204"/>
      <c r="GD242" s="208">
        <f t="shared" si="656"/>
        <v>0</v>
      </c>
      <c r="GE242" s="208">
        <f t="shared" si="617"/>
        <v>2133.3020000000001</v>
      </c>
      <c r="GF242" s="203"/>
      <c r="GG242" s="205"/>
      <c r="GH242" s="205"/>
      <c r="GI242" s="205"/>
      <c r="GJ242" s="205"/>
      <c r="GK242" s="208">
        <f t="shared" si="618"/>
        <v>0</v>
      </c>
      <c r="GL242" s="203"/>
      <c r="GM242" s="205"/>
      <c r="GN242" s="205"/>
      <c r="GO242" s="204"/>
      <c r="GP242" s="208">
        <f t="shared" si="657"/>
        <v>0</v>
      </c>
      <c r="GQ242" s="203"/>
      <c r="GR242" s="205"/>
      <c r="GS242" s="205"/>
      <c r="GT242" s="205"/>
      <c r="GU242" s="204"/>
      <c r="GV242" s="208">
        <f t="shared" si="658"/>
        <v>0</v>
      </c>
      <c r="GW242" s="203"/>
      <c r="GX242" s="205"/>
      <c r="GY242" s="205"/>
      <c r="GZ242" s="205"/>
      <c r="HA242" s="205"/>
      <c r="HB242" s="204"/>
      <c r="HC242" s="208">
        <f t="shared" si="659"/>
        <v>0</v>
      </c>
      <c r="HD242" s="208">
        <f t="shared" si="619"/>
        <v>0</v>
      </c>
      <c r="HE242" s="203"/>
      <c r="HF242" s="205"/>
      <c r="HG242" s="205"/>
      <c r="HH242" s="205"/>
      <c r="HI242" s="208">
        <f t="shared" si="620"/>
        <v>0</v>
      </c>
      <c r="HJ242" s="203"/>
      <c r="HK242" s="205"/>
      <c r="HL242" s="205"/>
      <c r="HM242" s="205"/>
      <c r="HN242" s="204"/>
      <c r="HO242" s="208">
        <f t="shared" si="687"/>
        <v>0</v>
      </c>
      <c r="HP242" s="203"/>
      <c r="HQ242" s="205"/>
      <c r="HR242" s="205"/>
      <c r="HS242" s="205"/>
      <c r="HT242" s="204"/>
      <c r="HU242" s="208">
        <f t="shared" si="688"/>
        <v>0</v>
      </c>
      <c r="HV242" s="203"/>
      <c r="HW242" s="205"/>
      <c r="HX242" s="205"/>
      <c r="HY242" s="208">
        <f t="shared" si="621"/>
        <v>0</v>
      </c>
      <c r="HZ242" s="203"/>
      <c r="IA242" s="205"/>
      <c r="IB242" s="204"/>
      <c r="IC242" s="208">
        <f t="shared" si="689"/>
        <v>0</v>
      </c>
      <c r="ID242" s="208">
        <f t="shared" si="622"/>
        <v>0</v>
      </c>
      <c r="IE242" s="203"/>
      <c r="IF242" s="204"/>
      <c r="IG242" s="208">
        <f t="shared" si="690"/>
        <v>0</v>
      </c>
      <c r="IH242" s="203"/>
      <c r="II242" s="205"/>
      <c r="IJ242" s="205"/>
      <c r="IK242" s="205"/>
      <c r="IL242" s="204"/>
      <c r="IM242" s="208">
        <f t="shared" si="691"/>
        <v>0</v>
      </c>
      <c r="IN242" s="203"/>
      <c r="IO242" s="205"/>
      <c r="IP242" s="204"/>
      <c r="IQ242" s="208">
        <f t="shared" si="692"/>
        <v>0</v>
      </c>
      <c r="IR242" s="203"/>
      <c r="IS242" s="205"/>
      <c r="IT242" s="205"/>
      <c r="IU242" s="205"/>
      <c r="IV242" s="204"/>
      <c r="IW242" s="208">
        <f t="shared" si="693"/>
        <v>0</v>
      </c>
      <c r="IX242" s="203"/>
      <c r="IY242" s="205"/>
      <c r="IZ242" s="205"/>
      <c r="JA242" s="205"/>
      <c r="JB242" s="204"/>
      <c r="JC242" s="208">
        <f t="shared" si="694"/>
        <v>0</v>
      </c>
      <c r="JD242" s="208">
        <f t="shared" si="623"/>
        <v>0</v>
      </c>
      <c r="JE242" s="203"/>
      <c r="JF242" s="205"/>
      <c r="JG242" s="205"/>
      <c r="JH242" s="205"/>
      <c r="JI242" s="204"/>
      <c r="JJ242" s="208">
        <f t="shared" si="695"/>
        <v>0</v>
      </c>
      <c r="JK242" s="203"/>
      <c r="JL242" s="205"/>
      <c r="JM242" s="205"/>
      <c r="JN242" s="205"/>
      <c r="JO242" s="204"/>
      <c r="JP242" s="208">
        <f t="shared" si="696"/>
        <v>0</v>
      </c>
      <c r="JQ242" s="203"/>
      <c r="JR242" s="205"/>
      <c r="JS242" s="205"/>
      <c r="JT242" s="205"/>
      <c r="JU242" s="204"/>
      <c r="JV242" s="208">
        <f t="shared" si="697"/>
        <v>0</v>
      </c>
      <c r="JW242" s="203"/>
      <c r="JX242" s="205"/>
      <c r="JY242" s="205"/>
      <c r="JZ242" s="205"/>
      <c r="KA242" s="205"/>
      <c r="KB242" s="204"/>
      <c r="KC242" s="208">
        <f t="shared" si="698"/>
        <v>0</v>
      </c>
      <c r="KD242" s="208">
        <f t="shared" si="699"/>
        <v>0</v>
      </c>
      <c r="KE242" s="203"/>
      <c r="KF242" s="205"/>
      <c r="KG242" s="205"/>
      <c r="KH242" s="205"/>
      <c r="KI242" s="204"/>
      <c r="KJ242" s="208">
        <f t="shared" si="700"/>
        <v>0</v>
      </c>
      <c r="KK242" s="203"/>
      <c r="KL242" s="205"/>
      <c r="KM242" s="205"/>
      <c r="KN242" s="205"/>
      <c r="KO242" s="204"/>
      <c r="KP242" s="208">
        <f t="shared" si="701"/>
        <v>0</v>
      </c>
      <c r="KQ242" s="203"/>
      <c r="KR242" s="205"/>
      <c r="KS242" s="205"/>
      <c r="KT242" s="205"/>
      <c r="KU242" s="204"/>
      <c r="KV242" s="208">
        <f t="shared" si="702"/>
        <v>0</v>
      </c>
      <c r="KW242" s="202"/>
      <c r="KX242" s="244"/>
      <c r="KY242" s="244"/>
      <c r="KZ242" s="244"/>
      <c r="LA242" s="245"/>
      <c r="LB242" s="208">
        <f t="shared" si="703"/>
        <v>0</v>
      </c>
      <c r="LC242" s="202"/>
      <c r="LD242" s="244"/>
      <c r="LE242" s="245"/>
      <c r="LF242" s="208">
        <f t="shared" si="704"/>
        <v>0</v>
      </c>
      <c r="LG242" s="208">
        <f t="shared" si="705"/>
        <v>0</v>
      </c>
    </row>
    <row r="243" spans="2:322">
      <c r="B243" s="93" t="s">
        <v>88</v>
      </c>
      <c r="C243" s="167"/>
      <c r="D243" s="202">
        <f t="shared" si="612"/>
        <v>0</v>
      </c>
      <c r="E243" s="167"/>
      <c r="F243" s="177"/>
      <c r="G243" s="177"/>
      <c r="H243" s="177"/>
      <c r="I243" s="178"/>
      <c r="J243" s="202">
        <f t="shared" si="624"/>
        <v>0</v>
      </c>
      <c r="K243" s="167"/>
      <c r="L243" s="177"/>
      <c r="M243" s="177"/>
      <c r="N243" s="178"/>
      <c r="O243" s="202">
        <f t="shared" si="625"/>
        <v>0</v>
      </c>
      <c r="P243" s="167"/>
      <c r="Q243" s="177"/>
      <c r="R243" s="177"/>
      <c r="S243" s="177"/>
      <c r="T243" s="178"/>
      <c r="U243" s="202">
        <f t="shared" si="626"/>
        <v>0</v>
      </c>
      <c r="V243" s="167"/>
      <c r="W243" s="177"/>
      <c r="X243" s="177"/>
      <c r="Y243" s="177"/>
      <c r="Z243" s="178"/>
      <c r="AA243" s="202">
        <f t="shared" si="627"/>
        <v>0</v>
      </c>
      <c r="AB243" s="208">
        <f t="shared" si="628"/>
        <v>0</v>
      </c>
      <c r="AC243" s="203"/>
      <c r="AD243" s="205"/>
      <c r="AE243" s="205"/>
      <c r="AF243" s="205"/>
      <c r="AG243" s="204"/>
      <c r="AH243" s="208">
        <f t="shared" si="706"/>
        <v>0</v>
      </c>
      <c r="AI243" s="203"/>
      <c r="AJ243" s="205"/>
      <c r="AK243" s="205"/>
      <c r="AL243" s="205"/>
      <c r="AM243" s="204"/>
      <c r="AN243" s="208">
        <f t="shared" si="630"/>
        <v>0</v>
      </c>
      <c r="AO243" s="203"/>
      <c r="AP243" s="205"/>
      <c r="AQ243" s="205"/>
      <c r="AR243" s="205"/>
      <c r="AS243" s="204"/>
      <c r="AT243" s="208">
        <f t="shared" si="707"/>
        <v>0</v>
      </c>
      <c r="AU243" s="203"/>
      <c r="AV243" s="205"/>
      <c r="AW243" s="205"/>
      <c r="AX243" s="205"/>
      <c r="AY243" s="204"/>
      <c r="AZ243" s="208">
        <f t="shared" si="632"/>
        <v>0</v>
      </c>
      <c r="BA243" s="208">
        <f t="shared" si="708"/>
        <v>0</v>
      </c>
      <c r="BB243" s="203"/>
      <c r="BC243" s="205">
        <f>501.202+25+2243</f>
        <v>2769.2020000000002</v>
      </c>
      <c r="BD243" s="205"/>
      <c r="BE243" s="205"/>
      <c r="BF243" s="204"/>
      <c r="BG243" s="208">
        <f t="shared" si="634"/>
        <v>2769.2020000000002</v>
      </c>
      <c r="BH243" s="203"/>
      <c r="BI243" s="205"/>
      <c r="BJ243" s="205"/>
      <c r="BK243" s="205"/>
      <c r="BL243" s="204"/>
      <c r="BM243" s="208">
        <f t="shared" si="635"/>
        <v>0</v>
      </c>
      <c r="BN243" s="203"/>
      <c r="BO243" s="205"/>
      <c r="BP243" s="205"/>
      <c r="BQ243" s="204">
        <v>66</v>
      </c>
      <c r="BR243" s="208">
        <f t="shared" si="636"/>
        <v>66</v>
      </c>
      <c r="BS243" s="203"/>
      <c r="BT243" s="205"/>
      <c r="BU243" s="205"/>
      <c r="BV243" s="205"/>
      <c r="BW243" s="204"/>
      <c r="BX243" s="208">
        <f t="shared" si="637"/>
        <v>0</v>
      </c>
      <c r="BY243" s="203"/>
      <c r="BZ243" s="205"/>
      <c r="CA243" s="208">
        <f t="shared" si="638"/>
        <v>0</v>
      </c>
      <c r="CB243" s="208">
        <f t="shared" si="639"/>
        <v>2835.2020000000002</v>
      </c>
      <c r="CC243" s="203"/>
      <c r="CD243" s="205"/>
      <c r="CE243" s="205"/>
      <c r="CF243" s="208">
        <f t="shared" si="613"/>
        <v>0</v>
      </c>
      <c r="CG243" s="203"/>
      <c r="CH243" s="205"/>
      <c r="CI243" s="205"/>
      <c r="CJ243" s="204"/>
      <c r="CK243" s="208">
        <f t="shared" si="679"/>
        <v>0</v>
      </c>
      <c r="CL243" s="203"/>
      <c r="CM243" s="205"/>
      <c r="CN243" s="205"/>
      <c r="CO243" s="205"/>
      <c r="CP243" s="204"/>
      <c r="CQ243" s="208">
        <f t="shared" si="641"/>
        <v>0</v>
      </c>
      <c r="CR243" s="203"/>
      <c r="CS243" s="205"/>
      <c r="CT243" s="205"/>
      <c r="CU243" s="205"/>
      <c r="CV243" s="204"/>
      <c r="CW243" s="208">
        <f t="shared" si="680"/>
        <v>0</v>
      </c>
      <c r="CX243" s="203"/>
      <c r="CY243" s="205"/>
      <c r="CZ243" s="205"/>
      <c r="DA243" s="204"/>
      <c r="DB243" s="208">
        <f t="shared" si="643"/>
        <v>0</v>
      </c>
      <c r="DC243" s="208">
        <f t="shared" si="681"/>
        <v>0</v>
      </c>
      <c r="DD243" s="203"/>
      <c r="DE243" s="205"/>
      <c r="DF243" s="205"/>
      <c r="DG243" s="205"/>
      <c r="DH243" s="205"/>
      <c r="DI243" s="208">
        <f t="shared" si="615"/>
        <v>0</v>
      </c>
      <c r="DJ243" s="203"/>
      <c r="DK243" s="205"/>
      <c r="DL243" s="205"/>
      <c r="DM243" s="205"/>
      <c r="DN243" s="204"/>
      <c r="DO243" s="208">
        <f t="shared" si="682"/>
        <v>0</v>
      </c>
      <c r="DP243" s="203"/>
      <c r="DQ243" s="205"/>
      <c r="DR243" s="205"/>
      <c r="DS243" s="205"/>
      <c r="DT243" s="204"/>
      <c r="DU243" s="208">
        <f t="shared" si="645"/>
        <v>0</v>
      </c>
      <c r="DV243" s="203"/>
      <c r="DW243" s="205"/>
      <c r="DX243" s="205"/>
      <c r="DY243" s="205"/>
      <c r="DZ243" s="204"/>
      <c r="EA243" s="208">
        <f t="shared" si="646"/>
        <v>0</v>
      </c>
      <c r="EB243" s="208">
        <f t="shared" si="647"/>
        <v>0</v>
      </c>
      <c r="EC243" s="203"/>
      <c r="ED243" s="205"/>
      <c r="EE243" s="205"/>
      <c r="EF243" s="205"/>
      <c r="EG243" s="204"/>
      <c r="EH243" s="208">
        <f t="shared" si="683"/>
        <v>0</v>
      </c>
      <c r="EI243" s="203"/>
      <c r="EJ243" s="205"/>
      <c r="EK243" s="205"/>
      <c r="EL243" s="205"/>
      <c r="EM243" s="204"/>
      <c r="EN243" s="208">
        <f t="shared" si="684"/>
        <v>0</v>
      </c>
      <c r="EO243" s="203"/>
      <c r="EP243" s="205"/>
      <c r="EQ243" s="205"/>
      <c r="ER243" s="205"/>
      <c r="ES243" s="204"/>
      <c r="ET243" s="208">
        <f t="shared" si="685"/>
        <v>0</v>
      </c>
      <c r="EU243" s="203"/>
      <c r="EV243" s="205"/>
      <c r="EW243" s="205"/>
      <c r="EX243" s="205"/>
      <c r="EY243" s="205"/>
      <c r="EZ243" s="205"/>
      <c r="FA243" s="204"/>
      <c r="FB243" s="208">
        <f t="shared" si="651"/>
        <v>0</v>
      </c>
      <c r="FC243" s="208">
        <f t="shared" si="686"/>
        <v>0</v>
      </c>
      <c r="FD243" s="203"/>
      <c r="FE243" s="205"/>
      <c r="FF243" s="204"/>
      <c r="FG243" s="208">
        <f t="shared" si="653"/>
        <v>0</v>
      </c>
      <c r="FH243" s="203"/>
      <c r="FI243" s="205"/>
      <c r="FJ243" s="205"/>
      <c r="FK243" s="205"/>
      <c r="FL243" s="204"/>
      <c r="FM243" s="208">
        <f t="shared" si="654"/>
        <v>0</v>
      </c>
      <c r="FN243" s="203"/>
      <c r="FO243" s="205"/>
      <c r="FP243" s="205"/>
      <c r="FQ243" s="205"/>
      <c r="FR243" s="208">
        <f t="shared" si="616"/>
        <v>0</v>
      </c>
      <c r="FS243" s="203"/>
      <c r="FT243" s="205"/>
      <c r="FU243" s="205"/>
      <c r="FV243" s="205"/>
      <c r="FW243" s="204"/>
      <c r="FX243" s="208">
        <f t="shared" si="655"/>
        <v>0</v>
      </c>
      <c r="FY243" s="203"/>
      <c r="FZ243" s="205"/>
      <c r="GA243" s="205"/>
      <c r="GB243" s="205"/>
      <c r="GC243" s="204"/>
      <c r="GD243" s="208">
        <f t="shared" si="656"/>
        <v>0</v>
      </c>
      <c r="GE243" s="208">
        <f t="shared" si="617"/>
        <v>0</v>
      </c>
      <c r="GF243" s="203"/>
      <c r="GG243" s="205"/>
      <c r="GH243" s="205"/>
      <c r="GI243" s="205"/>
      <c r="GJ243" s="205"/>
      <c r="GK243" s="208">
        <f t="shared" si="618"/>
        <v>0</v>
      </c>
      <c r="GL243" s="203"/>
      <c r="GM243" s="205"/>
      <c r="GN243" s="205"/>
      <c r="GO243" s="204"/>
      <c r="GP243" s="208">
        <f t="shared" si="657"/>
        <v>0</v>
      </c>
      <c r="GQ243" s="203"/>
      <c r="GR243" s="205"/>
      <c r="GS243" s="205">
        <v>2660</v>
      </c>
      <c r="GT243" s="205"/>
      <c r="GU243" s="204"/>
      <c r="GV243" s="208">
        <f t="shared" si="658"/>
        <v>2660</v>
      </c>
      <c r="GW243" s="203"/>
      <c r="GX243" s="205"/>
      <c r="GY243" s="205"/>
      <c r="GZ243" s="205"/>
      <c r="HA243" s="205"/>
      <c r="HB243" s="204"/>
      <c r="HC243" s="208">
        <f t="shared" si="659"/>
        <v>0</v>
      </c>
      <c r="HD243" s="208">
        <f t="shared" si="619"/>
        <v>2660</v>
      </c>
      <c r="HE243" s="203"/>
      <c r="HF243" s="205"/>
      <c r="HG243" s="205"/>
      <c r="HH243" s="205"/>
      <c r="HI243" s="208">
        <f t="shared" si="620"/>
        <v>0</v>
      </c>
      <c r="HJ243" s="203"/>
      <c r="HK243" s="205">
        <v>1735.373</v>
      </c>
      <c r="HL243" s="205"/>
      <c r="HM243" s="205"/>
      <c r="HN243" s="204"/>
      <c r="HO243" s="208">
        <f t="shared" si="687"/>
        <v>1735.373</v>
      </c>
      <c r="HP243" s="203"/>
      <c r="HQ243" s="205"/>
      <c r="HR243" s="205"/>
      <c r="HS243" s="205"/>
      <c r="HT243" s="204"/>
      <c r="HU243" s="208">
        <f t="shared" si="688"/>
        <v>0</v>
      </c>
      <c r="HV243" s="203"/>
      <c r="HW243" s="205"/>
      <c r="HX243" s="205"/>
      <c r="HY243" s="208">
        <f t="shared" si="621"/>
        <v>0</v>
      </c>
      <c r="HZ243" s="203"/>
      <c r="IA243" s="205"/>
      <c r="IB243" s="204"/>
      <c r="IC243" s="208">
        <f t="shared" si="689"/>
        <v>0</v>
      </c>
      <c r="ID243" s="208">
        <f t="shared" si="622"/>
        <v>1735.373</v>
      </c>
      <c r="IE243" s="203"/>
      <c r="IF243" s="204"/>
      <c r="IG243" s="208">
        <f t="shared" si="690"/>
        <v>0</v>
      </c>
      <c r="IH243" s="203"/>
      <c r="II243" s="205"/>
      <c r="IJ243" s="205"/>
      <c r="IK243" s="205"/>
      <c r="IL243" s="204"/>
      <c r="IM243" s="208">
        <f t="shared" si="691"/>
        <v>0</v>
      </c>
      <c r="IN243" s="203"/>
      <c r="IO243" s="205"/>
      <c r="IP243" s="204"/>
      <c r="IQ243" s="208">
        <f t="shared" si="692"/>
        <v>0</v>
      </c>
      <c r="IR243" s="203"/>
      <c r="IS243" s="205"/>
      <c r="IT243" s="205"/>
      <c r="IU243" s="205"/>
      <c r="IV243" s="204"/>
      <c r="IW243" s="208">
        <f t="shared" si="693"/>
        <v>0</v>
      </c>
      <c r="IX243" s="203"/>
      <c r="IY243" s="205"/>
      <c r="IZ243" s="205"/>
      <c r="JA243" s="205"/>
      <c r="JB243" s="204"/>
      <c r="JC243" s="208">
        <f t="shared" si="694"/>
        <v>0</v>
      </c>
      <c r="JD243" s="208">
        <f t="shared" si="623"/>
        <v>0</v>
      </c>
      <c r="JE243" s="203"/>
      <c r="JF243" s="205"/>
      <c r="JG243" s="205"/>
      <c r="JH243" s="205"/>
      <c r="JI243" s="204"/>
      <c r="JJ243" s="208">
        <f t="shared" si="695"/>
        <v>0</v>
      </c>
      <c r="JK243" s="203"/>
      <c r="JL243" s="205"/>
      <c r="JM243" s="205"/>
      <c r="JN243" s="205"/>
      <c r="JO243" s="204"/>
      <c r="JP243" s="208">
        <f t="shared" si="696"/>
        <v>0</v>
      </c>
      <c r="JQ243" s="203"/>
      <c r="JR243" s="205"/>
      <c r="JS243" s="205"/>
      <c r="JT243" s="205"/>
      <c r="JU243" s="204"/>
      <c r="JV243" s="208">
        <f t="shared" si="697"/>
        <v>0</v>
      </c>
      <c r="JW243" s="203"/>
      <c r="JX243" s="205"/>
      <c r="JY243" s="205"/>
      <c r="JZ243" s="205"/>
      <c r="KA243" s="205"/>
      <c r="KB243" s="204"/>
      <c r="KC243" s="208">
        <f t="shared" si="698"/>
        <v>0</v>
      </c>
      <c r="KD243" s="208">
        <f t="shared" si="699"/>
        <v>0</v>
      </c>
      <c r="KE243" s="203"/>
      <c r="KF243" s="205"/>
      <c r="KG243" s="205"/>
      <c r="KH243" s="205"/>
      <c r="KI243" s="204"/>
      <c r="KJ243" s="208">
        <f t="shared" si="700"/>
        <v>0</v>
      </c>
      <c r="KK243" s="203"/>
      <c r="KL243" s="205"/>
      <c r="KM243" s="205"/>
      <c r="KN243" s="205"/>
      <c r="KO243" s="204"/>
      <c r="KP243" s="208">
        <f t="shared" si="701"/>
        <v>0</v>
      </c>
      <c r="KQ243" s="203"/>
      <c r="KR243" s="205"/>
      <c r="KS243" s="205"/>
      <c r="KT243" s="205"/>
      <c r="KU243" s="204"/>
      <c r="KV243" s="208">
        <f t="shared" si="702"/>
        <v>0</v>
      </c>
      <c r="KW243" s="202"/>
      <c r="KX243" s="244"/>
      <c r="KY243" s="244"/>
      <c r="KZ243" s="244"/>
      <c r="LA243" s="245"/>
      <c r="LB243" s="208">
        <f t="shared" si="703"/>
        <v>0</v>
      </c>
      <c r="LC243" s="202"/>
      <c r="LD243" s="244"/>
      <c r="LE243" s="245"/>
      <c r="LF243" s="208">
        <f t="shared" si="704"/>
        <v>0</v>
      </c>
      <c r="LG243" s="208">
        <f t="shared" si="705"/>
        <v>0</v>
      </c>
    </row>
    <row r="244" spans="2:322">
      <c r="B244" s="93" t="s">
        <v>100</v>
      </c>
      <c r="C244" s="167"/>
      <c r="D244" s="202">
        <f t="shared" si="612"/>
        <v>0</v>
      </c>
      <c r="E244" s="167"/>
      <c r="F244" s="177"/>
      <c r="G244" s="177"/>
      <c r="H244" s="177"/>
      <c r="I244" s="178"/>
      <c r="J244" s="202">
        <f t="shared" si="624"/>
        <v>0</v>
      </c>
      <c r="K244" s="167"/>
      <c r="L244" s="177"/>
      <c r="M244" s="177"/>
      <c r="N244" s="178"/>
      <c r="O244" s="202">
        <f t="shared" si="625"/>
        <v>0</v>
      </c>
      <c r="P244" s="167"/>
      <c r="Q244" s="177"/>
      <c r="R244" s="177"/>
      <c r="S244" s="177"/>
      <c r="T244" s="178"/>
      <c r="U244" s="202">
        <f t="shared" si="626"/>
        <v>0</v>
      </c>
      <c r="V244" s="167"/>
      <c r="W244" s="177"/>
      <c r="X244" s="177"/>
      <c r="Y244" s="177"/>
      <c r="Z244" s="178"/>
      <c r="AA244" s="202">
        <f t="shared" si="627"/>
        <v>0</v>
      </c>
      <c r="AB244" s="208">
        <f t="shared" si="628"/>
        <v>0</v>
      </c>
      <c r="AC244" s="203"/>
      <c r="AD244" s="205"/>
      <c r="AE244" s="205"/>
      <c r="AF244" s="205"/>
      <c r="AG244" s="204"/>
      <c r="AH244" s="208">
        <f t="shared" si="706"/>
        <v>0</v>
      </c>
      <c r="AI244" s="203"/>
      <c r="AJ244" s="205"/>
      <c r="AK244" s="205"/>
      <c r="AL244" s="205"/>
      <c r="AM244" s="204"/>
      <c r="AN244" s="208">
        <f t="shared" si="630"/>
        <v>0</v>
      </c>
      <c r="AO244" s="203"/>
      <c r="AP244" s="205"/>
      <c r="AQ244" s="205"/>
      <c r="AR244" s="205"/>
      <c r="AS244" s="204"/>
      <c r="AT244" s="208">
        <f t="shared" si="707"/>
        <v>0</v>
      </c>
      <c r="AU244" s="203"/>
      <c r="AV244" s="205"/>
      <c r="AW244" s="205"/>
      <c r="AX244" s="205"/>
      <c r="AY244" s="204"/>
      <c r="AZ244" s="208">
        <f t="shared" si="632"/>
        <v>0</v>
      </c>
      <c r="BA244" s="208">
        <f t="shared" si="708"/>
        <v>0</v>
      </c>
      <c r="BB244" s="203"/>
      <c r="BC244" s="205"/>
      <c r="BD244" s="205"/>
      <c r="BE244" s="205"/>
      <c r="BF244" s="204"/>
      <c r="BG244" s="208">
        <f t="shared" si="634"/>
        <v>0</v>
      </c>
      <c r="BH244" s="203"/>
      <c r="BI244" s="205"/>
      <c r="BJ244" s="205"/>
      <c r="BK244" s="205"/>
      <c r="BL244" s="204"/>
      <c r="BM244" s="208">
        <f t="shared" si="635"/>
        <v>0</v>
      </c>
      <c r="BN244" s="203"/>
      <c r="BO244" s="205"/>
      <c r="BP244" s="205"/>
      <c r="BQ244" s="204"/>
      <c r="BR244" s="208">
        <f t="shared" si="636"/>
        <v>0</v>
      </c>
      <c r="BS244" s="203"/>
      <c r="BT244" s="205"/>
      <c r="BU244" s="205"/>
      <c r="BV244" s="205"/>
      <c r="BW244" s="204"/>
      <c r="BX244" s="208">
        <f t="shared" si="637"/>
        <v>0</v>
      </c>
      <c r="BY244" s="203"/>
      <c r="BZ244" s="205"/>
      <c r="CA244" s="208">
        <f t="shared" si="638"/>
        <v>0</v>
      </c>
      <c r="CB244" s="208">
        <f t="shared" si="639"/>
        <v>0</v>
      </c>
      <c r="CC244" s="203"/>
      <c r="CD244" s="205"/>
      <c r="CE244" s="205"/>
      <c r="CF244" s="208">
        <f t="shared" si="613"/>
        <v>0</v>
      </c>
      <c r="CG244" s="203"/>
      <c r="CH244" s="205"/>
      <c r="CI244" s="205"/>
      <c r="CJ244" s="204"/>
      <c r="CK244" s="208">
        <f t="shared" si="679"/>
        <v>0</v>
      </c>
      <c r="CL244" s="203"/>
      <c r="CM244" s="205"/>
      <c r="CN244" s="205"/>
      <c r="CO244" s="205"/>
      <c r="CP244" s="204"/>
      <c r="CQ244" s="208">
        <f t="shared" si="641"/>
        <v>0</v>
      </c>
      <c r="CR244" s="203"/>
      <c r="CS244" s="205"/>
      <c r="CT244" s="205"/>
      <c r="CU244" s="205"/>
      <c r="CV244" s="204"/>
      <c r="CW244" s="208">
        <f t="shared" si="680"/>
        <v>0</v>
      </c>
      <c r="CX244" s="203"/>
      <c r="CY244" s="205"/>
      <c r="CZ244" s="205"/>
      <c r="DA244" s="204"/>
      <c r="DB244" s="208">
        <f t="shared" si="643"/>
        <v>0</v>
      </c>
      <c r="DC244" s="208">
        <f t="shared" si="681"/>
        <v>0</v>
      </c>
      <c r="DD244" s="203"/>
      <c r="DE244" s="205"/>
      <c r="DF244" s="205"/>
      <c r="DG244" s="205"/>
      <c r="DH244" s="205"/>
      <c r="DI244" s="208">
        <f t="shared" si="615"/>
        <v>0</v>
      </c>
      <c r="DJ244" s="203"/>
      <c r="DK244" s="205"/>
      <c r="DL244" s="205"/>
      <c r="DM244" s="205"/>
      <c r="DN244" s="204"/>
      <c r="DO244" s="208">
        <f t="shared" si="682"/>
        <v>0</v>
      </c>
      <c r="DP244" s="203"/>
      <c r="DQ244" s="205"/>
      <c r="DR244" s="205"/>
      <c r="DS244" s="205"/>
      <c r="DT244" s="204"/>
      <c r="DU244" s="208">
        <f t="shared" si="645"/>
        <v>0</v>
      </c>
      <c r="DV244" s="203"/>
      <c r="DW244" s="205"/>
      <c r="DX244" s="205"/>
      <c r="DY244" s="205"/>
      <c r="DZ244" s="204"/>
      <c r="EA244" s="208">
        <f t="shared" si="646"/>
        <v>0</v>
      </c>
      <c r="EB244" s="208">
        <f t="shared" si="647"/>
        <v>0</v>
      </c>
      <c r="EC244" s="203"/>
      <c r="ED244" s="205"/>
      <c r="EE244" s="205"/>
      <c r="EF244" s="205"/>
      <c r="EG244" s="204"/>
      <c r="EH244" s="208">
        <f t="shared" si="683"/>
        <v>0</v>
      </c>
      <c r="EI244" s="203"/>
      <c r="EJ244" s="205"/>
      <c r="EK244" s="205"/>
      <c r="EL244" s="205"/>
      <c r="EM244" s="204"/>
      <c r="EN244" s="208">
        <f t="shared" si="684"/>
        <v>0</v>
      </c>
      <c r="EO244" s="203"/>
      <c r="EP244" s="205"/>
      <c r="EQ244" s="205"/>
      <c r="ER244" s="205"/>
      <c r="ES244" s="204"/>
      <c r="ET244" s="208">
        <f t="shared" si="685"/>
        <v>0</v>
      </c>
      <c r="EU244" s="203"/>
      <c r="EV244" s="205"/>
      <c r="EW244" s="205"/>
      <c r="EX244" s="205"/>
      <c r="EY244" s="205"/>
      <c r="EZ244" s="205"/>
      <c r="FA244" s="204"/>
      <c r="FB244" s="208">
        <f t="shared" si="651"/>
        <v>0</v>
      </c>
      <c r="FC244" s="208">
        <f t="shared" si="686"/>
        <v>0</v>
      </c>
      <c r="FD244" s="203"/>
      <c r="FE244" s="205"/>
      <c r="FF244" s="204"/>
      <c r="FG244" s="208">
        <f t="shared" si="653"/>
        <v>0</v>
      </c>
      <c r="FH244" s="203"/>
      <c r="FI244" s="205"/>
      <c r="FJ244" s="205"/>
      <c r="FK244" s="205"/>
      <c r="FL244" s="204"/>
      <c r="FM244" s="208">
        <f t="shared" si="654"/>
        <v>0</v>
      </c>
      <c r="FN244" s="203"/>
      <c r="FO244" s="205"/>
      <c r="FP244" s="205"/>
      <c r="FQ244" s="205"/>
      <c r="FR244" s="208">
        <f t="shared" si="616"/>
        <v>0</v>
      </c>
      <c r="FS244" s="203"/>
      <c r="FT244" s="205"/>
      <c r="FU244" s="205"/>
      <c r="FV244" s="205"/>
      <c r="FW244" s="204"/>
      <c r="FX244" s="208">
        <f t="shared" si="655"/>
        <v>0</v>
      </c>
      <c r="FY244" s="203"/>
      <c r="FZ244" s="205"/>
      <c r="GA244" s="205"/>
      <c r="GB244" s="205"/>
      <c r="GC244" s="204"/>
      <c r="GD244" s="208">
        <f t="shared" si="656"/>
        <v>0</v>
      </c>
      <c r="GE244" s="208">
        <f t="shared" si="617"/>
        <v>0</v>
      </c>
      <c r="GF244" s="203"/>
      <c r="GG244" s="205"/>
      <c r="GH244" s="205"/>
      <c r="GI244" s="205"/>
      <c r="GJ244" s="205"/>
      <c r="GK244" s="208">
        <f t="shared" si="618"/>
        <v>0</v>
      </c>
      <c r="GL244" s="203"/>
      <c r="GM244" s="205"/>
      <c r="GN244" s="205"/>
      <c r="GO244" s="204"/>
      <c r="GP244" s="208">
        <f t="shared" si="657"/>
        <v>0</v>
      </c>
      <c r="GQ244" s="203"/>
      <c r="GR244" s="205"/>
      <c r="GS244" s="205"/>
      <c r="GT244" s="205"/>
      <c r="GU244" s="204"/>
      <c r="GV244" s="208">
        <f t="shared" si="658"/>
        <v>0</v>
      </c>
      <c r="GW244" s="203"/>
      <c r="GX244" s="205"/>
      <c r="GY244" s="205"/>
      <c r="GZ244" s="205"/>
      <c r="HA244" s="205"/>
      <c r="HB244" s="204"/>
      <c r="HC244" s="208">
        <f t="shared" si="659"/>
        <v>0</v>
      </c>
      <c r="HD244" s="208">
        <f t="shared" si="619"/>
        <v>0</v>
      </c>
      <c r="HE244" s="203"/>
      <c r="HF244" s="205"/>
      <c r="HG244" s="205"/>
      <c r="HH244" s="205"/>
      <c r="HI244" s="208">
        <f t="shared" si="620"/>
        <v>0</v>
      </c>
      <c r="HJ244" s="203"/>
      <c r="HK244" s="205"/>
      <c r="HL244" s="205"/>
      <c r="HM244" s="205"/>
      <c r="HN244" s="204"/>
      <c r="HO244" s="208">
        <f t="shared" si="687"/>
        <v>0</v>
      </c>
      <c r="HP244" s="203"/>
      <c r="HQ244" s="205"/>
      <c r="HR244" s="205"/>
      <c r="HS244" s="205"/>
      <c r="HT244" s="204"/>
      <c r="HU244" s="208">
        <f t="shared" si="688"/>
        <v>0</v>
      </c>
      <c r="HV244" s="203"/>
      <c r="HW244" s="205"/>
      <c r="HX244" s="205"/>
      <c r="HY244" s="208">
        <f t="shared" si="621"/>
        <v>0</v>
      </c>
      <c r="HZ244" s="203"/>
      <c r="IA244" s="205"/>
      <c r="IB244" s="204"/>
      <c r="IC244" s="208">
        <f t="shared" si="689"/>
        <v>0</v>
      </c>
      <c r="ID244" s="208">
        <f t="shared" si="622"/>
        <v>0</v>
      </c>
      <c r="IE244" s="203"/>
      <c r="IF244" s="204"/>
      <c r="IG244" s="208">
        <f t="shared" si="690"/>
        <v>0</v>
      </c>
      <c r="IH244" s="203"/>
      <c r="II244" s="205"/>
      <c r="IJ244" s="205"/>
      <c r="IK244" s="205"/>
      <c r="IL244" s="204"/>
      <c r="IM244" s="208">
        <f t="shared" si="691"/>
        <v>0</v>
      </c>
      <c r="IN244" s="203"/>
      <c r="IO244" s="205"/>
      <c r="IP244" s="204"/>
      <c r="IQ244" s="208">
        <f t="shared" si="692"/>
        <v>0</v>
      </c>
      <c r="IR244" s="203"/>
      <c r="IS244" s="205"/>
      <c r="IT244" s="205"/>
      <c r="IU244" s="205"/>
      <c r="IV244" s="204"/>
      <c r="IW244" s="208">
        <f t="shared" si="693"/>
        <v>0</v>
      </c>
      <c r="IX244" s="203"/>
      <c r="IY244" s="205"/>
      <c r="IZ244" s="205"/>
      <c r="JA244" s="205"/>
      <c r="JB244" s="204"/>
      <c r="JC244" s="208">
        <f t="shared" si="694"/>
        <v>0</v>
      </c>
      <c r="JD244" s="208">
        <f t="shared" si="623"/>
        <v>0</v>
      </c>
      <c r="JE244" s="203"/>
      <c r="JF244" s="205"/>
      <c r="JG244" s="205"/>
      <c r="JH244" s="205"/>
      <c r="JI244" s="204"/>
      <c r="JJ244" s="208">
        <f t="shared" si="695"/>
        <v>0</v>
      </c>
      <c r="JK244" s="203"/>
      <c r="JL244" s="205"/>
      <c r="JM244" s="205"/>
      <c r="JN244" s="205"/>
      <c r="JO244" s="204"/>
      <c r="JP244" s="208">
        <f t="shared" si="696"/>
        <v>0</v>
      </c>
      <c r="JQ244" s="203"/>
      <c r="JR244" s="205"/>
      <c r="JS244" s="205"/>
      <c r="JT244" s="205"/>
      <c r="JU244" s="204"/>
      <c r="JV244" s="208">
        <f t="shared" si="697"/>
        <v>0</v>
      </c>
      <c r="JW244" s="203"/>
      <c r="JX244" s="205"/>
      <c r="JY244" s="205"/>
      <c r="JZ244" s="205"/>
      <c r="KA244" s="205"/>
      <c r="KB244" s="204"/>
      <c r="KC244" s="208">
        <f t="shared" si="698"/>
        <v>0</v>
      </c>
      <c r="KD244" s="208">
        <f t="shared" si="699"/>
        <v>0</v>
      </c>
      <c r="KE244" s="203"/>
      <c r="KF244" s="205"/>
      <c r="KG244" s="205"/>
      <c r="KH244" s="205"/>
      <c r="KI244" s="204"/>
      <c r="KJ244" s="208">
        <f t="shared" si="700"/>
        <v>0</v>
      </c>
      <c r="KK244" s="203"/>
      <c r="KL244" s="205"/>
      <c r="KM244" s="205"/>
      <c r="KN244" s="205"/>
      <c r="KO244" s="204"/>
      <c r="KP244" s="208">
        <f t="shared" si="701"/>
        <v>0</v>
      </c>
      <c r="KQ244" s="203"/>
      <c r="KR244" s="205"/>
      <c r="KS244" s="205"/>
      <c r="KT244" s="205"/>
      <c r="KU244" s="204"/>
      <c r="KV244" s="208">
        <f t="shared" si="702"/>
        <v>0</v>
      </c>
      <c r="KW244" s="202"/>
      <c r="KX244" s="244"/>
      <c r="KY244" s="244"/>
      <c r="KZ244" s="244"/>
      <c r="LA244" s="245"/>
      <c r="LB244" s="208">
        <f t="shared" si="703"/>
        <v>0</v>
      </c>
      <c r="LC244" s="202"/>
      <c r="LD244" s="244"/>
      <c r="LE244" s="245"/>
      <c r="LF244" s="208">
        <f t="shared" si="704"/>
        <v>0</v>
      </c>
      <c r="LG244" s="208">
        <f t="shared" si="705"/>
        <v>0</v>
      </c>
    </row>
    <row r="245" spans="2:322">
      <c r="B245" s="93" t="s">
        <v>89</v>
      </c>
      <c r="C245" s="167"/>
      <c r="D245" s="202">
        <f t="shared" si="612"/>
        <v>0</v>
      </c>
      <c r="E245" s="167"/>
      <c r="F245" s="177"/>
      <c r="G245" s="177"/>
      <c r="H245" s="177"/>
      <c r="I245" s="178"/>
      <c r="J245" s="202">
        <f t="shared" si="624"/>
        <v>0</v>
      </c>
      <c r="K245" s="167"/>
      <c r="L245" s="177"/>
      <c r="M245" s="177"/>
      <c r="N245" s="178"/>
      <c r="O245" s="202">
        <f t="shared" si="625"/>
        <v>0</v>
      </c>
      <c r="P245" s="167"/>
      <c r="Q245" s="177"/>
      <c r="R245" s="177"/>
      <c r="S245" s="177"/>
      <c r="T245" s="178"/>
      <c r="U245" s="202">
        <f t="shared" si="626"/>
        <v>0</v>
      </c>
      <c r="V245" s="167"/>
      <c r="W245" s="177"/>
      <c r="X245" s="177"/>
      <c r="Y245" s="177"/>
      <c r="Z245" s="178">
        <v>4415.732</v>
      </c>
      <c r="AA245" s="202">
        <f t="shared" si="627"/>
        <v>4415.732</v>
      </c>
      <c r="AB245" s="208">
        <f t="shared" si="628"/>
        <v>4415.732</v>
      </c>
      <c r="AC245" s="203">
        <v>3900</v>
      </c>
      <c r="AD245" s="205"/>
      <c r="AE245" s="205"/>
      <c r="AF245" s="205"/>
      <c r="AG245" s="204"/>
      <c r="AH245" s="208">
        <f t="shared" si="706"/>
        <v>3900</v>
      </c>
      <c r="AI245" s="203"/>
      <c r="AJ245" s="205"/>
      <c r="AK245" s="205"/>
      <c r="AL245" s="205"/>
      <c r="AM245" s="204"/>
      <c r="AN245" s="208">
        <f t="shared" si="630"/>
        <v>0</v>
      </c>
      <c r="AO245" s="203"/>
      <c r="AP245" s="205"/>
      <c r="AQ245" s="205"/>
      <c r="AR245" s="205"/>
      <c r="AS245" s="204"/>
      <c r="AT245" s="208">
        <f t="shared" si="707"/>
        <v>0</v>
      </c>
      <c r="AU245" s="203"/>
      <c r="AV245" s="205"/>
      <c r="AW245" s="205"/>
      <c r="AX245" s="205"/>
      <c r="AY245" s="204"/>
      <c r="AZ245" s="208">
        <f t="shared" si="632"/>
        <v>0</v>
      </c>
      <c r="BA245" s="208">
        <f t="shared" si="708"/>
        <v>3900</v>
      </c>
      <c r="BB245" s="203"/>
      <c r="BC245" s="205"/>
      <c r="BD245" s="205">
        <f>2486.349+6.098+11.098</f>
        <v>2503.5450000000001</v>
      </c>
      <c r="BE245" s="205"/>
      <c r="BF245" s="204"/>
      <c r="BG245" s="208">
        <f t="shared" si="634"/>
        <v>2503.5450000000001</v>
      </c>
      <c r="BH245" s="203"/>
      <c r="BI245" s="205"/>
      <c r="BJ245" s="205"/>
      <c r="BK245" s="205"/>
      <c r="BL245" s="204"/>
      <c r="BM245" s="208">
        <f t="shared" si="635"/>
        <v>0</v>
      </c>
      <c r="BN245" s="203"/>
      <c r="BO245" s="205"/>
      <c r="BP245" s="205"/>
      <c r="BQ245" s="204"/>
      <c r="BR245" s="208">
        <f t="shared" si="636"/>
        <v>0</v>
      </c>
      <c r="BS245" s="203"/>
      <c r="BT245" s="205"/>
      <c r="BU245" s="205"/>
      <c r="BV245" s="205"/>
      <c r="BW245" s="204"/>
      <c r="BX245" s="208">
        <f t="shared" si="637"/>
        <v>0</v>
      </c>
      <c r="BY245" s="203"/>
      <c r="BZ245" s="205"/>
      <c r="CA245" s="208">
        <f t="shared" si="638"/>
        <v>0</v>
      </c>
      <c r="CB245" s="208">
        <f t="shared" si="639"/>
        <v>2503.5450000000001</v>
      </c>
      <c r="CC245" s="203">
        <f>6.098+2559.164</f>
        <v>2565.2620000000002</v>
      </c>
      <c r="CD245" s="205"/>
      <c r="CE245" s="205"/>
      <c r="CF245" s="208">
        <f t="shared" si="613"/>
        <v>2565.2620000000002</v>
      </c>
      <c r="CG245" s="203"/>
      <c r="CH245" s="205"/>
      <c r="CI245" s="205"/>
      <c r="CJ245" s="204"/>
      <c r="CK245" s="208">
        <f t="shared" si="679"/>
        <v>0</v>
      </c>
      <c r="CL245" s="203"/>
      <c r="CM245" s="205"/>
      <c r="CN245" s="205"/>
      <c r="CO245" s="205"/>
      <c r="CP245" s="204"/>
      <c r="CQ245" s="208">
        <f t="shared" si="641"/>
        <v>0</v>
      </c>
      <c r="CR245" s="203"/>
      <c r="CS245" s="205"/>
      <c r="CT245" s="205"/>
      <c r="CU245" s="205"/>
      <c r="CV245" s="204"/>
      <c r="CW245" s="208">
        <f t="shared" si="680"/>
        <v>0</v>
      </c>
      <c r="CX245" s="203"/>
      <c r="CY245" s="205"/>
      <c r="CZ245" s="205"/>
      <c r="DA245" s="204">
        <v>2588.4929999999999</v>
      </c>
      <c r="DB245" s="208">
        <f t="shared" si="643"/>
        <v>2588.4929999999999</v>
      </c>
      <c r="DC245" s="208">
        <f t="shared" si="681"/>
        <v>5153.7550000000001</v>
      </c>
      <c r="DD245" s="203"/>
      <c r="DE245" s="205"/>
      <c r="DF245" s="205"/>
      <c r="DG245" s="205"/>
      <c r="DH245" s="205"/>
      <c r="DI245" s="208">
        <f t="shared" si="615"/>
        <v>0</v>
      </c>
      <c r="DJ245" s="203"/>
      <c r="DK245" s="205"/>
      <c r="DL245" s="205"/>
      <c r="DM245" s="205"/>
      <c r="DN245" s="204"/>
      <c r="DO245" s="208">
        <f t="shared" si="682"/>
        <v>0</v>
      </c>
      <c r="DP245" s="203"/>
      <c r="DQ245" s="205"/>
      <c r="DR245" s="205"/>
      <c r="DS245" s="205"/>
      <c r="DT245" s="204"/>
      <c r="DU245" s="208">
        <f t="shared" si="645"/>
        <v>0</v>
      </c>
      <c r="DV245" s="203"/>
      <c r="DW245" s="205"/>
      <c r="DX245" s="205"/>
      <c r="DY245" s="205"/>
      <c r="DZ245" s="204"/>
      <c r="EA245" s="208">
        <f t="shared" si="646"/>
        <v>0</v>
      </c>
      <c r="EB245" s="208">
        <f t="shared" si="647"/>
        <v>0</v>
      </c>
      <c r="EC245" s="203">
        <v>2714.855</v>
      </c>
      <c r="ED245" s="205"/>
      <c r="EE245" s="205"/>
      <c r="EF245" s="205"/>
      <c r="EG245" s="204"/>
      <c r="EH245" s="208">
        <f t="shared" si="683"/>
        <v>2714.855</v>
      </c>
      <c r="EI245" s="203"/>
      <c r="EJ245" s="205"/>
      <c r="EK245" s="205"/>
      <c r="EL245" s="205"/>
      <c r="EM245" s="204"/>
      <c r="EN245" s="208">
        <f t="shared" si="684"/>
        <v>0</v>
      </c>
      <c r="EO245" s="203"/>
      <c r="EP245" s="205"/>
      <c r="EQ245" s="205"/>
      <c r="ER245" s="205"/>
      <c r="ES245" s="204"/>
      <c r="ET245" s="208">
        <f t="shared" si="685"/>
        <v>0</v>
      </c>
      <c r="EU245" s="203"/>
      <c r="EV245" s="205"/>
      <c r="EW245" s="205"/>
      <c r="EX245" s="205"/>
      <c r="EY245" s="205"/>
      <c r="EZ245" s="205">
        <v>149368.24600000001</v>
      </c>
      <c r="FA245" s="204">
        <f>2425.649+6.098+6.098+6.098</f>
        <v>2443.9429999999998</v>
      </c>
      <c r="FB245" s="208">
        <f t="shared" si="651"/>
        <v>151812.18900000001</v>
      </c>
      <c r="FC245" s="208">
        <f t="shared" si="686"/>
        <v>154527.04400000002</v>
      </c>
      <c r="FD245" s="203"/>
      <c r="FE245" s="205"/>
      <c r="FF245" s="204"/>
      <c r="FG245" s="208">
        <f t="shared" si="653"/>
        <v>0</v>
      </c>
      <c r="FH245" s="203"/>
      <c r="FI245" s="205"/>
      <c r="FJ245" s="205"/>
      <c r="FK245" s="205"/>
      <c r="FL245" s="204"/>
      <c r="FM245" s="208">
        <f t="shared" si="654"/>
        <v>0</v>
      </c>
      <c r="FN245" s="203"/>
      <c r="FO245" s="205"/>
      <c r="FP245" s="205"/>
      <c r="FQ245" s="205"/>
      <c r="FR245" s="208">
        <f t="shared" si="616"/>
        <v>0</v>
      </c>
      <c r="FS245" s="203"/>
      <c r="FT245" s="205"/>
      <c r="FU245" s="205"/>
      <c r="FV245" s="205"/>
      <c r="FW245" s="204"/>
      <c r="FX245" s="208">
        <f t="shared" si="655"/>
        <v>0</v>
      </c>
      <c r="FY245" s="203"/>
      <c r="FZ245" s="205"/>
      <c r="GA245" s="205"/>
      <c r="GB245" s="205">
        <v>2425.65</v>
      </c>
      <c r="GC245" s="204"/>
      <c r="GD245" s="208">
        <f t="shared" si="656"/>
        <v>2425.65</v>
      </c>
      <c r="GE245" s="208">
        <f t="shared" si="617"/>
        <v>2425.65</v>
      </c>
      <c r="GF245" s="203"/>
      <c r="GG245" s="205"/>
      <c r="GH245" s="205"/>
      <c r="GI245" s="205"/>
      <c r="GJ245" s="205"/>
      <c r="GK245" s="208">
        <f t="shared" si="618"/>
        <v>0</v>
      </c>
      <c r="GL245" s="203"/>
      <c r="GM245" s="205"/>
      <c r="GN245" s="205"/>
      <c r="GO245" s="204"/>
      <c r="GP245" s="208">
        <f t="shared" si="657"/>
        <v>0</v>
      </c>
      <c r="GQ245" s="203"/>
      <c r="GR245" s="205"/>
      <c r="GS245" s="205"/>
      <c r="GT245" s="205"/>
      <c r="GU245" s="204"/>
      <c r="GV245" s="208">
        <f t="shared" si="658"/>
        <v>0</v>
      </c>
      <c r="GW245" s="203"/>
      <c r="GX245" s="205"/>
      <c r="GY245" s="205"/>
      <c r="GZ245" s="205"/>
      <c r="HA245" s="205"/>
      <c r="HB245" s="204"/>
      <c r="HC245" s="208">
        <f t="shared" si="659"/>
        <v>0</v>
      </c>
      <c r="HD245" s="208">
        <f t="shared" si="619"/>
        <v>0</v>
      </c>
      <c r="HE245" s="203">
        <v>84.057000000000002</v>
      </c>
      <c r="HF245" s="205"/>
      <c r="HG245" s="205"/>
      <c r="HH245" s="205"/>
      <c r="HI245" s="208">
        <f t="shared" si="620"/>
        <v>84.057000000000002</v>
      </c>
      <c r="HJ245" s="203"/>
      <c r="HK245" s="205"/>
      <c r="HL245" s="205"/>
      <c r="HM245" s="205"/>
      <c r="HN245" s="204"/>
      <c r="HO245" s="208">
        <f t="shared" si="687"/>
        <v>0</v>
      </c>
      <c r="HP245" s="203"/>
      <c r="HQ245" s="205"/>
      <c r="HR245" s="205"/>
      <c r="HS245" s="205"/>
      <c r="HT245" s="204"/>
      <c r="HU245" s="208">
        <f t="shared" si="688"/>
        <v>0</v>
      </c>
      <c r="HV245" s="203"/>
      <c r="HW245" s="205"/>
      <c r="HX245" s="205"/>
      <c r="HY245" s="208">
        <f t="shared" si="621"/>
        <v>0</v>
      </c>
      <c r="HZ245" s="203"/>
      <c r="IA245" s="205"/>
      <c r="IB245" s="204"/>
      <c r="IC245" s="208">
        <f t="shared" si="689"/>
        <v>0</v>
      </c>
      <c r="ID245" s="208">
        <f t="shared" si="622"/>
        <v>84.057000000000002</v>
      </c>
      <c r="IE245" s="203"/>
      <c r="IF245" s="204"/>
      <c r="IG245" s="208">
        <f t="shared" si="690"/>
        <v>0</v>
      </c>
      <c r="IH245" s="203"/>
      <c r="II245" s="205"/>
      <c r="IJ245" s="205"/>
      <c r="IK245" s="205"/>
      <c r="IL245" s="204"/>
      <c r="IM245" s="208">
        <f t="shared" si="691"/>
        <v>0</v>
      </c>
      <c r="IN245" s="203">
        <v>160</v>
      </c>
      <c r="IO245" s="205"/>
      <c r="IP245" s="204"/>
      <c r="IQ245" s="208">
        <f t="shared" si="692"/>
        <v>160</v>
      </c>
      <c r="IR245" s="203"/>
      <c r="IS245" s="205"/>
      <c r="IT245" s="205"/>
      <c r="IU245" s="205"/>
      <c r="IV245" s="204"/>
      <c r="IW245" s="208">
        <f t="shared" si="693"/>
        <v>0</v>
      </c>
      <c r="IX245" s="203"/>
      <c r="IY245" s="205"/>
      <c r="IZ245" s="205"/>
      <c r="JA245" s="205"/>
      <c r="JB245" s="204"/>
      <c r="JC245" s="208">
        <f t="shared" si="694"/>
        <v>0</v>
      </c>
      <c r="JD245" s="208">
        <f t="shared" si="623"/>
        <v>160</v>
      </c>
      <c r="JE245" s="203"/>
      <c r="JF245" s="205"/>
      <c r="JG245" s="205"/>
      <c r="JH245" s="205"/>
      <c r="JI245" s="204"/>
      <c r="JJ245" s="208">
        <f t="shared" si="695"/>
        <v>0</v>
      </c>
      <c r="JK245" s="203"/>
      <c r="JL245" s="205"/>
      <c r="JM245" s="205"/>
      <c r="JN245" s="205"/>
      <c r="JO245" s="204"/>
      <c r="JP245" s="208">
        <f t="shared" si="696"/>
        <v>0</v>
      </c>
      <c r="JQ245" s="203"/>
      <c r="JR245" s="205"/>
      <c r="JS245" s="205"/>
      <c r="JT245" s="205"/>
      <c r="JU245" s="204"/>
      <c r="JV245" s="208">
        <f t="shared" si="697"/>
        <v>0</v>
      </c>
      <c r="JW245" s="203"/>
      <c r="JX245" s="205"/>
      <c r="JY245" s="205"/>
      <c r="JZ245" s="205"/>
      <c r="KA245" s="205"/>
      <c r="KB245" s="204"/>
      <c r="KC245" s="208">
        <f t="shared" si="698"/>
        <v>0</v>
      </c>
      <c r="KD245" s="208">
        <f t="shared" si="699"/>
        <v>0</v>
      </c>
      <c r="KE245" s="203"/>
      <c r="KF245" s="205"/>
      <c r="KG245" s="205"/>
      <c r="KH245" s="205"/>
      <c r="KI245" s="204"/>
      <c r="KJ245" s="208">
        <f t="shared" si="700"/>
        <v>0</v>
      </c>
      <c r="KK245" s="203"/>
      <c r="KL245" s="205"/>
      <c r="KM245" s="205"/>
      <c r="KN245" s="205"/>
      <c r="KO245" s="204"/>
      <c r="KP245" s="208">
        <f t="shared" si="701"/>
        <v>0</v>
      </c>
      <c r="KQ245" s="203"/>
      <c r="KR245" s="205"/>
      <c r="KS245" s="205"/>
      <c r="KT245" s="205"/>
      <c r="KU245" s="204"/>
      <c r="KV245" s="208">
        <f t="shared" si="702"/>
        <v>0</v>
      </c>
      <c r="KW245" s="202"/>
      <c r="KX245" s="244"/>
      <c r="KY245" s="244"/>
      <c r="KZ245" s="244"/>
      <c r="LA245" s="245"/>
      <c r="LB245" s="208">
        <f t="shared" si="703"/>
        <v>0</v>
      </c>
      <c r="LC245" s="202"/>
      <c r="LD245" s="244"/>
      <c r="LE245" s="245"/>
      <c r="LF245" s="208">
        <f t="shared" si="704"/>
        <v>0</v>
      </c>
      <c r="LG245" s="208">
        <f t="shared" si="705"/>
        <v>0</v>
      </c>
    </row>
    <row r="246" spans="2:322" s="91" customFormat="1">
      <c r="B246" s="167" t="s">
        <v>177</v>
      </c>
      <c r="C246" s="167"/>
      <c r="D246" s="202">
        <f t="shared" si="612"/>
        <v>0</v>
      </c>
      <c r="E246" s="167"/>
      <c r="F246" s="177"/>
      <c r="G246" s="177"/>
      <c r="H246" s="177"/>
      <c r="I246" s="178"/>
      <c r="J246" s="202">
        <f t="shared" si="624"/>
        <v>0</v>
      </c>
      <c r="K246" s="167"/>
      <c r="L246" s="177"/>
      <c r="M246" s="177"/>
      <c r="N246" s="178">
        <f>100000-98280</f>
        <v>1720</v>
      </c>
      <c r="O246" s="202">
        <f t="shared" si="625"/>
        <v>1720</v>
      </c>
      <c r="P246" s="167"/>
      <c r="Q246" s="177"/>
      <c r="R246" s="177"/>
      <c r="S246" s="177"/>
      <c r="T246" s="178"/>
      <c r="U246" s="202">
        <f t="shared" si="626"/>
        <v>0</v>
      </c>
      <c r="V246" s="167"/>
      <c r="W246" s="177"/>
      <c r="X246" s="177"/>
      <c r="Y246" s="177"/>
      <c r="Z246" s="177"/>
      <c r="AA246" s="202">
        <f t="shared" si="627"/>
        <v>0</v>
      </c>
      <c r="AB246" s="208">
        <f t="shared" si="628"/>
        <v>1720</v>
      </c>
      <c r="AC246" s="203"/>
      <c r="AD246" s="205"/>
      <c r="AE246" s="205"/>
      <c r="AF246" s="205"/>
      <c r="AG246" s="204"/>
      <c r="AH246" s="208">
        <f t="shared" si="706"/>
        <v>0</v>
      </c>
      <c r="AI246" s="203"/>
      <c r="AJ246" s="205"/>
      <c r="AK246" s="205"/>
      <c r="AL246" s="205"/>
      <c r="AM246" s="204"/>
      <c r="AN246" s="208">
        <f t="shared" si="630"/>
        <v>0</v>
      </c>
      <c r="AO246" s="203"/>
      <c r="AP246" s="205"/>
      <c r="AQ246" s="205"/>
      <c r="AR246" s="205"/>
      <c r="AS246" s="204"/>
      <c r="AT246" s="208">
        <f t="shared" si="707"/>
        <v>0</v>
      </c>
      <c r="AU246" s="203"/>
      <c r="AV246" s="205"/>
      <c r="AW246" s="205"/>
      <c r="AX246" s="205"/>
      <c r="AY246" s="204"/>
      <c r="AZ246" s="208">
        <f t="shared" si="632"/>
        <v>0</v>
      </c>
      <c r="BA246" s="208">
        <f t="shared" si="708"/>
        <v>0</v>
      </c>
      <c r="BB246" s="203"/>
      <c r="BC246" s="205"/>
      <c r="BD246" s="205"/>
      <c r="BE246" s="205"/>
      <c r="BF246" s="204"/>
      <c r="BG246" s="208">
        <f t="shared" si="634"/>
        <v>0</v>
      </c>
      <c r="BH246" s="203"/>
      <c r="BI246" s="205"/>
      <c r="BJ246" s="205"/>
      <c r="BK246" s="205"/>
      <c r="BL246" s="204"/>
      <c r="BM246" s="208">
        <f t="shared" si="635"/>
        <v>0</v>
      </c>
      <c r="BN246" s="203"/>
      <c r="BO246" s="205"/>
      <c r="BP246" s="205"/>
      <c r="BQ246" s="204"/>
      <c r="BR246" s="208">
        <f t="shared" si="636"/>
        <v>0</v>
      </c>
      <c r="BS246" s="203"/>
      <c r="BT246" s="205"/>
      <c r="BU246" s="205"/>
      <c r="BV246" s="205"/>
      <c r="BW246" s="204"/>
      <c r="BX246" s="208">
        <f t="shared" si="637"/>
        <v>0</v>
      </c>
      <c r="BY246" s="203"/>
      <c r="BZ246" s="205"/>
      <c r="CA246" s="208">
        <f t="shared" si="638"/>
        <v>0</v>
      </c>
      <c r="CB246" s="208">
        <f t="shared" si="639"/>
        <v>0</v>
      </c>
      <c r="CC246" s="203"/>
      <c r="CD246" s="205"/>
      <c r="CE246" s="205"/>
      <c r="CF246" s="208">
        <f t="shared" si="613"/>
        <v>0</v>
      </c>
      <c r="CG246" s="203">
        <f>100000-98276.056</f>
        <v>1723.9440000000031</v>
      </c>
      <c r="CH246" s="205"/>
      <c r="CI246" s="205"/>
      <c r="CJ246" s="204"/>
      <c r="CK246" s="208">
        <f t="shared" si="679"/>
        <v>1723.9440000000031</v>
      </c>
      <c r="CL246" s="203"/>
      <c r="CM246" s="205"/>
      <c r="CN246" s="205"/>
      <c r="CO246" s="205"/>
      <c r="CP246" s="204"/>
      <c r="CQ246" s="208">
        <f t="shared" si="641"/>
        <v>0</v>
      </c>
      <c r="CR246" s="203"/>
      <c r="CS246" s="205"/>
      <c r="CT246" s="205"/>
      <c r="CU246" s="205"/>
      <c r="CV246" s="204"/>
      <c r="CW246" s="208">
        <f t="shared" si="680"/>
        <v>0</v>
      </c>
      <c r="CX246" s="203"/>
      <c r="CY246" s="205"/>
      <c r="CZ246" s="205"/>
      <c r="DA246" s="204"/>
      <c r="DB246" s="208">
        <f t="shared" si="643"/>
        <v>0</v>
      </c>
      <c r="DC246" s="208">
        <f t="shared" si="681"/>
        <v>1723.9440000000031</v>
      </c>
      <c r="DD246" s="203"/>
      <c r="DE246" s="205"/>
      <c r="DF246" s="205"/>
      <c r="DG246" s="205"/>
      <c r="DH246" s="205"/>
      <c r="DI246" s="208">
        <f t="shared" si="615"/>
        <v>0</v>
      </c>
      <c r="DJ246" s="203"/>
      <c r="DK246" s="205"/>
      <c r="DL246" s="205"/>
      <c r="DM246" s="205"/>
      <c r="DN246" s="204"/>
      <c r="DO246" s="208">
        <f t="shared" si="682"/>
        <v>0</v>
      </c>
      <c r="DP246" s="203"/>
      <c r="DQ246" s="205"/>
      <c r="DR246" s="205"/>
      <c r="DS246" s="205"/>
      <c r="DT246" s="204"/>
      <c r="DU246" s="208">
        <f t="shared" si="645"/>
        <v>0</v>
      </c>
      <c r="DV246" s="203"/>
      <c r="DW246" s="205"/>
      <c r="DX246" s="205"/>
      <c r="DY246" s="205"/>
      <c r="DZ246" s="204"/>
      <c r="EA246" s="208">
        <f t="shared" si="646"/>
        <v>0</v>
      </c>
      <c r="EB246" s="208">
        <f t="shared" si="647"/>
        <v>0</v>
      </c>
      <c r="EC246" s="203"/>
      <c r="ED246" s="205"/>
      <c r="EE246" s="205"/>
      <c r="EF246" s="205"/>
      <c r="EG246" s="204"/>
      <c r="EH246" s="208">
        <f t="shared" si="683"/>
        <v>0</v>
      </c>
      <c r="EI246" s="203"/>
      <c r="EJ246" s="205"/>
      <c r="EK246" s="205"/>
      <c r="EL246" s="205"/>
      <c r="EM246" s="204"/>
      <c r="EN246" s="208">
        <f t="shared" si="684"/>
        <v>0</v>
      </c>
      <c r="EO246" s="203"/>
      <c r="EP246" s="205"/>
      <c r="EQ246" s="205"/>
      <c r="ER246" s="205"/>
      <c r="ES246" s="204"/>
      <c r="ET246" s="208">
        <f t="shared" si="685"/>
        <v>0</v>
      </c>
      <c r="EU246" s="203"/>
      <c r="EV246" s="205"/>
      <c r="EW246" s="205"/>
      <c r="EX246" s="205"/>
      <c r="EY246" s="205"/>
      <c r="EZ246" s="205"/>
      <c r="FA246" s="204"/>
      <c r="FB246" s="208">
        <f t="shared" si="651"/>
        <v>0</v>
      </c>
      <c r="FC246" s="208">
        <f t="shared" si="686"/>
        <v>0</v>
      </c>
      <c r="FD246" s="203"/>
      <c r="FE246" s="205"/>
      <c r="FF246" s="204"/>
      <c r="FG246" s="208">
        <f t="shared" si="653"/>
        <v>0</v>
      </c>
      <c r="FH246" s="203"/>
      <c r="FI246" s="205"/>
      <c r="FJ246" s="205"/>
      <c r="FK246" s="205"/>
      <c r="FL246" s="204"/>
      <c r="FM246" s="208">
        <f t="shared" si="654"/>
        <v>0</v>
      </c>
      <c r="FN246" s="203"/>
      <c r="FO246" s="205">
        <f>100000-98262.222</f>
        <v>1737.7780000000057</v>
      </c>
      <c r="FP246" s="205"/>
      <c r="FQ246" s="205"/>
      <c r="FR246" s="208">
        <f t="shared" si="616"/>
        <v>1737.7780000000057</v>
      </c>
      <c r="FS246" s="203"/>
      <c r="FT246" s="205"/>
      <c r="FU246" s="205"/>
      <c r="FV246" s="205"/>
      <c r="FW246" s="204"/>
      <c r="FX246" s="208">
        <f t="shared" si="655"/>
        <v>0</v>
      </c>
      <c r="FY246" s="203"/>
      <c r="FZ246" s="205"/>
      <c r="GA246" s="205"/>
      <c r="GB246" s="205"/>
      <c r="GC246" s="204"/>
      <c r="GD246" s="208">
        <f t="shared" si="656"/>
        <v>0</v>
      </c>
      <c r="GE246" s="208">
        <f t="shared" si="617"/>
        <v>1737.7780000000057</v>
      </c>
      <c r="GF246" s="203"/>
      <c r="GG246" s="205"/>
      <c r="GH246" s="205"/>
      <c r="GI246" s="205"/>
      <c r="GJ246" s="205"/>
      <c r="GK246" s="208">
        <f t="shared" si="618"/>
        <v>0</v>
      </c>
      <c r="GL246" s="203"/>
      <c r="GM246" s="205"/>
      <c r="GN246" s="205"/>
      <c r="GO246" s="204"/>
      <c r="GP246" s="208">
        <f t="shared" si="657"/>
        <v>0</v>
      </c>
      <c r="GQ246" s="203"/>
      <c r="GR246" s="205"/>
      <c r="GS246" s="205"/>
      <c r="GT246" s="205"/>
      <c r="GU246" s="204"/>
      <c r="GV246" s="208">
        <f t="shared" si="658"/>
        <v>0</v>
      </c>
      <c r="GW246" s="203"/>
      <c r="GX246" s="205"/>
      <c r="GY246" s="205"/>
      <c r="GZ246" s="205"/>
      <c r="HA246" s="205"/>
      <c r="HB246" s="204"/>
      <c r="HC246" s="208">
        <f t="shared" si="659"/>
        <v>0</v>
      </c>
      <c r="HD246" s="208">
        <f t="shared" si="619"/>
        <v>0</v>
      </c>
      <c r="HE246" s="203"/>
      <c r="HF246" s="205"/>
      <c r="HG246" s="205"/>
      <c r="HH246" s="205"/>
      <c r="HI246" s="208">
        <f t="shared" si="620"/>
        <v>0</v>
      </c>
      <c r="HJ246" s="203"/>
      <c r="HK246" s="205"/>
      <c r="HL246" s="205"/>
      <c r="HM246" s="205"/>
      <c r="HN246" s="204"/>
      <c r="HO246" s="208">
        <f t="shared" si="687"/>
        <v>0</v>
      </c>
      <c r="HP246" s="203"/>
      <c r="HQ246" s="205"/>
      <c r="HR246" s="205"/>
      <c r="HS246" s="205"/>
      <c r="HT246" s="204"/>
      <c r="HU246" s="208">
        <f t="shared" si="688"/>
        <v>0</v>
      </c>
      <c r="HV246" s="203"/>
      <c r="HW246" s="205"/>
      <c r="HX246" s="205"/>
      <c r="HY246" s="208">
        <f t="shared" si="621"/>
        <v>0</v>
      </c>
      <c r="HZ246" s="203"/>
      <c r="IA246" s="205"/>
      <c r="IB246" s="204"/>
      <c r="IC246" s="208">
        <f t="shared" si="689"/>
        <v>0</v>
      </c>
      <c r="ID246" s="208">
        <f t="shared" si="622"/>
        <v>0</v>
      </c>
      <c r="IE246" s="203"/>
      <c r="IF246" s="204"/>
      <c r="IG246" s="208">
        <f t="shared" si="690"/>
        <v>0</v>
      </c>
      <c r="IH246" s="203"/>
      <c r="II246" s="205"/>
      <c r="IJ246" s="205"/>
      <c r="IK246" s="205"/>
      <c r="IL246" s="204"/>
      <c r="IM246" s="208">
        <f t="shared" si="691"/>
        <v>0</v>
      </c>
      <c r="IN246" s="203"/>
      <c r="IO246" s="205"/>
      <c r="IP246" s="204"/>
      <c r="IQ246" s="208">
        <f t="shared" si="692"/>
        <v>0</v>
      </c>
      <c r="IR246" s="203"/>
      <c r="IS246" s="205"/>
      <c r="IT246" s="205"/>
      <c r="IU246" s="205"/>
      <c r="IV246" s="204"/>
      <c r="IW246" s="208">
        <f t="shared" si="693"/>
        <v>0</v>
      </c>
      <c r="IX246" s="203"/>
      <c r="IY246" s="205"/>
      <c r="IZ246" s="205"/>
      <c r="JA246" s="205"/>
      <c r="JB246" s="204"/>
      <c r="JC246" s="208">
        <f t="shared" si="694"/>
        <v>0</v>
      </c>
      <c r="JD246" s="208">
        <f t="shared" si="623"/>
        <v>0</v>
      </c>
      <c r="JE246" s="203"/>
      <c r="JF246" s="205"/>
      <c r="JG246" s="205"/>
      <c r="JH246" s="205"/>
      <c r="JI246" s="204"/>
      <c r="JJ246" s="208">
        <f t="shared" si="695"/>
        <v>0</v>
      </c>
      <c r="JK246" s="203"/>
      <c r="JL246" s="205"/>
      <c r="JM246" s="205"/>
      <c r="JN246" s="205"/>
      <c r="JO246" s="204"/>
      <c r="JP246" s="208">
        <f t="shared" si="696"/>
        <v>0</v>
      </c>
      <c r="JQ246" s="203"/>
      <c r="JR246" s="205"/>
      <c r="JS246" s="205"/>
      <c r="JT246" s="205"/>
      <c r="JU246" s="204"/>
      <c r="JV246" s="208">
        <f t="shared" si="697"/>
        <v>0</v>
      </c>
      <c r="JW246" s="203"/>
      <c r="JX246" s="205"/>
      <c r="JY246" s="205"/>
      <c r="JZ246" s="205"/>
      <c r="KA246" s="205"/>
      <c r="KB246" s="204"/>
      <c r="KC246" s="208">
        <f t="shared" si="698"/>
        <v>0</v>
      </c>
      <c r="KD246" s="208">
        <f t="shared" si="699"/>
        <v>0</v>
      </c>
      <c r="KE246" s="203"/>
      <c r="KF246" s="205"/>
      <c r="KG246" s="205"/>
      <c r="KH246" s="205"/>
      <c r="KI246" s="204"/>
      <c r="KJ246" s="208">
        <f t="shared" si="700"/>
        <v>0</v>
      </c>
      <c r="KK246" s="203"/>
      <c r="KL246" s="205"/>
      <c r="KM246" s="205"/>
      <c r="KN246" s="205"/>
      <c r="KO246" s="204"/>
      <c r="KP246" s="208">
        <f t="shared" si="701"/>
        <v>0</v>
      </c>
      <c r="KQ246" s="203"/>
      <c r="KR246" s="205"/>
      <c r="KS246" s="205"/>
      <c r="KT246" s="205"/>
      <c r="KU246" s="204"/>
      <c r="KV246" s="208">
        <f t="shared" si="702"/>
        <v>0</v>
      </c>
      <c r="KW246" s="202"/>
      <c r="KX246" s="244"/>
      <c r="KY246" s="244"/>
      <c r="KZ246" s="244"/>
      <c r="LA246" s="245"/>
      <c r="LB246" s="208">
        <f t="shared" si="703"/>
        <v>0</v>
      </c>
      <c r="LC246" s="202"/>
      <c r="LD246" s="244"/>
      <c r="LE246" s="245"/>
      <c r="LF246" s="208">
        <f t="shared" si="704"/>
        <v>0</v>
      </c>
      <c r="LG246" s="208">
        <f t="shared" si="705"/>
        <v>0</v>
      </c>
    </row>
    <row r="247" spans="2:322" s="91" customFormat="1">
      <c r="B247" s="167" t="s">
        <v>171</v>
      </c>
      <c r="C247" s="167"/>
      <c r="D247" s="202">
        <f t="shared" si="612"/>
        <v>0</v>
      </c>
      <c r="E247" s="167"/>
      <c r="F247" s="177">
        <v>2517.5169999999998</v>
      </c>
      <c r="G247" s="177"/>
      <c r="H247" s="177"/>
      <c r="I247" s="178"/>
      <c r="J247" s="202">
        <f t="shared" si="624"/>
        <v>2517.5169999999998</v>
      </c>
      <c r="K247" s="167"/>
      <c r="L247" s="177"/>
      <c r="M247" s="177"/>
      <c r="N247" s="178"/>
      <c r="O247" s="202">
        <f t="shared" si="625"/>
        <v>0</v>
      </c>
      <c r="P247" s="167"/>
      <c r="Q247" s="177"/>
      <c r="R247" s="177"/>
      <c r="S247" s="177"/>
      <c r="T247" s="178"/>
      <c r="U247" s="202">
        <f t="shared" si="626"/>
        <v>0</v>
      </c>
      <c r="V247" s="167"/>
      <c r="W247" s="177"/>
      <c r="X247" s="177"/>
      <c r="Y247" s="177"/>
      <c r="Z247" s="177"/>
      <c r="AA247" s="202">
        <f t="shared" si="627"/>
        <v>0</v>
      </c>
      <c r="AB247" s="208">
        <f t="shared" si="628"/>
        <v>2517.5169999999998</v>
      </c>
      <c r="AC247" s="203"/>
      <c r="AD247" s="205"/>
      <c r="AE247" s="205"/>
      <c r="AF247" s="205"/>
      <c r="AG247" s="204"/>
      <c r="AH247" s="208">
        <f t="shared" si="706"/>
        <v>0</v>
      </c>
      <c r="AI247" s="203"/>
      <c r="AJ247" s="205"/>
      <c r="AK247" s="205"/>
      <c r="AL247" s="205"/>
      <c r="AM247" s="204"/>
      <c r="AN247" s="208">
        <f t="shared" si="630"/>
        <v>0</v>
      </c>
      <c r="AO247" s="203"/>
      <c r="AP247" s="205"/>
      <c r="AQ247" s="205"/>
      <c r="AR247" s="205"/>
      <c r="AS247" s="204"/>
      <c r="AT247" s="208">
        <f t="shared" si="707"/>
        <v>0</v>
      </c>
      <c r="AU247" s="203"/>
      <c r="AV247" s="205"/>
      <c r="AW247" s="205"/>
      <c r="AX247" s="205"/>
      <c r="AY247" s="204"/>
      <c r="AZ247" s="208">
        <f t="shared" si="632"/>
        <v>0</v>
      </c>
      <c r="BA247" s="208">
        <f t="shared" si="708"/>
        <v>0</v>
      </c>
      <c r="BB247" s="203"/>
      <c r="BC247" s="205"/>
      <c r="BD247" s="205"/>
      <c r="BE247" s="205"/>
      <c r="BF247" s="204"/>
      <c r="BG247" s="208">
        <f t="shared" si="634"/>
        <v>0</v>
      </c>
      <c r="BH247" s="203"/>
      <c r="BI247" s="205"/>
      <c r="BJ247" s="205"/>
      <c r="BK247" s="205"/>
      <c r="BL247" s="204"/>
      <c r="BM247" s="208">
        <f t="shared" si="635"/>
        <v>0</v>
      </c>
      <c r="BN247" s="203"/>
      <c r="BO247" s="205"/>
      <c r="BP247" s="205"/>
      <c r="BQ247" s="204"/>
      <c r="BR247" s="208">
        <f t="shared" si="636"/>
        <v>0</v>
      </c>
      <c r="BS247" s="203"/>
      <c r="BT247" s="205"/>
      <c r="BU247" s="205"/>
      <c r="BV247" s="205"/>
      <c r="BW247" s="204"/>
      <c r="BX247" s="208">
        <f t="shared" si="637"/>
        <v>0</v>
      </c>
      <c r="BY247" s="203"/>
      <c r="BZ247" s="205"/>
      <c r="CA247" s="208">
        <f t="shared" si="638"/>
        <v>0</v>
      </c>
      <c r="CB247" s="208">
        <f t="shared" si="639"/>
        <v>0</v>
      </c>
      <c r="CC247" s="203"/>
      <c r="CD247" s="205"/>
      <c r="CE247" s="205"/>
      <c r="CF247" s="208">
        <f t="shared" si="613"/>
        <v>0</v>
      </c>
      <c r="CG247" s="203">
        <v>2431.69</v>
      </c>
      <c r="CH247" s="205"/>
      <c r="CI247" s="205"/>
      <c r="CJ247" s="204"/>
      <c r="CK247" s="208">
        <f t="shared" si="679"/>
        <v>2431.69</v>
      </c>
      <c r="CL247" s="203"/>
      <c r="CM247" s="205"/>
      <c r="CN247" s="205"/>
      <c r="CO247" s="205"/>
      <c r="CP247" s="204"/>
      <c r="CQ247" s="208">
        <f t="shared" si="641"/>
        <v>0</v>
      </c>
      <c r="CR247" s="203"/>
      <c r="CS247" s="205"/>
      <c r="CT247" s="205"/>
      <c r="CU247" s="205"/>
      <c r="CV247" s="204"/>
      <c r="CW247" s="208">
        <f t="shared" si="680"/>
        <v>0</v>
      </c>
      <c r="CX247" s="203"/>
      <c r="CY247" s="205"/>
      <c r="CZ247" s="205"/>
      <c r="DA247" s="204"/>
      <c r="DB247" s="208">
        <f t="shared" si="643"/>
        <v>0</v>
      </c>
      <c r="DC247" s="208">
        <f t="shared" si="681"/>
        <v>2431.69</v>
      </c>
      <c r="DD247" s="203"/>
      <c r="DE247" s="205"/>
      <c r="DF247" s="205"/>
      <c r="DG247" s="205"/>
      <c r="DH247" s="205"/>
      <c r="DI247" s="208">
        <f t="shared" si="615"/>
        <v>0</v>
      </c>
      <c r="DJ247" s="203"/>
      <c r="DK247" s="205"/>
      <c r="DL247" s="205"/>
      <c r="DM247" s="205"/>
      <c r="DN247" s="204"/>
      <c r="DO247" s="208">
        <f t="shared" si="682"/>
        <v>0</v>
      </c>
      <c r="DP247" s="203"/>
      <c r="DQ247" s="205"/>
      <c r="DR247" s="205"/>
      <c r="DS247" s="205"/>
      <c r="DT247" s="204"/>
      <c r="DU247" s="208">
        <f t="shared" si="645"/>
        <v>0</v>
      </c>
      <c r="DV247" s="203"/>
      <c r="DW247" s="205"/>
      <c r="DX247" s="205"/>
      <c r="DY247" s="205"/>
      <c r="DZ247" s="204"/>
      <c r="EA247" s="208">
        <f t="shared" si="646"/>
        <v>0</v>
      </c>
      <c r="EB247" s="208">
        <f t="shared" si="647"/>
        <v>0</v>
      </c>
      <c r="EC247" s="203"/>
      <c r="ED247" s="205"/>
      <c r="EE247" s="205"/>
      <c r="EF247" s="205"/>
      <c r="EG247" s="204"/>
      <c r="EH247" s="208">
        <f t="shared" si="683"/>
        <v>0</v>
      </c>
      <c r="EI247" s="203"/>
      <c r="EJ247" s="205"/>
      <c r="EK247" s="205"/>
      <c r="EL247" s="205"/>
      <c r="EM247" s="204"/>
      <c r="EN247" s="208">
        <f t="shared" si="684"/>
        <v>0</v>
      </c>
      <c r="EO247" s="203"/>
      <c r="EP247" s="205"/>
      <c r="EQ247" s="205"/>
      <c r="ER247" s="205"/>
      <c r="ES247" s="204"/>
      <c r="ET247" s="208">
        <f t="shared" si="685"/>
        <v>0</v>
      </c>
      <c r="EU247" s="203"/>
      <c r="EV247" s="205"/>
      <c r="EW247" s="205"/>
      <c r="EX247" s="205"/>
      <c r="EY247" s="205"/>
      <c r="EZ247" s="205"/>
      <c r="FA247" s="204"/>
      <c r="FB247" s="208">
        <f t="shared" si="651"/>
        <v>0</v>
      </c>
      <c r="FC247" s="208">
        <f t="shared" si="686"/>
        <v>0</v>
      </c>
      <c r="FD247" s="203"/>
      <c r="FE247" s="205"/>
      <c r="FF247" s="204"/>
      <c r="FG247" s="208">
        <f t="shared" si="653"/>
        <v>0</v>
      </c>
      <c r="FH247" s="203">
        <v>3482.0390000000002</v>
      </c>
      <c r="FI247" s="205"/>
      <c r="FJ247" s="205"/>
      <c r="FK247" s="205"/>
      <c r="FL247" s="204"/>
      <c r="FM247" s="208">
        <f t="shared" si="654"/>
        <v>3482.0390000000002</v>
      </c>
      <c r="FN247" s="203"/>
      <c r="FO247" s="205"/>
      <c r="FP247" s="205"/>
      <c r="FQ247" s="205"/>
      <c r="FR247" s="208">
        <f t="shared" si="616"/>
        <v>0</v>
      </c>
      <c r="FS247" s="203"/>
      <c r="FT247" s="205"/>
      <c r="FU247" s="205"/>
      <c r="FV247" s="205"/>
      <c r="FW247" s="204"/>
      <c r="FX247" s="208">
        <f t="shared" si="655"/>
        <v>0</v>
      </c>
      <c r="FY247" s="203"/>
      <c r="FZ247" s="205"/>
      <c r="GA247" s="205"/>
      <c r="GB247" s="205"/>
      <c r="GC247" s="204"/>
      <c r="GD247" s="208">
        <f t="shared" si="656"/>
        <v>0</v>
      </c>
      <c r="GE247" s="208">
        <f t="shared" si="617"/>
        <v>3482.0390000000002</v>
      </c>
      <c r="GF247" s="203"/>
      <c r="GG247" s="205"/>
      <c r="GH247" s="205"/>
      <c r="GI247" s="205"/>
      <c r="GJ247" s="205"/>
      <c r="GK247" s="208">
        <f t="shared" si="618"/>
        <v>0</v>
      </c>
      <c r="GL247" s="203"/>
      <c r="GM247" s="205"/>
      <c r="GN247" s="205"/>
      <c r="GO247" s="204"/>
      <c r="GP247" s="208">
        <f t="shared" si="657"/>
        <v>0</v>
      </c>
      <c r="GQ247" s="203"/>
      <c r="GR247" s="205"/>
      <c r="GS247" s="205"/>
      <c r="GT247" s="205"/>
      <c r="GU247" s="204"/>
      <c r="GV247" s="208">
        <f t="shared" si="658"/>
        <v>0</v>
      </c>
      <c r="GW247" s="203"/>
      <c r="GX247" s="205"/>
      <c r="GY247" s="205"/>
      <c r="GZ247" s="205"/>
      <c r="HA247" s="205"/>
      <c r="HB247" s="204"/>
      <c r="HC247" s="208">
        <f t="shared" si="659"/>
        <v>0</v>
      </c>
      <c r="HD247" s="208">
        <f t="shared" si="619"/>
        <v>0</v>
      </c>
      <c r="HE247" s="203"/>
      <c r="HF247" s="205"/>
      <c r="HG247" s="205"/>
      <c r="HH247" s="205"/>
      <c r="HI247" s="208">
        <f t="shared" si="620"/>
        <v>0</v>
      </c>
      <c r="HJ247" s="203"/>
      <c r="HK247" s="205"/>
      <c r="HL247" s="205"/>
      <c r="HM247" s="205"/>
      <c r="HN247" s="204"/>
      <c r="HO247" s="208">
        <f t="shared" si="687"/>
        <v>0</v>
      </c>
      <c r="HP247" s="203"/>
      <c r="HQ247" s="205"/>
      <c r="HR247" s="205"/>
      <c r="HS247" s="205"/>
      <c r="HT247" s="204"/>
      <c r="HU247" s="208">
        <f t="shared" si="688"/>
        <v>0</v>
      </c>
      <c r="HV247" s="203"/>
      <c r="HW247" s="205"/>
      <c r="HX247" s="205"/>
      <c r="HY247" s="208">
        <f t="shared" si="621"/>
        <v>0</v>
      </c>
      <c r="HZ247" s="203"/>
      <c r="IA247" s="205"/>
      <c r="IB247" s="204"/>
      <c r="IC247" s="208">
        <f t="shared" si="689"/>
        <v>0</v>
      </c>
      <c r="ID247" s="208">
        <f t="shared" si="622"/>
        <v>0</v>
      </c>
      <c r="IE247" s="203"/>
      <c r="IF247" s="204"/>
      <c r="IG247" s="208">
        <f t="shared" si="690"/>
        <v>0</v>
      </c>
      <c r="IH247" s="203">
        <v>2807.7840000000001</v>
      </c>
      <c r="II247" s="205"/>
      <c r="IJ247" s="205"/>
      <c r="IK247" s="205"/>
      <c r="IL247" s="204"/>
      <c r="IM247" s="208">
        <f t="shared" si="691"/>
        <v>2807.7840000000001</v>
      </c>
      <c r="IN247" s="203"/>
      <c r="IO247" s="205"/>
      <c r="IP247" s="204"/>
      <c r="IQ247" s="208">
        <f t="shared" si="692"/>
        <v>0</v>
      </c>
      <c r="IR247" s="203"/>
      <c r="IS247" s="205"/>
      <c r="IT247" s="205"/>
      <c r="IU247" s="205"/>
      <c r="IV247" s="204"/>
      <c r="IW247" s="208">
        <f t="shared" si="693"/>
        <v>0</v>
      </c>
      <c r="IX247" s="203"/>
      <c r="IY247" s="205"/>
      <c r="IZ247" s="205"/>
      <c r="JA247" s="205"/>
      <c r="JB247" s="204"/>
      <c r="JC247" s="208">
        <f t="shared" si="694"/>
        <v>0</v>
      </c>
      <c r="JD247" s="208">
        <f t="shared" si="623"/>
        <v>2807.7840000000001</v>
      </c>
      <c r="JE247" s="203"/>
      <c r="JF247" s="205"/>
      <c r="JG247" s="205"/>
      <c r="JH247" s="205"/>
      <c r="JI247" s="204"/>
      <c r="JJ247" s="208">
        <f t="shared" si="695"/>
        <v>0</v>
      </c>
      <c r="JK247" s="203"/>
      <c r="JL247" s="205"/>
      <c r="JM247" s="205"/>
      <c r="JN247" s="205"/>
      <c r="JO247" s="204"/>
      <c r="JP247" s="208">
        <f t="shared" si="696"/>
        <v>0</v>
      </c>
      <c r="JQ247" s="203"/>
      <c r="JR247" s="205"/>
      <c r="JS247" s="205"/>
      <c r="JT247" s="205"/>
      <c r="JU247" s="204"/>
      <c r="JV247" s="208">
        <f t="shared" si="697"/>
        <v>0</v>
      </c>
      <c r="JW247" s="203"/>
      <c r="JX247" s="205"/>
      <c r="JY247" s="205"/>
      <c r="JZ247" s="205"/>
      <c r="KA247" s="205"/>
      <c r="KB247" s="204"/>
      <c r="KC247" s="208">
        <f t="shared" si="698"/>
        <v>0</v>
      </c>
      <c r="KD247" s="208">
        <f t="shared" si="699"/>
        <v>0</v>
      </c>
      <c r="KE247" s="203"/>
      <c r="KF247" s="205"/>
      <c r="KG247" s="205"/>
      <c r="KH247" s="205"/>
      <c r="KI247" s="204"/>
      <c r="KJ247" s="208">
        <f t="shared" si="700"/>
        <v>0</v>
      </c>
      <c r="KK247" s="203"/>
      <c r="KL247" s="205"/>
      <c r="KM247" s="205"/>
      <c r="KN247" s="205"/>
      <c r="KO247" s="204"/>
      <c r="KP247" s="208">
        <f t="shared" si="701"/>
        <v>0</v>
      </c>
      <c r="KQ247" s="203"/>
      <c r="KR247" s="205"/>
      <c r="KS247" s="205"/>
      <c r="KT247" s="205"/>
      <c r="KU247" s="204"/>
      <c r="KV247" s="208">
        <f t="shared" si="702"/>
        <v>0</v>
      </c>
      <c r="KW247" s="202"/>
      <c r="KX247" s="244"/>
      <c r="KY247" s="244"/>
      <c r="KZ247" s="244"/>
      <c r="LA247" s="245"/>
      <c r="LB247" s="208">
        <f t="shared" si="703"/>
        <v>0</v>
      </c>
      <c r="LC247" s="202"/>
      <c r="LD247" s="244"/>
      <c r="LE247" s="245"/>
      <c r="LF247" s="208">
        <f t="shared" si="704"/>
        <v>0</v>
      </c>
      <c r="LG247" s="208">
        <f t="shared" si="705"/>
        <v>0</v>
      </c>
    </row>
    <row r="248" spans="2:322" s="91" customFormat="1">
      <c r="B248" s="93" t="s">
        <v>386</v>
      </c>
      <c r="C248" s="167"/>
      <c r="D248" s="202">
        <f t="shared" si="612"/>
        <v>0</v>
      </c>
      <c r="E248" s="167"/>
      <c r="F248" s="177">
        <v>33.197000000000003</v>
      </c>
      <c r="G248" s="177"/>
      <c r="H248" s="177"/>
      <c r="I248" s="178"/>
      <c r="J248" s="202">
        <f t="shared" si="624"/>
        <v>33.197000000000003</v>
      </c>
      <c r="K248" s="167"/>
      <c r="L248" s="177"/>
      <c r="M248" s="177"/>
      <c r="N248" s="178"/>
      <c r="O248" s="202"/>
      <c r="P248" s="167"/>
      <c r="Q248" s="177"/>
      <c r="R248" s="177"/>
      <c r="S248" s="177"/>
      <c r="T248" s="178"/>
      <c r="U248" s="202">
        <f t="shared" si="626"/>
        <v>0</v>
      </c>
      <c r="V248" s="167"/>
      <c r="W248" s="177"/>
      <c r="X248" s="177"/>
      <c r="Y248" s="177"/>
      <c r="Z248" s="177"/>
      <c r="AA248" s="202">
        <f t="shared" si="627"/>
        <v>0</v>
      </c>
      <c r="AB248" s="208">
        <f t="shared" si="628"/>
        <v>33.197000000000003</v>
      </c>
      <c r="AC248" s="203"/>
      <c r="AD248" s="205"/>
      <c r="AE248" s="205"/>
      <c r="AF248" s="205"/>
      <c r="AG248" s="204"/>
      <c r="AH248" s="208">
        <f t="shared" si="706"/>
        <v>0</v>
      </c>
      <c r="AI248" s="203"/>
      <c r="AJ248" s="205"/>
      <c r="AK248" s="205"/>
      <c r="AL248" s="205"/>
      <c r="AM248" s="204"/>
      <c r="AN248" s="208">
        <f t="shared" si="630"/>
        <v>0</v>
      </c>
      <c r="AO248" s="203"/>
      <c r="AP248" s="205"/>
      <c r="AQ248" s="205"/>
      <c r="AR248" s="205"/>
      <c r="AS248" s="204"/>
      <c r="AT248" s="208">
        <f t="shared" si="707"/>
        <v>0</v>
      </c>
      <c r="AU248" s="203"/>
      <c r="AV248" s="205"/>
      <c r="AW248" s="205"/>
      <c r="AX248" s="205"/>
      <c r="AY248" s="204"/>
      <c r="AZ248" s="208">
        <f t="shared" si="632"/>
        <v>0</v>
      </c>
      <c r="BA248" s="208">
        <f t="shared" si="708"/>
        <v>0</v>
      </c>
      <c r="BB248" s="203"/>
      <c r="BC248" s="205"/>
      <c r="BD248" s="205"/>
      <c r="BE248" s="205"/>
      <c r="BF248" s="204"/>
      <c r="BG248" s="208">
        <f t="shared" si="634"/>
        <v>0</v>
      </c>
      <c r="BH248" s="203"/>
      <c r="BI248" s="205"/>
      <c r="BJ248" s="205"/>
      <c r="BK248" s="205"/>
      <c r="BL248" s="204"/>
      <c r="BM248" s="208">
        <f t="shared" si="635"/>
        <v>0</v>
      </c>
      <c r="BN248" s="203"/>
      <c r="BO248" s="205"/>
      <c r="BP248" s="205"/>
      <c r="BQ248" s="204"/>
      <c r="BR248" s="208">
        <f t="shared" si="636"/>
        <v>0</v>
      </c>
      <c r="BS248" s="203"/>
      <c r="BT248" s="205"/>
      <c r="BU248" s="205"/>
      <c r="BV248" s="205"/>
      <c r="BW248" s="204"/>
      <c r="BX248" s="208">
        <f t="shared" si="637"/>
        <v>0</v>
      </c>
      <c r="BY248" s="203"/>
      <c r="BZ248" s="205"/>
      <c r="CA248" s="208">
        <f t="shared" si="638"/>
        <v>0</v>
      </c>
      <c r="CB248" s="208">
        <f t="shared" si="639"/>
        <v>0</v>
      </c>
      <c r="CC248" s="203"/>
      <c r="CD248" s="205"/>
      <c r="CE248" s="205"/>
      <c r="CF248" s="208">
        <f t="shared" si="613"/>
        <v>0</v>
      </c>
      <c r="CG248" s="203">
        <v>30.872</v>
      </c>
      <c r="CH248" s="205"/>
      <c r="CI248" s="205"/>
      <c r="CJ248" s="204"/>
      <c r="CK248" s="208">
        <f t="shared" si="679"/>
        <v>30.872</v>
      </c>
      <c r="CL248" s="203"/>
      <c r="CM248" s="205"/>
      <c r="CN248" s="205"/>
      <c r="CO248" s="205"/>
      <c r="CP248" s="204"/>
      <c r="CQ248" s="208">
        <f t="shared" si="641"/>
        <v>0</v>
      </c>
      <c r="CR248" s="203"/>
      <c r="CS248" s="205"/>
      <c r="CT248" s="205"/>
      <c r="CU248" s="205"/>
      <c r="CV248" s="204"/>
      <c r="CW248" s="208">
        <f t="shared" si="680"/>
        <v>0</v>
      </c>
      <c r="CX248" s="203"/>
      <c r="CY248" s="205"/>
      <c r="CZ248" s="205"/>
      <c r="DA248" s="204"/>
      <c r="DB248" s="208">
        <f t="shared" si="643"/>
        <v>0</v>
      </c>
      <c r="DC248" s="208">
        <f t="shared" si="681"/>
        <v>30.872</v>
      </c>
      <c r="DD248" s="203"/>
      <c r="DE248" s="205"/>
      <c r="DF248" s="205"/>
      <c r="DG248" s="205"/>
      <c r="DH248" s="205"/>
      <c r="DI248" s="208">
        <f t="shared" si="615"/>
        <v>0</v>
      </c>
      <c r="DJ248" s="203"/>
      <c r="DK248" s="205"/>
      <c r="DL248" s="205"/>
      <c r="DM248" s="205"/>
      <c r="DN248" s="204"/>
      <c r="DO248" s="208">
        <f t="shared" si="682"/>
        <v>0</v>
      </c>
      <c r="DP248" s="203"/>
      <c r="DQ248" s="205"/>
      <c r="DR248" s="205"/>
      <c r="DS248" s="205"/>
      <c r="DT248" s="204"/>
      <c r="DU248" s="208">
        <f t="shared" si="645"/>
        <v>0</v>
      </c>
      <c r="DV248" s="203"/>
      <c r="DW248" s="205"/>
      <c r="DX248" s="205"/>
      <c r="DY248" s="205"/>
      <c r="DZ248" s="204"/>
      <c r="EA248" s="208">
        <f t="shared" si="646"/>
        <v>0</v>
      </c>
      <c r="EB248" s="208">
        <f t="shared" si="647"/>
        <v>0</v>
      </c>
      <c r="EC248" s="203"/>
      <c r="ED248" s="205"/>
      <c r="EE248" s="205"/>
      <c r="EF248" s="205"/>
      <c r="EG248" s="204"/>
      <c r="EH248" s="208">
        <f t="shared" si="683"/>
        <v>0</v>
      </c>
      <c r="EI248" s="203"/>
      <c r="EJ248" s="205"/>
      <c r="EK248" s="205"/>
      <c r="EL248" s="205"/>
      <c r="EM248" s="204"/>
      <c r="EN248" s="208">
        <f t="shared" si="684"/>
        <v>0</v>
      </c>
      <c r="EO248" s="203"/>
      <c r="EP248" s="205"/>
      <c r="EQ248" s="205"/>
      <c r="ER248" s="205"/>
      <c r="ES248" s="204"/>
      <c r="ET248" s="208">
        <f t="shared" si="685"/>
        <v>0</v>
      </c>
      <c r="EU248" s="203"/>
      <c r="EV248" s="205"/>
      <c r="EW248" s="205"/>
      <c r="EX248" s="205"/>
      <c r="EY248" s="205"/>
      <c r="EZ248" s="205"/>
      <c r="FA248" s="204"/>
      <c r="FB248" s="208">
        <f t="shared" si="651"/>
        <v>0</v>
      </c>
      <c r="FC248" s="208">
        <f t="shared" si="686"/>
        <v>0</v>
      </c>
      <c r="FD248" s="203"/>
      <c r="FE248" s="205"/>
      <c r="FF248" s="204"/>
      <c r="FG248" s="208">
        <f t="shared" si="653"/>
        <v>0</v>
      </c>
      <c r="FH248" s="203">
        <v>129.47999999999999</v>
      </c>
      <c r="FI248" s="205"/>
      <c r="FJ248" s="205"/>
      <c r="FK248" s="205"/>
      <c r="FL248" s="204"/>
      <c r="FM248" s="208">
        <f t="shared" si="654"/>
        <v>129.47999999999999</v>
      </c>
      <c r="FN248" s="203"/>
      <c r="FO248" s="205"/>
      <c r="FP248" s="205"/>
      <c r="FQ248" s="205"/>
      <c r="FR248" s="208">
        <f t="shared" si="616"/>
        <v>0</v>
      </c>
      <c r="FS248" s="203"/>
      <c r="FT248" s="205"/>
      <c r="FU248" s="205"/>
      <c r="FV248" s="205"/>
      <c r="FW248" s="204"/>
      <c r="FX248" s="208">
        <f t="shared" si="655"/>
        <v>0</v>
      </c>
      <c r="FY248" s="203"/>
      <c r="FZ248" s="205"/>
      <c r="GA248" s="205"/>
      <c r="GB248" s="205"/>
      <c r="GC248" s="204"/>
      <c r="GD248" s="208">
        <f t="shared" si="656"/>
        <v>0</v>
      </c>
      <c r="GE248" s="208">
        <f t="shared" si="617"/>
        <v>129.47999999999999</v>
      </c>
      <c r="GF248" s="203"/>
      <c r="GG248" s="205"/>
      <c r="GH248" s="205"/>
      <c r="GI248" s="205"/>
      <c r="GJ248" s="205"/>
      <c r="GK248" s="208">
        <f t="shared" si="618"/>
        <v>0</v>
      </c>
      <c r="GL248" s="203"/>
      <c r="GM248" s="205"/>
      <c r="GN248" s="205"/>
      <c r="GO248" s="204"/>
      <c r="GP248" s="208">
        <f t="shared" si="657"/>
        <v>0</v>
      </c>
      <c r="GQ248" s="203"/>
      <c r="GR248" s="205"/>
      <c r="GS248" s="205"/>
      <c r="GT248" s="205"/>
      <c r="GU248" s="204"/>
      <c r="GV248" s="208">
        <f t="shared" si="658"/>
        <v>0</v>
      </c>
      <c r="GW248" s="203"/>
      <c r="GX248" s="205"/>
      <c r="GY248" s="205"/>
      <c r="GZ248" s="205"/>
      <c r="HA248" s="205"/>
      <c r="HB248" s="204"/>
      <c r="HC248" s="208">
        <f t="shared" si="659"/>
        <v>0</v>
      </c>
      <c r="HD248" s="208">
        <f t="shared" si="619"/>
        <v>0</v>
      </c>
      <c r="HE248" s="203"/>
      <c r="HF248" s="205"/>
      <c r="HG248" s="205"/>
      <c r="HH248" s="205"/>
      <c r="HI248" s="208">
        <f t="shared" si="620"/>
        <v>0</v>
      </c>
      <c r="HJ248" s="203"/>
      <c r="HK248" s="205"/>
      <c r="HL248" s="205"/>
      <c r="HM248" s="205"/>
      <c r="HN248" s="204"/>
      <c r="HO248" s="208">
        <f t="shared" si="687"/>
        <v>0</v>
      </c>
      <c r="HP248" s="203"/>
      <c r="HQ248" s="205"/>
      <c r="HR248" s="205"/>
      <c r="HS248" s="205"/>
      <c r="HT248" s="204"/>
      <c r="HU248" s="208">
        <f t="shared" si="688"/>
        <v>0</v>
      </c>
      <c r="HV248" s="203"/>
      <c r="HW248" s="205"/>
      <c r="HX248" s="205"/>
      <c r="HY248" s="208">
        <f t="shared" si="621"/>
        <v>0</v>
      </c>
      <c r="HZ248" s="203"/>
      <c r="IA248" s="205"/>
      <c r="IB248" s="204"/>
      <c r="IC248" s="208">
        <f t="shared" si="689"/>
        <v>0</v>
      </c>
      <c r="ID248" s="208">
        <f t="shared" si="622"/>
        <v>0</v>
      </c>
      <c r="IE248" s="203"/>
      <c r="IF248" s="204"/>
      <c r="IG248" s="208">
        <f t="shared" si="690"/>
        <v>0</v>
      </c>
      <c r="IH248" s="203">
        <v>71.432000000000002</v>
      </c>
      <c r="II248" s="205"/>
      <c r="IJ248" s="205"/>
      <c r="IK248" s="205"/>
      <c r="IL248" s="204"/>
      <c r="IM248" s="208">
        <f t="shared" si="691"/>
        <v>71.432000000000002</v>
      </c>
      <c r="IN248" s="203"/>
      <c r="IO248" s="205"/>
      <c r="IP248" s="204"/>
      <c r="IQ248" s="208">
        <f t="shared" si="692"/>
        <v>0</v>
      </c>
      <c r="IR248" s="203"/>
      <c r="IS248" s="205"/>
      <c r="IT248" s="205"/>
      <c r="IU248" s="205"/>
      <c r="IV248" s="204"/>
      <c r="IW248" s="208">
        <f t="shared" si="693"/>
        <v>0</v>
      </c>
      <c r="IX248" s="203"/>
      <c r="IY248" s="205"/>
      <c r="IZ248" s="205"/>
      <c r="JA248" s="205"/>
      <c r="JB248" s="204"/>
      <c r="JC248" s="208">
        <f t="shared" si="694"/>
        <v>0</v>
      </c>
      <c r="JD248" s="208">
        <f t="shared" si="623"/>
        <v>71.432000000000002</v>
      </c>
      <c r="JE248" s="203"/>
      <c r="JF248" s="205"/>
      <c r="JG248" s="205"/>
      <c r="JH248" s="205"/>
      <c r="JI248" s="204"/>
      <c r="JJ248" s="208">
        <f t="shared" si="695"/>
        <v>0</v>
      </c>
      <c r="JK248" s="203"/>
      <c r="JL248" s="205"/>
      <c r="JM248" s="205"/>
      <c r="JN248" s="205"/>
      <c r="JO248" s="204"/>
      <c r="JP248" s="208">
        <f t="shared" si="696"/>
        <v>0</v>
      </c>
      <c r="JQ248" s="203"/>
      <c r="JR248" s="205"/>
      <c r="JS248" s="205"/>
      <c r="JT248" s="205"/>
      <c r="JU248" s="204"/>
      <c r="JV248" s="208">
        <f t="shared" si="697"/>
        <v>0</v>
      </c>
      <c r="JW248" s="203"/>
      <c r="JX248" s="205"/>
      <c r="JY248" s="205"/>
      <c r="JZ248" s="205"/>
      <c r="KA248" s="205"/>
      <c r="KB248" s="204"/>
      <c r="KC248" s="208">
        <f t="shared" si="698"/>
        <v>0</v>
      </c>
      <c r="KD248" s="208">
        <f t="shared" si="699"/>
        <v>0</v>
      </c>
      <c r="KE248" s="203"/>
      <c r="KF248" s="205"/>
      <c r="KG248" s="205"/>
      <c r="KH248" s="205"/>
      <c r="KI248" s="204"/>
      <c r="KJ248" s="208">
        <f t="shared" si="700"/>
        <v>0</v>
      </c>
      <c r="KK248" s="203"/>
      <c r="KL248" s="205"/>
      <c r="KM248" s="205"/>
      <c r="KN248" s="205"/>
      <c r="KO248" s="204"/>
      <c r="KP248" s="208">
        <f t="shared" si="701"/>
        <v>0</v>
      </c>
      <c r="KQ248" s="203"/>
      <c r="KR248" s="205"/>
      <c r="KS248" s="205"/>
      <c r="KT248" s="205"/>
      <c r="KU248" s="204"/>
      <c r="KV248" s="208">
        <f t="shared" si="702"/>
        <v>0</v>
      </c>
      <c r="KW248" s="202"/>
      <c r="KX248" s="244"/>
      <c r="KY248" s="244"/>
      <c r="KZ248" s="244"/>
      <c r="LA248" s="245"/>
      <c r="LB248" s="208">
        <f t="shared" si="703"/>
        <v>0</v>
      </c>
      <c r="LC248" s="202"/>
      <c r="LD248" s="244"/>
      <c r="LE248" s="245"/>
      <c r="LF248" s="208">
        <f t="shared" si="704"/>
        <v>0</v>
      </c>
      <c r="LG248" s="208">
        <f t="shared" si="705"/>
        <v>0</v>
      </c>
    </row>
    <row r="249" spans="2:322">
      <c r="B249" s="93" t="s">
        <v>115</v>
      </c>
      <c r="C249" s="167">
        <v>1.18</v>
      </c>
      <c r="D249" s="202">
        <f t="shared" si="612"/>
        <v>1.18</v>
      </c>
      <c r="E249" s="167"/>
      <c r="F249" s="177"/>
      <c r="G249" s="177"/>
      <c r="H249" s="177"/>
      <c r="I249" s="178"/>
      <c r="J249" s="202">
        <f t="shared" si="624"/>
        <v>0</v>
      </c>
      <c r="K249" s="167"/>
      <c r="L249" s="177"/>
      <c r="M249" s="177"/>
      <c r="N249" s="178"/>
      <c r="O249" s="202">
        <f t="shared" si="625"/>
        <v>0</v>
      </c>
      <c r="P249" s="167"/>
      <c r="Q249" s="177"/>
      <c r="R249" s="177"/>
      <c r="S249" s="177"/>
      <c r="T249" s="178"/>
      <c r="U249" s="202">
        <f t="shared" si="626"/>
        <v>0</v>
      </c>
      <c r="V249" s="167"/>
      <c r="W249" s="177"/>
      <c r="X249" s="177"/>
      <c r="Y249" s="177"/>
      <c r="Z249" s="178">
        <v>0.94399999999999995</v>
      </c>
      <c r="AA249" s="202">
        <f t="shared" si="627"/>
        <v>0.94399999999999995</v>
      </c>
      <c r="AB249" s="208">
        <f t="shared" si="628"/>
        <v>2.1239999999999997</v>
      </c>
      <c r="AC249" s="203"/>
      <c r="AD249" s="205"/>
      <c r="AE249" s="205"/>
      <c r="AF249" s="205"/>
      <c r="AG249" s="204"/>
      <c r="AH249" s="208">
        <f t="shared" si="706"/>
        <v>0</v>
      </c>
      <c r="AI249" s="203"/>
      <c r="AJ249" s="205"/>
      <c r="AK249" s="205"/>
      <c r="AL249" s="205"/>
      <c r="AM249" s="204"/>
      <c r="AN249" s="208">
        <f t="shared" si="630"/>
        <v>0</v>
      </c>
      <c r="AO249" s="203"/>
      <c r="AP249" s="205"/>
      <c r="AQ249" s="205"/>
      <c r="AR249" s="205"/>
      <c r="AS249" s="204"/>
      <c r="AT249" s="208">
        <f t="shared" si="707"/>
        <v>0</v>
      </c>
      <c r="AU249" s="203"/>
      <c r="AV249" s="205"/>
      <c r="AW249" s="205"/>
      <c r="AX249" s="205"/>
      <c r="AY249" s="204"/>
      <c r="AZ249" s="208">
        <f t="shared" si="632"/>
        <v>0</v>
      </c>
      <c r="BA249" s="208">
        <f t="shared" si="708"/>
        <v>0</v>
      </c>
      <c r="BB249" s="203">
        <v>0.94399999999999995</v>
      </c>
      <c r="BC249" s="205"/>
      <c r="BD249" s="205"/>
      <c r="BE249" s="205"/>
      <c r="BF249" s="204"/>
      <c r="BG249" s="208">
        <f t="shared" si="634"/>
        <v>0.94399999999999995</v>
      </c>
      <c r="BH249" s="203"/>
      <c r="BI249" s="205"/>
      <c r="BJ249" s="205"/>
      <c r="BK249" s="205"/>
      <c r="BL249" s="204"/>
      <c r="BM249" s="208">
        <f t="shared" si="635"/>
        <v>0</v>
      </c>
      <c r="BN249" s="203"/>
      <c r="BO249" s="205"/>
      <c r="BP249" s="205"/>
      <c r="BQ249" s="204"/>
      <c r="BR249" s="208">
        <f t="shared" si="636"/>
        <v>0</v>
      </c>
      <c r="BS249" s="203"/>
      <c r="BT249" s="205"/>
      <c r="BU249" s="205"/>
      <c r="BV249" s="205"/>
      <c r="BW249" s="204"/>
      <c r="BX249" s="208">
        <f t="shared" si="637"/>
        <v>0</v>
      </c>
      <c r="BY249" s="203"/>
      <c r="BZ249" s="205"/>
      <c r="CA249" s="208">
        <f t="shared" si="638"/>
        <v>0</v>
      </c>
      <c r="CB249" s="208">
        <f t="shared" si="639"/>
        <v>0.94399999999999995</v>
      </c>
      <c r="CC249" s="203">
        <f>0.944+1.18</f>
        <v>2.1239999999999997</v>
      </c>
      <c r="CD249" s="205"/>
      <c r="CE249" s="205"/>
      <c r="CF249" s="208">
        <f t="shared" si="613"/>
        <v>2.1239999999999997</v>
      </c>
      <c r="CG249" s="203"/>
      <c r="CH249" s="205"/>
      <c r="CI249" s="205"/>
      <c r="CJ249" s="204"/>
      <c r="CK249" s="208">
        <f t="shared" si="679"/>
        <v>0</v>
      </c>
      <c r="CL249" s="203"/>
      <c r="CM249" s="205"/>
      <c r="CN249" s="205"/>
      <c r="CO249" s="205"/>
      <c r="CP249" s="204"/>
      <c r="CQ249" s="208">
        <f t="shared" si="641"/>
        <v>0</v>
      </c>
      <c r="CR249" s="203"/>
      <c r="CS249" s="205"/>
      <c r="CT249" s="205"/>
      <c r="CU249" s="205"/>
      <c r="CV249" s="204"/>
      <c r="CW249" s="208">
        <f t="shared" si="680"/>
        <v>0</v>
      </c>
      <c r="CX249" s="203"/>
      <c r="CY249" s="205"/>
      <c r="CZ249" s="205"/>
      <c r="DA249" s="204">
        <v>0.94399999999999995</v>
      </c>
      <c r="DB249" s="208">
        <f t="shared" si="643"/>
        <v>0.94399999999999995</v>
      </c>
      <c r="DC249" s="208">
        <f t="shared" si="681"/>
        <v>3.0679999999999996</v>
      </c>
      <c r="DD249" s="203">
        <f>0.3+0.054</f>
        <v>0.35399999999999998</v>
      </c>
      <c r="DE249" s="205"/>
      <c r="DF249" s="205"/>
      <c r="DG249" s="205"/>
      <c r="DH249" s="205"/>
      <c r="DI249" s="208">
        <f t="shared" si="615"/>
        <v>0.35399999999999998</v>
      </c>
      <c r="DJ249" s="203"/>
      <c r="DK249" s="205"/>
      <c r="DL249" s="205"/>
      <c r="DM249" s="205"/>
      <c r="DN249" s="204"/>
      <c r="DO249" s="208">
        <f t="shared" si="682"/>
        <v>0</v>
      </c>
      <c r="DP249" s="203"/>
      <c r="DQ249" s="205"/>
      <c r="DR249" s="205"/>
      <c r="DS249" s="205"/>
      <c r="DT249" s="204"/>
      <c r="DU249" s="208">
        <f t="shared" si="645"/>
        <v>0</v>
      </c>
      <c r="DV249" s="203"/>
      <c r="DW249" s="205"/>
      <c r="DX249" s="205"/>
      <c r="DY249" s="205"/>
      <c r="DZ249" s="204"/>
      <c r="EA249" s="208">
        <f t="shared" si="646"/>
        <v>0</v>
      </c>
      <c r="EB249" s="208">
        <f t="shared" si="647"/>
        <v>0.35399999999999998</v>
      </c>
      <c r="EC249" s="203">
        <v>0.94399999999999995</v>
      </c>
      <c r="ED249" s="205"/>
      <c r="EE249" s="205"/>
      <c r="EF249" s="205"/>
      <c r="EG249" s="204"/>
      <c r="EH249" s="208">
        <f t="shared" si="683"/>
        <v>0.94399999999999995</v>
      </c>
      <c r="EI249" s="203"/>
      <c r="EJ249" s="205"/>
      <c r="EK249" s="205"/>
      <c r="EL249" s="205"/>
      <c r="EM249" s="204"/>
      <c r="EN249" s="208">
        <f t="shared" si="684"/>
        <v>0</v>
      </c>
      <c r="EO249" s="203"/>
      <c r="EP249" s="205"/>
      <c r="EQ249" s="205"/>
      <c r="ER249" s="205"/>
      <c r="ES249" s="204"/>
      <c r="ET249" s="208">
        <f t="shared" si="685"/>
        <v>0</v>
      </c>
      <c r="EU249" s="203"/>
      <c r="EV249" s="205"/>
      <c r="EW249" s="205"/>
      <c r="EX249" s="205"/>
      <c r="EY249" s="205"/>
      <c r="EZ249" s="205">
        <v>3.54</v>
      </c>
      <c r="FA249" s="204">
        <v>0.35399999999999998</v>
      </c>
      <c r="FB249" s="208">
        <f t="shared" si="651"/>
        <v>3.8940000000000001</v>
      </c>
      <c r="FC249" s="208">
        <f t="shared" si="686"/>
        <v>4.8380000000000001</v>
      </c>
      <c r="FD249" s="203">
        <f>1.18+0.944</f>
        <v>2.1239999999999997</v>
      </c>
      <c r="FE249" s="205"/>
      <c r="FF249" s="204"/>
      <c r="FG249" s="208">
        <f t="shared" si="653"/>
        <v>2.1239999999999997</v>
      </c>
      <c r="FH249" s="203"/>
      <c r="FI249" s="205"/>
      <c r="FJ249" s="205"/>
      <c r="FK249" s="205"/>
      <c r="FL249" s="204"/>
      <c r="FM249" s="208">
        <f t="shared" si="654"/>
        <v>0</v>
      </c>
      <c r="FN249" s="203"/>
      <c r="FO249" s="205"/>
      <c r="FP249" s="205"/>
      <c r="FQ249" s="205"/>
      <c r="FR249" s="208">
        <f t="shared" si="616"/>
        <v>0</v>
      </c>
      <c r="FS249" s="203"/>
      <c r="FT249" s="205"/>
      <c r="FU249" s="205"/>
      <c r="FV249" s="205"/>
      <c r="FW249" s="204"/>
      <c r="FX249" s="208">
        <f t="shared" si="655"/>
        <v>0</v>
      </c>
      <c r="FY249" s="203"/>
      <c r="FZ249" s="205"/>
      <c r="GA249" s="205"/>
      <c r="GB249" s="205"/>
      <c r="GC249" s="204"/>
      <c r="GD249" s="208">
        <f t="shared" si="656"/>
        <v>0</v>
      </c>
      <c r="GE249" s="208">
        <f t="shared" si="617"/>
        <v>2.1239999999999997</v>
      </c>
      <c r="GF249" s="203"/>
      <c r="GG249" s="205"/>
      <c r="GH249" s="205"/>
      <c r="GI249" s="205"/>
      <c r="GJ249" s="205"/>
      <c r="GK249" s="208">
        <f t="shared" si="618"/>
        <v>0</v>
      </c>
      <c r="GL249" s="203"/>
      <c r="GM249" s="205"/>
      <c r="GN249" s="205"/>
      <c r="GO249" s="204"/>
      <c r="GP249" s="208">
        <f t="shared" si="657"/>
        <v>0</v>
      </c>
      <c r="GQ249" s="203"/>
      <c r="GR249" s="205"/>
      <c r="GS249" s="205"/>
      <c r="GT249" s="205"/>
      <c r="GU249" s="204"/>
      <c r="GV249" s="208">
        <f t="shared" si="658"/>
        <v>0</v>
      </c>
      <c r="GW249" s="203"/>
      <c r="GX249" s="205"/>
      <c r="GY249" s="205"/>
      <c r="GZ249" s="205"/>
      <c r="HA249" s="205"/>
      <c r="HB249" s="204"/>
      <c r="HC249" s="208">
        <f t="shared" si="659"/>
        <v>0</v>
      </c>
      <c r="HD249" s="208">
        <f t="shared" si="619"/>
        <v>0</v>
      </c>
      <c r="HE249" s="203"/>
      <c r="HF249" s="205"/>
      <c r="HG249" s="205"/>
      <c r="HH249" s="205"/>
      <c r="HI249" s="208">
        <f t="shared" si="620"/>
        <v>0</v>
      </c>
      <c r="HJ249" s="203"/>
      <c r="HK249" s="205"/>
      <c r="HL249" s="205"/>
      <c r="HM249" s="205"/>
      <c r="HN249" s="204"/>
      <c r="HO249" s="208">
        <f t="shared" si="687"/>
        <v>0</v>
      </c>
      <c r="HP249" s="203"/>
      <c r="HQ249" s="205"/>
      <c r="HR249" s="205"/>
      <c r="HS249" s="205"/>
      <c r="HT249" s="204"/>
      <c r="HU249" s="208">
        <f t="shared" si="688"/>
        <v>0</v>
      </c>
      <c r="HV249" s="203"/>
      <c r="HW249" s="205"/>
      <c r="HX249" s="205"/>
      <c r="HY249" s="208">
        <f t="shared" si="621"/>
        <v>0</v>
      </c>
      <c r="HZ249" s="203"/>
      <c r="IA249" s="205"/>
      <c r="IB249" s="204"/>
      <c r="IC249" s="208">
        <f t="shared" si="689"/>
        <v>0</v>
      </c>
      <c r="ID249" s="208">
        <f t="shared" si="622"/>
        <v>0</v>
      </c>
      <c r="IE249" s="203">
        <v>1.18</v>
      </c>
      <c r="IF249" s="204"/>
      <c r="IG249" s="208">
        <f t="shared" si="690"/>
        <v>1.18</v>
      </c>
      <c r="IH249" s="203"/>
      <c r="II249" s="205"/>
      <c r="IJ249" s="205"/>
      <c r="IK249" s="205"/>
      <c r="IL249" s="204"/>
      <c r="IM249" s="208">
        <f t="shared" si="691"/>
        <v>0</v>
      </c>
      <c r="IN249" s="203"/>
      <c r="IO249" s="205"/>
      <c r="IP249" s="204"/>
      <c r="IQ249" s="208">
        <f t="shared" si="692"/>
        <v>0</v>
      </c>
      <c r="IR249" s="203"/>
      <c r="IS249" s="205"/>
      <c r="IT249" s="205"/>
      <c r="IU249" s="205"/>
      <c r="IV249" s="204"/>
      <c r="IW249" s="208">
        <f t="shared" si="693"/>
        <v>0</v>
      </c>
      <c r="IX249" s="203"/>
      <c r="IY249" s="205"/>
      <c r="IZ249" s="205"/>
      <c r="JA249" s="205"/>
      <c r="JB249" s="204"/>
      <c r="JC249" s="208">
        <f t="shared" si="694"/>
        <v>0</v>
      </c>
      <c r="JD249" s="208">
        <f t="shared" si="623"/>
        <v>1.18</v>
      </c>
      <c r="JE249" s="203"/>
      <c r="JF249" s="205"/>
      <c r="JG249" s="205"/>
      <c r="JH249" s="205"/>
      <c r="JI249" s="204"/>
      <c r="JJ249" s="208">
        <f t="shared" si="695"/>
        <v>0</v>
      </c>
      <c r="JK249" s="203"/>
      <c r="JL249" s="205"/>
      <c r="JM249" s="205"/>
      <c r="JN249" s="205"/>
      <c r="JO249" s="204"/>
      <c r="JP249" s="208">
        <f t="shared" si="696"/>
        <v>0</v>
      </c>
      <c r="JQ249" s="203"/>
      <c r="JR249" s="205"/>
      <c r="JS249" s="205"/>
      <c r="JT249" s="205"/>
      <c r="JU249" s="204"/>
      <c r="JV249" s="208">
        <f t="shared" si="697"/>
        <v>0</v>
      </c>
      <c r="JW249" s="203"/>
      <c r="JX249" s="205"/>
      <c r="JY249" s="205"/>
      <c r="JZ249" s="205"/>
      <c r="KA249" s="205"/>
      <c r="KB249" s="204"/>
      <c r="KC249" s="208">
        <f t="shared" si="698"/>
        <v>0</v>
      </c>
      <c r="KD249" s="208">
        <f t="shared" si="699"/>
        <v>0</v>
      </c>
      <c r="KE249" s="203"/>
      <c r="KF249" s="205"/>
      <c r="KG249" s="205"/>
      <c r="KH249" s="205"/>
      <c r="KI249" s="204"/>
      <c r="KJ249" s="208">
        <f t="shared" si="700"/>
        <v>0</v>
      </c>
      <c r="KK249" s="203"/>
      <c r="KL249" s="205"/>
      <c r="KM249" s="205"/>
      <c r="KN249" s="205"/>
      <c r="KO249" s="204"/>
      <c r="KP249" s="208">
        <f t="shared" si="701"/>
        <v>0</v>
      </c>
      <c r="KQ249" s="203"/>
      <c r="KR249" s="205"/>
      <c r="KS249" s="205"/>
      <c r="KT249" s="205"/>
      <c r="KU249" s="204"/>
      <c r="KV249" s="208">
        <f t="shared" si="702"/>
        <v>0</v>
      </c>
      <c r="KW249" s="202"/>
      <c r="KX249" s="244"/>
      <c r="KY249" s="244"/>
      <c r="KZ249" s="244"/>
      <c r="LA249" s="245"/>
      <c r="LB249" s="208">
        <f t="shared" si="703"/>
        <v>0</v>
      </c>
      <c r="LC249" s="202"/>
      <c r="LD249" s="244"/>
      <c r="LE249" s="245"/>
      <c r="LF249" s="208">
        <f t="shared" si="704"/>
        <v>0</v>
      </c>
      <c r="LG249" s="208">
        <f t="shared" si="705"/>
        <v>0</v>
      </c>
    </row>
    <row r="250" spans="2:322">
      <c r="B250" s="93" t="s">
        <v>116</v>
      </c>
      <c r="C250" s="167"/>
      <c r="D250" s="202">
        <f t="shared" si="612"/>
        <v>0</v>
      </c>
      <c r="E250" s="167"/>
      <c r="F250" s="177"/>
      <c r="G250" s="177"/>
      <c r="H250" s="177"/>
      <c r="I250" s="178"/>
      <c r="J250" s="202">
        <f t="shared" si="624"/>
        <v>0</v>
      </c>
      <c r="K250" s="167"/>
      <c r="L250" s="177"/>
      <c r="M250" s="177"/>
      <c r="N250" s="178"/>
      <c r="O250" s="202">
        <f t="shared" si="625"/>
        <v>0</v>
      </c>
      <c r="P250" s="167"/>
      <c r="Q250" s="177"/>
      <c r="R250" s="177"/>
      <c r="S250" s="177"/>
      <c r="T250" s="178"/>
      <c r="U250" s="202">
        <f t="shared" si="626"/>
        <v>0</v>
      </c>
      <c r="V250" s="167"/>
      <c r="W250" s="177"/>
      <c r="X250" s="177"/>
      <c r="Y250" s="177"/>
      <c r="Z250" s="178"/>
      <c r="AA250" s="202">
        <f t="shared" si="627"/>
        <v>0</v>
      </c>
      <c r="AB250" s="208">
        <f t="shared" si="628"/>
        <v>0</v>
      </c>
      <c r="AC250" s="203"/>
      <c r="AD250" s="205"/>
      <c r="AE250" s="205"/>
      <c r="AF250" s="205"/>
      <c r="AG250" s="204"/>
      <c r="AH250" s="208">
        <f t="shared" si="706"/>
        <v>0</v>
      </c>
      <c r="AI250" s="203"/>
      <c r="AJ250" s="205"/>
      <c r="AK250" s="205"/>
      <c r="AL250" s="205"/>
      <c r="AM250" s="204"/>
      <c r="AN250" s="208">
        <f>SUM(AI250:AM250)</f>
        <v>0</v>
      </c>
      <c r="AO250" s="203"/>
      <c r="AP250" s="205"/>
      <c r="AQ250" s="205"/>
      <c r="AR250" s="205"/>
      <c r="AS250" s="204"/>
      <c r="AT250" s="208">
        <f t="shared" si="707"/>
        <v>0</v>
      </c>
      <c r="AU250" s="203"/>
      <c r="AV250" s="205"/>
      <c r="AW250" s="205"/>
      <c r="AX250" s="205"/>
      <c r="AY250" s="204"/>
      <c r="AZ250" s="208">
        <f t="shared" si="632"/>
        <v>0</v>
      </c>
      <c r="BA250" s="208">
        <f t="shared" si="708"/>
        <v>0</v>
      </c>
      <c r="BB250" s="203"/>
      <c r="BC250" s="205"/>
      <c r="BD250" s="205"/>
      <c r="BE250" s="205"/>
      <c r="BF250" s="204"/>
      <c r="BG250" s="208">
        <f t="shared" si="634"/>
        <v>0</v>
      </c>
      <c r="BH250" s="203"/>
      <c r="BI250" s="205"/>
      <c r="BJ250" s="205"/>
      <c r="BK250" s="205"/>
      <c r="BL250" s="204"/>
      <c r="BM250" s="208">
        <f t="shared" si="635"/>
        <v>0</v>
      </c>
      <c r="BN250" s="203"/>
      <c r="BO250" s="205"/>
      <c r="BP250" s="205"/>
      <c r="BQ250" s="204"/>
      <c r="BR250" s="208">
        <f t="shared" si="636"/>
        <v>0</v>
      </c>
      <c r="BS250" s="203"/>
      <c r="BT250" s="205"/>
      <c r="BU250" s="205"/>
      <c r="BV250" s="205"/>
      <c r="BW250" s="204"/>
      <c r="BX250" s="208">
        <f t="shared" si="637"/>
        <v>0</v>
      </c>
      <c r="BY250" s="203"/>
      <c r="BZ250" s="205"/>
      <c r="CA250" s="208">
        <f t="shared" si="638"/>
        <v>0</v>
      </c>
      <c r="CB250" s="208">
        <f t="shared" si="639"/>
        <v>0</v>
      </c>
      <c r="CC250" s="203"/>
      <c r="CD250" s="205"/>
      <c r="CE250" s="205"/>
      <c r="CF250" s="208">
        <f t="shared" si="613"/>
        <v>0</v>
      </c>
      <c r="CG250" s="203"/>
      <c r="CH250" s="205"/>
      <c r="CI250" s="205"/>
      <c r="CJ250" s="204"/>
      <c r="CK250" s="208">
        <f t="shared" si="679"/>
        <v>0</v>
      </c>
      <c r="CL250" s="203"/>
      <c r="CM250" s="205"/>
      <c r="CN250" s="205"/>
      <c r="CO250" s="205"/>
      <c r="CP250" s="204"/>
      <c r="CQ250" s="208">
        <f t="shared" si="641"/>
        <v>0</v>
      </c>
      <c r="CR250" s="203"/>
      <c r="CS250" s="205"/>
      <c r="CT250" s="205"/>
      <c r="CU250" s="205"/>
      <c r="CV250" s="204"/>
      <c r="CW250" s="208">
        <f t="shared" si="680"/>
        <v>0</v>
      </c>
      <c r="CX250" s="203"/>
      <c r="CY250" s="205"/>
      <c r="CZ250" s="205"/>
      <c r="DA250" s="204"/>
      <c r="DB250" s="208">
        <f t="shared" si="643"/>
        <v>0</v>
      </c>
      <c r="DC250" s="208">
        <f t="shared" si="681"/>
        <v>0</v>
      </c>
      <c r="DD250" s="203"/>
      <c r="DE250" s="205"/>
      <c r="DF250" s="205"/>
      <c r="DG250" s="205"/>
      <c r="DH250" s="205"/>
      <c r="DI250" s="208">
        <f t="shared" si="615"/>
        <v>0</v>
      </c>
      <c r="DJ250" s="203"/>
      <c r="DK250" s="205"/>
      <c r="DL250" s="205"/>
      <c r="DM250" s="205"/>
      <c r="DN250" s="204"/>
      <c r="DO250" s="208">
        <f t="shared" si="682"/>
        <v>0</v>
      </c>
      <c r="DP250" s="203"/>
      <c r="DQ250" s="205"/>
      <c r="DR250" s="205"/>
      <c r="DS250" s="205"/>
      <c r="DT250" s="204"/>
      <c r="DU250" s="208">
        <f t="shared" si="645"/>
        <v>0</v>
      </c>
      <c r="DV250" s="203"/>
      <c r="DW250" s="205"/>
      <c r="DX250" s="205"/>
      <c r="DY250" s="205"/>
      <c r="DZ250" s="204"/>
      <c r="EA250" s="208">
        <f t="shared" si="646"/>
        <v>0</v>
      </c>
      <c r="EB250" s="208">
        <f t="shared" si="647"/>
        <v>0</v>
      </c>
      <c r="EC250" s="203"/>
      <c r="ED250" s="205"/>
      <c r="EE250" s="205"/>
      <c r="EF250" s="205"/>
      <c r="EG250" s="204"/>
      <c r="EH250" s="208">
        <f t="shared" si="683"/>
        <v>0</v>
      </c>
      <c r="EI250" s="203"/>
      <c r="EJ250" s="205"/>
      <c r="EK250" s="205"/>
      <c r="EL250" s="205"/>
      <c r="EM250" s="204"/>
      <c r="EN250" s="208">
        <f t="shared" si="684"/>
        <v>0</v>
      </c>
      <c r="EO250" s="203"/>
      <c r="EP250" s="205"/>
      <c r="EQ250" s="205"/>
      <c r="ER250" s="205"/>
      <c r="ES250" s="204"/>
      <c r="ET250" s="208">
        <f t="shared" si="685"/>
        <v>0</v>
      </c>
      <c r="EU250" s="203"/>
      <c r="EV250" s="205"/>
      <c r="EW250" s="205"/>
      <c r="EX250" s="205"/>
      <c r="EY250" s="205"/>
      <c r="EZ250" s="205"/>
      <c r="FA250" s="204"/>
      <c r="FB250" s="208">
        <f t="shared" si="651"/>
        <v>0</v>
      </c>
      <c r="FC250" s="208">
        <f t="shared" si="686"/>
        <v>0</v>
      </c>
      <c r="FD250" s="203"/>
      <c r="FE250" s="205"/>
      <c r="FF250" s="204"/>
      <c r="FG250" s="208">
        <f t="shared" si="653"/>
        <v>0</v>
      </c>
      <c r="FH250" s="203"/>
      <c r="FI250" s="205"/>
      <c r="FJ250" s="205"/>
      <c r="FK250" s="205"/>
      <c r="FL250" s="204"/>
      <c r="FM250" s="208">
        <f t="shared" si="654"/>
        <v>0</v>
      </c>
      <c r="FN250" s="203"/>
      <c r="FO250" s="205"/>
      <c r="FP250" s="205"/>
      <c r="FQ250" s="205"/>
      <c r="FR250" s="208">
        <f t="shared" si="616"/>
        <v>0</v>
      </c>
      <c r="FS250" s="203"/>
      <c r="FT250" s="205"/>
      <c r="FU250" s="205"/>
      <c r="FV250" s="205"/>
      <c r="FW250" s="204"/>
      <c r="FX250" s="208">
        <f t="shared" si="655"/>
        <v>0</v>
      </c>
      <c r="FY250" s="203"/>
      <c r="FZ250" s="205"/>
      <c r="GA250" s="205"/>
      <c r="GB250" s="205"/>
      <c r="GC250" s="204"/>
      <c r="GD250" s="208">
        <f t="shared" si="656"/>
        <v>0</v>
      </c>
      <c r="GE250" s="208">
        <f t="shared" si="617"/>
        <v>0</v>
      </c>
      <c r="GF250" s="203"/>
      <c r="GG250" s="205"/>
      <c r="GH250" s="205"/>
      <c r="GI250" s="205"/>
      <c r="GJ250" s="205"/>
      <c r="GK250" s="208">
        <f t="shared" si="618"/>
        <v>0</v>
      </c>
      <c r="GL250" s="203"/>
      <c r="GM250" s="205"/>
      <c r="GN250" s="205"/>
      <c r="GO250" s="204"/>
      <c r="GP250" s="208">
        <f t="shared" si="657"/>
        <v>0</v>
      </c>
      <c r="GQ250" s="203"/>
      <c r="GR250" s="205"/>
      <c r="GS250" s="205"/>
      <c r="GT250" s="205"/>
      <c r="GU250" s="204"/>
      <c r="GV250" s="208">
        <f t="shared" si="658"/>
        <v>0</v>
      </c>
      <c r="GW250" s="203"/>
      <c r="GX250" s="205"/>
      <c r="GY250" s="205"/>
      <c r="GZ250" s="205"/>
      <c r="HA250" s="205"/>
      <c r="HB250" s="204"/>
      <c r="HC250" s="208">
        <f>SUM(GW250:HB250)</f>
        <v>0</v>
      </c>
      <c r="HD250" s="208">
        <f t="shared" si="619"/>
        <v>0</v>
      </c>
      <c r="HE250" s="203"/>
      <c r="HF250" s="205"/>
      <c r="HG250" s="205"/>
      <c r="HH250" s="205"/>
      <c r="HI250" s="208">
        <f t="shared" si="620"/>
        <v>0</v>
      </c>
      <c r="HJ250" s="203"/>
      <c r="HK250" s="205"/>
      <c r="HL250" s="205"/>
      <c r="HM250" s="205"/>
      <c r="HN250" s="204"/>
      <c r="HO250" s="208">
        <f t="shared" si="687"/>
        <v>0</v>
      </c>
      <c r="HP250" s="203"/>
      <c r="HQ250" s="205"/>
      <c r="HR250" s="205"/>
      <c r="HS250" s="205"/>
      <c r="HT250" s="204"/>
      <c r="HU250" s="208">
        <f t="shared" si="688"/>
        <v>0</v>
      </c>
      <c r="HV250" s="203"/>
      <c r="HW250" s="205"/>
      <c r="HX250" s="205"/>
      <c r="HY250" s="208">
        <f t="shared" si="621"/>
        <v>0</v>
      </c>
      <c r="HZ250" s="203"/>
      <c r="IA250" s="205"/>
      <c r="IB250" s="204"/>
      <c r="IC250" s="208">
        <f t="shared" si="689"/>
        <v>0</v>
      </c>
      <c r="ID250" s="208">
        <f t="shared" si="622"/>
        <v>0</v>
      </c>
      <c r="IE250" s="203"/>
      <c r="IF250" s="204"/>
      <c r="IG250" s="208">
        <f t="shared" si="690"/>
        <v>0</v>
      </c>
      <c r="IH250" s="203"/>
      <c r="II250" s="205"/>
      <c r="IJ250" s="205"/>
      <c r="IK250" s="205"/>
      <c r="IL250" s="204"/>
      <c r="IM250" s="208">
        <f t="shared" si="691"/>
        <v>0</v>
      </c>
      <c r="IN250" s="203"/>
      <c r="IO250" s="205"/>
      <c r="IP250" s="204"/>
      <c r="IQ250" s="208">
        <f t="shared" si="692"/>
        <v>0</v>
      </c>
      <c r="IR250" s="203"/>
      <c r="IS250" s="205"/>
      <c r="IT250" s="205"/>
      <c r="IU250" s="205"/>
      <c r="IV250" s="204"/>
      <c r="IW250" s="208">
        <f t="shared" si="693"/>
        <v>0</v>
      </c>
      <c r="IX250" s="203"/>
      <c r="IY250" s="205"/>
      <c r="IZ250" s="205"/>
      <c r="JA250" s="205"/>
      <c r="JB250" s="204"/>
      <c r="JC250" s="208">
        <f t="shared" si="694"/>
        <v>0</v>
      </c>
      <c r="JD250" s="208">
        <f t="shared" si="623"/>
        <v>0</v>
      </c>
      <c r="JE250" s="203"/>
      <c r="JF250" s="205"/>
      <c r="JG250" s="205"/>
      <c r="JH250" s="205"/>
      <c r="JI250" s="204"/>
      <c r="JJ250" s="208">
        <f t="shared" si="695"/>
        <v>0</v>
      </c>
      <c r="JK250" s="203"/>
      <c r="JL250" s="205"/>
      <c r="JM250" s="205"/>
      <c r="JN250" s="205"/>
      <c r="JO250" s="204"/>
      <c r="JP250" s="208">
        <f t="shared" si="696"/>
        <v>0</v>
      </c>
      <c r="JQ250" s="203"/>
      <c r="JR250" s="205"/>
      <c r="JS250" s="205"/>
      <c r="JT250" s="205"/>
      <c r="JU250" s="204"/>
      <c r="JV250" s="208">
        <f t="shared" si="697"/>
        <v>0</v>
      </c>
      <c r="JW250" s="203"/>
      <c r="JX250" s="205"/>
      <c r="JY250" s="205"/>
      <c r="JZ250" s="205"/>
      <c r="KA250" s="205"/>
      <c r="KB250" s="204"/>
      <c r="KC250" s="208">
        <f t="shared" si="698"/>
        <v>0</v>
      </c>
      <c r="KD250" s="208">
        <f t="shared" si="699"/>
        <v>0</v>
      </c>
      <c r="KE250" s="203"/>
      <c r="KF250" s="205"/>
      <c r="KG250" s="205"/>
      <c r="KH250" s="205"/>
      <c r="KI250" s="204"/>
      <c r="KJ250" s="208">
        <f t="shared" si="700"/>
        <v>0</v>
      </c>
      <c r="KK250" s="203"/>
      <c r="KL250" s="205"/>
      <c r="KM250" s="205"/>
      <c r="KN250" s="205"/>
      <c r="KO250" s="204"/>
      <c r="KP250" s="208">
        <f t="shared" si="701"/>
        <v>0</v>
      </c>
      <c r="KQ250" s="203"/>
      <c r="KR250" s="205"/>
      <c r="KS250" s="205"/>
      <c r="KT250" s="205"/>
      <c r="KU250" s="204"/>
      <c r="KV250" s="208">
        <f t="shared" si="702"/>
        <v>0</v>
      </c>
      <c r="KW250" s="202"/>
      <c r="KX250" s="244"/>
      <c r="KY250" s="244"/>
      <c r="KZ250" s="244"/>
      <c r="LA250" s="245"/>
      <c r="LB250" s="208">
        <f t="shared" si="703"/>
        <v>0</v>
      </c>
      <c r="LC250" s="202"/>
      <c r="LD250" s="244"/>
      <c r="LE250" s="245"/>
      <c r="LF250" s="208">
        <f t="shared" si="704"/>
        <v>0</v>
      </c>
      <c r="LG250" s="208">
        <f t="shared" si="705"/>
        <v>0</v>
      </c>
    </row>
    <row r="251" spans="2:322">
      <c r="B251" s="93"/>
      <c r="C251" s="167"/>
      <c r="D251" s="181"/>
      <c r="E251" s="167"/>
      <c r="F251" s="177"/>
      <c r="G251" s="177"/>
      <c r="H251" s="177"/>
      <c r="I251" s="178"/>
      <c r="J251" s="181"/>
      <c r="K251" s="167"/>
      <c r="L251" s="177"/>
      <c r="M251" s="177"/>
      <c r="N251" s="178"/>
      <c r="O251" s="202"/>
      <c r="P251" s="167"/>
      <c r="Q251" s="177"/>
      <c r="R251" s="177"/>
      <c r="S251" s="177"/>
      <c r="T251" s="178"/>
      <c r="U251" s="181"/>
      <c r="V251" s="167"/>
      <c r="W251" s="177"/>
      <c r="X251" s="177"/>
      <c r="Y251" s="177"/>
      <c r="Z251" s="178"/>
      <c r="AA251" s="181"/>
      <c r="AB251" s="146"/>
      <c r="AC251" s="242"/>
      <c r="AD251" s="224"/>
      <c r="AE251" s="224"/>
      <c r="AF251" s="224"/>
      <c r="AG251" s="243"/>
      <c r="AH251" s="146"/>
      <c r="AI251" s="167"/>
      <c r="AJ251" s="177"/>
      <c r="AK251" s="177"/>
      <c r="AL251" s="177"/>
      <c r="AM251" s="178"/>
      <c r="AN251" s="146"/>
      <c r="AO251" s="167"/>
      <c r="AP251" s="177"/>
      <c r="AQ251" s="177"/>
      <c r="AR251" s="177"/>
      <c r="AS251" s="178"/>
      <c r="AT251" s="146"/>
      <c r="AU251" s="167"/>
      <c r="AV251" s="177"/>
      <c r="AW251" s="177"/>
      <c r="AX251" s="177"/>
      <c r="AY251" s="178"/>
      <c r="AZ251" s="146"/>
      <c r="BA251" s="168"/>
      <c r="BB251" s="181"/>
      <c r="BC251" s="238"/>
      <c r="BD251" s="238"/>
      <c r="BE251" s="238"/>
      <c r="BF251" s="239"/>
      <c r="BG251" s="168"/>
      <c r="BH251" s="181"/>
      <c r="BI251" s="238"/>
      <c r="BJ251" s="238"/>
      <c r="BK251" s="238"/>
      <c r="BL251" s="239"/>
      <c r="BM251" s="168"/>
      <c r="BN251" s="181"/>
      <c r="BO251" s="238"/>
      <c r="BP251" s="238"/>
      <c r="BQ251" s="239"/>
      <c r="BR251" s="168"/>
      <c r="BS251" s="181"/>
      <c r="BT251" s="238"/>
      <c r="BU251" s="238"/>
      <c r="BV251" s="238"/>
      <c r="BW251" s="239"/>
      <c r="BX251" s="168"/>
      <c r="BY251" s="181"/>
      <c r="BZ251" s="238"/>
      <c r="CA251" s="168"/>
      <c r="CB251" s="168"/>
      <c r="CC251" s="242"/>
      <c r="CD251" s="224"/>
      <c r="CE251" s="224"/>
      <c r="CF251" s="168"/>
      <c r="CG251" s="242"/>
      <c r="CH251" s="224"/>
      <c r="CI251" s="224"/>
      <c r="CJ251" s="243"/>
      <c r="CK251" s="168"/>
      <c r="CL251" s="242"/>
      <c r="CM251" s="224"/>
      <c r="CN251" s="224"/>
      <c r="CO251" s="224"/>
      <c r="CP251" s="243"/>
      <c r="CQ251" s="168"/>
      <c r="CR251" s="242"/>
      <c r="CS251" s="224"/>
      <c r="CT251" s="224"/>
      <c r="CU251" s="224"/>
      <c r="CV251" s="243"/>
      <c r="CW251" s="168"/>
      <c r="CX251" s="242"/>
      <c r="CY251" s="224"/>
      <c r="CZ251" s="224"/>
      <c r="DA251" s="243"/>
      <c r="DB251" s="168"/>
      <c r="DC251" s="168"/>
      <c r="DD251" s="242"/>
      <c r="DE251" s="224"/>
      <c r="DF251" s="224"/>
      <c r="DG251" s="224"/>
      <c r="DH251" s="224"/>
      <c r="DI251" s="168"/>
      <c r="DJ251" s="242"/>
      <c r="DK251" s="224"/>
      <c r="DL251" s="224"/>
      <c r="DM251" s="224"/>
      <c r="DN251" s="243"/>
      <c r="DO251" s="168"/>
      <c r="DP251" s="242"/>
      <c r="DQ251" s="224"/>
      <c r="DR251" s="224"/>
      <c r="DS251" s="224"/>
      <c r="DT251" s="243"/>
      <c r="DU251" s="168"/>
      <c r="DV251" s="242"/>
      <c r="DW251" s="224"/>
      <c r="DX251" s="224"/>
      <c r="DY251" s="224"/>
      <c r="DZ251" s="243"/>
      <c r="EA251" s="168"/>
      <c r="EB251" s="168"/>
      <c r="EC251" s="242"/>
      <c r="ED251" s="224"/>
      <c r="EE251" s="224"/>
      <c r="EF251" s="224"/>
      <c r="EG251" s="243"/>
      <c r="EH251" s="168"/>
      <c r="EI251" s="242"/>
      <c r="EJ251" s="224"/>
      <c r="EK251" s="224"/>
      <c r="EL251" s="224"/>
      <c r="EM251" s="243"/>
      <c r="EN251" s="168"/>
      <c r="EO251" s="242"/>
      <c r="EP251" s="224"/>
      <c r="EQ251" s="224"/>
      <c r="ER251" s="224"/>
      <c r="ES251" s="243"/>
      <c r="ET251" s="168"/>
      <c r="EU251" s="242"/>
      <c r="EV251" s="224"/>
      <c r="EW251" s="224"/>
      <c r="EX251" s="224"/>
      <c r="EY251" s="224"/>
      <c r="EZ251" s="224"/>
      <c r="FA251" s="243"/>
      <c r="FB251" s="168"/>
      <c r="FC251" s="168"/>
      <c r="FD251" s="181"/>
      <c r="FE251" s="238"/>
      <c r="FF251" s="239"/>
      <c r="FG251" s="168"/>
      <c r="FH251" s="181"/>
      <c r="FI251" s="238"/>
      <c r="FJ251" s="238"/>
      <c r="FK251" s="238"/>
      <c r="FL251" s="239"/>
      <c r="FM251" s="168"/>
      <c r="FN251" s="181"/>
      <c r="FO251" s="238"/>
      <c r="FP251" s="238"/>
      <c r="FQ251" s="238"/>
      <c r="FR251" s="168"/>
      <c r="FS251" s="181"/>
      <c r="FT251" s="238"/>
      <c r="FU251" s="238"/>
      <c r="FV251" s="238"/>
      <c r="FW251" s="239"/>
      <c r="FX251" s="168"/>
      <c r="FY251" s="181"/>
      <c r="FZ251" s="238"/>
      <c r="GA251" s="238"/>
      <c r="GB251" s="238"/>
      <c r="GC251" s="239"/>
      <c r="GD251" s="168"/>
      <c r="GE251" s="208"/>
      <c r="GF251" s="202"/>
      <c r="GG251" s="244"/>
      <c r="GH251" s="244"/>
      <c r="GI251" s="244"/>
      <c r="GJ251" s="244"/>
      <c r="GK251" s="208"/>
      <c r="GL251" s="203"/>
      <c r="GM251" s="205"/>
      <c r="GN251" s="205"/>
      <c r="GO251" s="204"/>
      <c r="GP251" s="208"/>
      <c r="GQ251" s="202"/>
      <c r="GR251" s="244"/>
      <c r="GS251" s="244"/>
      <c r="GT251" s="244"/>
      <c r="GU251" s="245"/>
      <c r="GV251" s="208"/>
      <c r="GW251" s="202"/>
      <c r="GX251" s="244"/>
      <c r="GY251" s="244"/>
      <c r="GZ251" s="244"/>
      <c r="HA251" s="244"/>
      <c r="HB251" s="245"/>
      <c r="HC251" s="208"/>
      <c r="HD251" s="168"/>
      <c r="HE251" s="181"/>
      <c r="HF251" s="238"/>
      <c r="HG251" s="238"/>
      <c r="HH251" s="238"/>
      <c r="HI251" s="168"/>
      <c r="HJ251" s="181"/>
      <c r="HK251" s="238"/>
      <c r="HL251" s="238"/>
      <c r="HM251" s="238"/>
      <c r="HN251" s="239"/>
      <c r="HO251" s="168"/>
      <c r="HP251" s="242"/>
      <c r="HQ251" s="224"/>
      <c r="HR251" s="224"/>
      <c r="HS251" s="224"/>
      <c r="HT251" s="243"/>
      <c r="HU251" s="168"/>
      <c r="HV251" s="181"/>
      <c r="HW251" s="238"/>
      <c r="HX251" s="238"/>
      <c r="HY251" s="168"/>
      <c r="HZ251" s="181"/>
      <c r="IA251" s="238"/>
      <c r="IB251" s="239"/>
      <c r="IC251" s="168"/>
      <c r="ID251" s="168"/>
      <c r="IE251" s="181"/>
      <c r="IF251" s="239"/>
      <c r="IG251" s="168"/>
      <c r="IH251" s="181"/>
      <c r="II251" s="238"/>
      <c r="IJ251" s="238"/>
      <c r="IK251" s="238"/>
      <c r="IL251" s="239"/>
      <c r="IM251" s="168"/>
      <c r="IN251" s="242"/>
      <c r="IO251" s="224"/>
      <c r="IP251" s="243"/>
      <c r="IQ251" s="168"/>
      <c r="IR251" s="242"/>
      <c r="IS251" s="224"/>
      <c r="IT251" s="224"/>
      <c r="IU251" s="224"/>
      <c r="IV251" s="243"/>
      <c r="IW251" s="168"/>
      <c r="IX251" s="242"/>
      <c r="IY251" s="224"/>
      <c r="IZ251" s="224"/>
      <c r="JA251" s="224"/>
      <c r="JB251" s="243"/>
      <c r="JC251" s="168"/>
      <c r="JD251" s="168"/>
      <c r="JE251" s="181"/>
      <c r="JF251" s="238"/>
      <c r="JG251" s="238"/>
      <c r="JH251" s="238"/>
      <c r="JI251" s="239"/>
      <c r="JJ251" s="168"/>
      <c r="JK251" s="181"/>
      <c r="JL251" s="238"/>
      <c r="JM251" s="238"/>
      <c r="JN251" s="238"/>
      <c r="JO251" s="239"/>
      <c r="JP251" s="168"/>
      <c r="JQ251" s="181"/>
      <c r="JR251" s="238"/>
      <c r="JS251" s="238"/>
      <c r="JT251" s="238"/>
      <c r="JU251" s="239"/>
      <c r="JV251" s="168"/>
      <c r="JW251" s="181"/>
      <c r="JX251" s="238"/>
      <c r="JY251" s="238"/>
      <c r="JZ251" s="238"/>
      <c r="KA251" s="238"/>
      <c r="KB251" s="239"/>
      <c r="KC251" s="168"/>
      <c r="KD251" s="168"/>
      <c r="KE251" s="242"/>
      <c r="KF251" s="224"/>
      <c r="KG251" s="224"/>
      <c r="KH251" s="224"/>
      <c r="KI251" s="243"/>
      <c r="KJ251" s="168"/>
      <c r="KK251" s="181"/>
      <c r="KL251" s="238"/>
      <c r="KM251" s="238"/>
      <c r="KN251" s="238"/>
      <c r="KO251" s="239"/>
      <c r="KP251" s="168"/>
      <c r="KQ251" s="242"/>
      <c r="KR251" s="224"/>
      <c r="KS251" s="224"/>
      <c r="KT251" s="224"/>
      <c r="KU251" s="243"/>
      <c r="KV251" s="168"/>
      <c r="KW251" s="181"/>
      <c r="KX251" s="238"/>
      <c r="KY251" s="238"/>
      <c r="KZ251" s="238"/>
      <c r="LA251" s="239"/>
      <c r="LB251" s="168"/>
      <c r="LC251" s="181"/>
      <c r="LD251" s="238"/>
      <c r="LE251" s="239"/>
      <c r="LF251" s="168"/>
      <c r="LG251" s="168"/>
    </row>
    <row r="252" spans="2:322">
      <c r="B252" s="94" t="s">
        <v>90</v>
      </c>
      <c r="C252" s="172">
        <f>SUM(C253:C254)</f>
        <v>0</v>
      </c>
      <c r="D252" s="172">
        <f t="shared" ref="D252:AA252" si="709">SUM(D253:D254)</f>
        <v>0</v>
      </c>
      <c r="E252" s="172">
        <f t="shared" si="709"/>
        <v>0</v>
      </c>
      <c r="F252" s="172">
        <f t="shared" si="709"/>
        <v>0</v>
      </c>
      <c r="G252" s="172">
        <f t="shared" si="709"/>
        <v>0</v>
      </c>
      <c r="H252" s="172">
        <f t="shared" si="709"/>
        <v>0</v>
      </c>
      <c r="I252" s="172">
        <f t="shared" si="709"/>
        <v>0</v>
      </c>
      <c r="J252" s="172">
        <f t="shared" si="709"/>
        <v>0</v>
      </c>
      <c r="K252" s="172">
        <f t="shared" si="709"/>
        <v>0</v>
      </c>
      <c r="L252" s="172">
        <f t="shared" si="709"/>
        <v>0</v>
      </c>
      <c r="M252" s="172">
        <f t="shared" si="709"/>
        <v>0</v>
      </c>
      <c r="N252" s="172">
        <f t="shared" si="709"/>
        <v>0</v>
      </c>
      <c r="O252" s="172">
        <f t="shared" si="709"/>
        <v>0</v>
      </c>
      <c r="P252" s="172">
        <f t="shared" si="709"/>
        <v>0</v>
      </c>
      <c r="Q252" s="172">
        <f t="shared" si="709"/>
        <v>0</v>
      </c>
      <c r="R252" s="172">
        <f t="shared" si="709"/>
        <v>0</v>
      </c>
      <c r="S252" s="172">
        <f t="shared" si="709"/>
        <v>0</v>
      </c>
      <c r="T252" s="172">
        <f t="shared" si="709"/>
        <v>0</v>
      </c>
      <c r="U252" s="172">
        <f t="shared" si="709"/>
        <v>0</v>
      </c>
      <c r="V252" s="172">
        <f t="shared" si="709"/>
        <v>0</v>
      </c>
      <c r="W252" s="172">
        <f t="shared" si="709"/>
        <v>0</v>
      </c>
      <c r="X252" s="172">
        <f t="shared" si="709"/>
        <v>0</v>
      </c>
      <c r="Y252" s="172">
        <f t="shared" si="709"/>
        <v>0</v>
      </c>
      <c r="Z252" s="172">
        <f t="shared" si="709"/>
        <v>45000</v>
      </c>
      <c r="AA252" s="172">
        <f t="shared" si="709"/>
        <v>45000</v>
      </c>
      <c r="AB252" s="234">
        <f>SUM(AB253:AB254)</f>
        <v>45000</v>
      </c>
      <c r="AC252" s="172">
        <f>SUM(AC253:AC255)</f>
        <v>0</v>
      </c>
      <c r="AD252" s="179">
        <f>SUM(AD253:AD255)</f>
        <v>0</v>
      </c>
      <c r="AE252" s="179">
        <f>SUM(AE253:AE255)</f>
        <v>0</v>
      </c>
      <c r="AF252" s="179">
        <f>SUM(AF253:AF255)</f>
        <v>0</v>
      </c>
      <c r="AG252" s="180">
        <f>SUM(AG253:AG255)</f>
        <v>0</v>
      </c>
      <c r="AH252" s="198">
        <f t="shared" ref="AH252:CA252" si="710">SUM(AH253:AH255)</f>
        <v>0</v>
      </c>
      <c r="AI252" s="172">
        <f t="shared" si="710"/>
        <v>0</v>
      </c>
      <c r="AJ252" s="179">
        <f t="shared" si="710"/>
        <v>0</v>
      </c>
      <c r="AK252" s="179">
        <f t="shared" si="710"/>
        <v>0</v>
      </c>
      <c r="AL252" s="179">
        <f t="shared" si="710"/>
        <v>0</v>
      </c>
      <c r="AM252" s="180">
        <f t="shared" si="710"/>
        <v>0</v>
      </c>
      <c r="AN252" s="198">
        <f t="shared" si="710"/>
        <v>0</v>
      </c>
      <c r="AO252" s="172">
        <f t="shared" si="710"/>
        <v>0</v>
      </c>
      <c r="AP252" s="179">
        <f t="shared" si="710"/>
        <v>0</v>
      </c>
      <c r="AQ252" s="179">
        <f t="shared" si="710"/>
        <v>0</v>
      </c>
      <c r="AR252" s="179">
        <f t="shared" si="710"/>
        <v>0</v>
      </c>
      <c r="AS252" s="180">
        <f t="shared" si="710"/>
        <v>0</v>
      </c>
      <c r="AT252" s="198">
        <f t="shared" si="710"/>
        <v>0</v>
      </c>
      <c r="AU252" s="172">
        <f t="shared" si="710"/>
        <v>0</v>
      </c>
      <c r="AV252" s="179">
        <f t="shared" si="710"/>
        <v>0</v>
      </c>
      <c r="AW252" s="179">
        <f t="shared" si="710"/>
        <v>0</v>
      </c>
      <c r="AX252" s="179">
        <f t="shared" si="710"/>
        <v>0</v>
      </c>
      <c r="AY252" s="180">
        <f t="shared" si="710"/>
        <v>0</v>
      </c>
      <c r="AZ252" s="198">
        <f t="shared" si="710"/>
        <v>0</v>
      </c>
      <c r="BA252" s="234">
        <f t="shared" si="710"/>
        <v>0</v>
      </c>
      <c r="BB252" s="172">
        <f t="shared" si="710"/>
        <v>20000</v>
      </c>
      <c r="BC252" s="179">
        <f t="shared" si="710"/>
        <v>0</v>
      </c>
      <c r="BD252" s="179">
        <f t="shared" si="710"/>
        <v>0</v>
      </c>
      <c r="BE252" s="179">
        <f t="shared" si="710"/>
        <v>0</v>
      </c>
      <c r="BF252" s="180">
        <f t="shared" si="710"/>
        <v>0</v>
      </c>
      <c r="BG252" s="198">
        <f t="shared" si="710"/>
        <v>20000</v>
      </c>
      <c r="BH252" s="172">
        <f t="shared" si="710"/>
        <v>0</v>
      </c>
      <c r="BI252" s="179">
        <f t="shared" si="710"/>
        <v>0</v>
      </c>
      <c r="BJ252" s="179">
        <f t="shared" si="710"/>
        <v>0</v>
      </c>
      <c r="BK252" s="179">
        <f t="shared" si="710"/>
        <v>0</v>
      </c>
      <c r="BL252" s="180">
        <f t="shared" si="710"/>
        <v>0</v>
      </c>
      <c r="BM252" s="198">
        <f t="shared" si="710"/>
        <v>0</v>
      </c>
      <c r="BN252" s="172">
        <f t="shared" si="710"/>
        <v>0</v>
      </c>
      <c r="BO252" s="179">
        <f t="shared" si="710"/>
        <v>0</v>
      </c>
      <c r="BP252" s="179">
        <f t="shared" si="710"/>
        <v>0</v>
      </c>
      <c r="BQ252" s="180">
        <f t="shared" si="710"/>
        <v>0</v>
      </c>
      <c r="BR252" s="198">
        <f t="shared" si="710"/>
        <v>0</v>
      </c>
      <c r="BS252" s="172">
        <f t="shared" si="710"/>
        <v>0</v>
      </c>
      <c r="BT252" s="179">
        <f t="shared" si="710"/>
        <v>0</v>
      </c>
      <c r="BU252" s="179">
        <f t="shared" si="710"/>
        <v>0</v>
      </c>
      <c r="BV252" s="179">
        <f t="shared" si="710"/>
        <v>0</v>
      </c>
      <c r="BW252" s="180">
        <f t="shared" si="710"/>
        <v>0</v>
      </c>
      <c r="BX252" s="198">
        <f t="shared" si="710"/>
        <v>0</v>
      </c>
      <c r="BY252" s="172">
        <f>SUM(BY253:BY255)</f>
        <v>0</v>
      </c>
      <c r="BZ252" s="179">
        <f>SUM(BZ253:BZ255)</f>
        <v>0</v>
      </c>
      <c r="CA252" s="198">
        <f t="shared" si="710"/>
        <v>0</v>
      </c>
      <c r="CB252" s="234">
        <f t="shared" ref="CB252:LG252" si="711">SUM(CB253:CB255)</f>
        <v>20000</v>
      </c>
      <c r="CC252" s="172">
        <f t="shared" si="711"/>
        <v>0</v>
      </c>
      <c r="CD252" s="179">
        <f t="shared" si="711"/>
        <v>0</v>
      </c>
      <c r="CE252" s="179">
        <f t="shared" si="711"/>
        <v>0</v>
      </c>
      <c r="CF252" s="198">
        <f t="shared" si="711"/>
        <v>0</v>
      </c>
      <c r="CG252" s="172">
        <f t="shared" si="711"/>
        <v>0</v>
      </c>
      <c r="CH252" s="179">
        <f t="shared" si="711"/>
        <v>0</v>
      </c>
      <c r="CI252" s="179">
        <f t="shared" si="711"/>
        <v>0</v>
      </c>
      <c r="CJ252" s="180">
        <f t="shared" si="711"/>
        <v>0</v>
      </c>
      <c r="CK252" s="198">
        <f t="shared" si="711"/>
        <v>0</v>
      </c>
      <c r="CL252" s="172">
        <f t="shared" si="711"/>
        <v>0</v>
      </c>
      <c r="CM252" s="179">
        <f t="shared" si="711"/>
        <v>0</v>
      </c>
      <c r="CN252" s="179">
        <f t="shared" si="711"/>
        <v>0</v>
      </c>
      <c r="CO252" s="179">
        <f t="shared" si="711"/>
        <v>0</v>
      </c>
      <c r="CP252" s="180">
        <f t="shared" si="711"/>
        <v>0</v>
      </c>
      <c r="CQ252" s="198">
        <f t="shared" si="711"/>
        <v>0</v>
      </c>
      <c r="CR252" s="172">
        <f t="shared" si="711"/>
        <v>0</v>
      </c>
      <c r="CS252" s="179">
        <f t="shared" si="711"/>
        <v>0</v>
      </c>
      <c r="CT252" s="179">
        <f t="shared" si="711"/>
        <v>0</v>
      </c>
      <c r="CU252" s="179">
        <f t="shared" si="711"/>
        <v>0</v>
      </c>
      <c r="CV252" s="180">
        <f t="shared" si="711"/>
        <v>0</v>
      </c>
      <c r="CW252" s="198">
        <f t="shared" si="711"/>
        <v>0</v>
      </c>
      <c r="CX252" s="172">
        <f t="shared" si="711"/>
        <v>0</v>
      </c>
      <c r="CY252" s="179">
        <f t="shared" si="711"/>
        <v>0</v>
      </c>
      <c r="CZ252" s="179">
        <f t="shared" si="711"/>
        <v>0</v>
      </c>
      <c r="DA252" s="180">
        <f t="shared" si="711"/>
        <v>0</v>
      </c>
      <c r="DB252" s="198">
        <f t="shared" si="711"/>
        <v>0</v>
      </c>
      <c r="DC252" s="234">
        <f t="shared" si="711"/>
        <v>0</v>
      </c>
      <c r="DD252" s="172">
        <f t="shared" si="711"/>
        <v>15000</v>
      </c>
      <c r="DE252" s="179">
        <f t="shared" si="711"/>
        <v>0</v>
      </c>
      <c r="DF252" s="179">
        <f t="shared" si="711"/>
        <v>0</v>
      </c>
      <c r="DG252" s="179">
        <f t="shared" si="711"/>
        <v>0</v>
      </c>
      <c r="DH252" s="179">
        <f t="shared" si="711"/>
        <v>0</v>
      </c>
      <c r="DI252" s="198">
        <f t="shared" si="711"/>
        <v>15000</v>
      </c>
      <c r="DJ252" s="172">
        <f t="shared" si="711"/>
        <v>0</v>
      </c>
      <c r="DK252" s="179">
        <f t="shared" si="711"/>
        <v>0</v>
      </c>
      <c r="DL252" s="179">
        <f t="shared" si="711"/>
        <v>0</v>
      </c>
      <c r="DM252" s="179">
        <f t="shared" si="711"/>
        <v>0</v>
      </c>
      <c r="DN252" s="180">
        <f t="shared" si="711"/>
        <v>0</v>
      </c>
      <c r="DO252" s="198">
        <f t="shared" si="711"/>
        <v>0</v>
      </c>
      <c r="DP252" s="172">
        <f t="shared" si="711"/>
        <v>0</v>
      </c>
      <c r="DQ252" s="179">
        <f t="shared" si="711"/>
        <v>0</v>
      </c>
      <c r="DR252" s="179">
        <f t="shared" si="711"/>
        <v>0</v>
      </c>
      <c r="DS252" s="179">
        <f t="shared" si="711"/>
        <v>0</v>
      </c>
      <c r="DT252" s="180">
        <f t="shared" si="711"/>
        <v>0</v>
      </c>
      <c r="DU252" s="198">
        <f t="shared" si="711"/>
        <v>0</v>
      </c>
      <c r="DV252" s="172">
        <f t="shared" si="711"/>
        <v>0</v>
      </c>
      <c r="DW252" s="179">
        <f t="shared" si="711"/>
        <v>0</v>
      </c>
      <c r="DX252" s="179">
        <f t="shared" si="711"/>
        <v>0</v>
      </c>
      <c r="DY252" s="179">
        <f t="shared" si="711"/>
        <v>0</v>
      </c>
      <c r="DZ252" s="180">
        <f t="shared" si="711"/>
        <v>0</v>
      </c>
      <c r="EA252" s="198">
        <f t="shared" si="711"/>
        <v>0</v>
      </c>
      <c r="EB252" s="234">
        <f t="shared" si="711"/>
        <v>15000</v>
      </c>
      <c r="EC252" s="172">
        <f t="shared" si="711"/>
        <v>0</v>
      </c>
      <c r="ED252" s="179">
        <f t="shared" si="711"/>
        <v>0</v>
      </c>
      <c r="EE252" s="179">
        <f t="shared" si="711"/>
        <v>0</v>
      </c>
      <c r="EF252" s="179">
        <f t="shared" si="711"/>
        <v>0</v>
      </c>
      <c r="EG252" s="180">
        <f t="shared" si="711"/>
        <v>0</v>
      </c>
      <c r="EH252" s="198">
        <f t="shared" si="711"/>
        <v>0</v>
      </c>
      <c r="EI252" s="172">
        <f t="shared" si="711"/>
        <v>0</v>
      </c>
      <c r="EJ252" s="179">
        <f t="shared" si="711"/>
        <v>0</v>
      </c>
      <c r="EK252" s="179">
        <f t="shared" si="711"/>
        <v>0</v>
      </c>
      <c r="EL252" s="179">
        <f t="shared" si="711"/>
        <v>0</v>
      </c>
      <c r="EM252" s="180">
        <f t="shared" si="711"/>
        <v>0</v>
      </c>
      <c r="EN252" s="198">
        <f t="shared" si="711"/>
        <v>0</v>
      </c>
      <c r="EO252" s="172">
        <f t="shared" si="711"/>
        <v>0</v>
      </c>
      <c r="EP252" s="179">
        <f t="shared" si="711"/>
        <v>0</v>
      </c>
      <c r="EQ252" s="179">
        <f t="shared" si="711"/>
        <v>0</v>
      </c>
      <c r="ER252" s="179">
        <f t="shared" si="711"/>
        <v>0</v>
      </c>
      <c r="ES252" s="180">
        <f t="shared" si="711"/>
        <v>0</v>
      </c>
      <c r="ET252" s="198">
        <f t="shared" si="711"/>
        <v>0</v>
      </c>
      <c r="EU252" s="172">
        <f t="shared" si="711"/>
        <v>0</v>
      </c>
      <c r="EV252" s="179">
        <f t="shared" si="711"/>
        <v>0</v>
      </c>
      <c r="EW252" s="179">
        <f t="shared" si="711"/>
        <v>0</v>
      </c>
      <c r="EX252" s="179">
        <f t="shared" si="711"/>
        <v>0</v>
      </c>
      <c r="EY252" s="179">
        <f t="shared" si="711"/>
        <v>0</v>
      </c>
      <c r="EZ252" s="179">
        <f>SUM(EZ253:EZ255)</f>
        <v>150000</v>
      </c>
      <c r="FA252" s="180">
        <f t="shared" si="711"/>
        <v>0</v>
      </c>
      <c r="FB252" s="198">
        <f t="shared" si="711"/>
        <v>150000</v>
      </c>
      <c r="FC252" s="234">
        <f t="shared" si="711"/>
        <v>150000</v>
      </c>
      <c r="FD252" s="172">
        <f t="shared" si="711"/>
        <v>15000</v>
      </c>
      <c r="FE252" s="179">
        <f t="shared" si="711"/>
        <v>0</v>
      </c>
      <c r="FF252" s="180">
        <f t="shared" si="711"/>
        <v>0</v>
      </c>
      <c r="FG252" s="198">
        <f t="shared" si="711"/>
        <v>15000</v>
      </c>
      <c r="FH252" s="172">
        <f t="shared" si="711"/>
        <v>0</v>
      </c>
      <c r="FI252" s="179">
        <f t="shared" si="711"/>
        <v>0</v>
      </c>
      <c r="FJ252" s="179">
        <f t="shared" si="711"/>
        <v>0</v>
      </c>
      <c r="FK252" s="179">
        <f t="shared" si="711"/>
        <v>0</v>
      </c>
      <c r="FL252" s="180">
        <f t="shared" si="711"/>
        <v>0</v>
      </c>
      <c r="FM252" s="198">
        <f t="shared" si="711"/>
        <v>0</v>
      </c>
      <c r="FN252" s="172">
        <f>SUM(FN253:FN255)</f>
        <v>0</v>
      </c>
      <c r="FO252" s="179">
        <f>SUM(FO253:FO255)</f>
        <v>0</v>
      </c>
      <c r="FP252" s="179">
        <f>SUM(FP253:FP255)</f>
        <v>0</v>
      </c>
      <c r="FQ252" s="179">
        <f>SUM(FQ253:FQ255)</f>
        <v>0</v>
      </c>
      <c r="FR252" s="198">
        <f t="shared" si="711"/>
        <v>0</v>
      </c>
      <c r="FS252" s="172">
        <f t="shared" si="711"/>
        <v>0</v>
      </c>
      <c r="FT252" s="179">
        <f t="shared" si="711"/>
        <v>0</v>
      </c>
      <c r="FU252" s="179">
        <f t="shared" si="711"/>
        <v>0</v>
      </c>
      <c r="FV252" s="179">
        <f t="shared" si="711"/>
        <v>0</v>
      </c>
      <c r="FW252" s="180">
        <f t="shared" si="711"/>
        <v>0</v>
      </c>
      <c r="FX252" s="198">
        <f t="shared" si="711"/>
        <v>0</v>
      </c>
      <c r="FY252" s="172">
        <f t="shared" ref="FY252:GD252" si="712">SUM(FY253:FY255)</f>
        <v>0</v>
      </c>
      <c r="FZ252" s="179">
        <f t="shared" si="712"/>
        <v>0</v>
      </c>
      <c r="GA252" s="179">
        <f t="shared" si="712"/>
        <v>0</v>
      </c>
      <c r="GB252" s="179">
        <f t="shared" si="712"/>
        <v>0</v>
      </c>
      <c r="GC252" s="180">
        <f t="shared" si="712"/>
        <v>0</v>
      </c>
      <c r="GD252" s="198">
        <f t="shared" si="712"/>
        <v>0</v>
      </c>
      <c r="GE252" s="234">
        <f t="shared" si="711"/>
        <v>15000</v>
      </c>
      <c r="GF252" s="172">
        <f t="shared" si="711"/>
        <v>80000</v>
      </c>
      <c r="GG252" s="179">
        <f t="shared" si="711"/>
        <v>0</v>
      </c>
      <c r="GH252" s="179">
        <f t="shared" si="711"/>
        <v>0</v>
      </c>
      <c r="GI252" s="179">
        <f t="shared" si="711"/>
        <v>0</v>
      </c>
      <c r="GJ252" s="179">
        <f t="shared" si="711"/>
        <v>0</v>
      </c>
      <c r="GK252" s="198">
        <f t="shared" si="711"/>
        <v>80000</v>
      </c>
      <c r="GL252" s="172">
        <f t="shared" si="711"/>
        <v>0</v>
      </c>
      <c r="GM252" s="179">
        <f t="shared" si="711"/>
        <v>0</v>
      </c>
      <c r="GN252" s="179">
        <f t="shared" si="711"/>
        <v>0</v>
      </c>
      <c r="GO252" s="180">
        <f t="shared" si="711"/>
        <v>0</v>
      </c>
      <c r="GP252" s="198">
        <f t="shared" si="711"/>
        <v>0</v>
      </c>
      <c r="GQ252" s="172">
        <f t="shared" si="711"/>
        <v>0</v>
      </c>
      <c r="GR252" s="179">
        <f t="shared" si="711"/>
        <v>0</v>
      </c>
      <c r="GS252" s="179">
        <f t="shared" si="711"/>
        <v>0</v>
      </c>
      <c r="GT252" s="179">
        <f t="shared" si="711"/>
        <v>0</v>
      </c>
      <c r="GU252" s="180">
        <f t="shared" si="711"/>
        <v>0</v>
      </c>
      <c r="GV252" s="198">
        <f t="shared" si="711"/>
        <v>0</v>
      </c>
      <c r="GW252" s="172">
        <f t="shared" si="711"/>
        <v>0</v>
      </c>
      <c r="GX252" s="179">
        <f t="shared" si="711"/>
        <v>0</v>
      </c>
      <c r="GY252" s="179">
        <f t="shared" si="711"/>
        <v>0</v>
      </c>
      <c r="GZ252" s="179">
        <f>SUM(GZ253:GZ255)</f>
        <v>0</v>
      </c>
      <c r="HA252" s="179">
        <f>SUM(HA253:HA255)</f>
        <v>0</v>
      </c>
      <c r="HB252" s="180">
        <f t="shared" si="711"/>
        <v>0</v>
      </c>
      <c r="HC252" s="198">
        <f t="shared" si="711"/>
        <v>0</v>
      </c>
      <c r="HD252" s="234">
        <f t="shared" si="711"/>
        <v>80000</v>
      </c>
      <c r="HE252" s="172">
        <f t="shared" si="711"/>
        <v>0</v>
      </c>
      <c r="HF252" s="179">
        <f t="shared" si="711"/>
        <v>0</v>
      </c>
      <c r="HG252" s="179">
        <f t="shared" si="711"/>
        <v>0</v>
      </c>
      <c r="HH252" s="179">
        <f t="shared" si="711"/>
        <v>0</v>
      </c>
      <c r="HI252" s="198">
        <f t="shared" si="711"/>
        <v>0</v>
      </c>
      <c r="HJ252" s="172">
        <f t="shared" si="711"/>
        <v>0</v>
      </c>
      <c r="HK252" s="179">
        <f t="shared" si="711"/>
        <v>0</v>
      </c>
      <c r="HL252" s="179">
        <f t="shared" si="711"/>
        <v>0</v>
      </c>
      <c r="HM252" s="179">
        <f t="shared" si="711"/>
        <v>0</v>
      </c>
      <c r="HN252" s="180">
        <f t="shared" si="711"/>
        <v>0</v>
      </c>
      <c r="HO252" s="198">
        <f t="shared" si="711"/>
        <v>0</v>
      </c>
      <c r="HP252" s="172">
        <f t="shared" si="711"/>
        <v>0</v>
      </c>
      <c r="HQ252" s="179">
        <f t="shared" si="711"/>
        <v>0</v>
      </c>
      <c r="HR252" s="179">
        <f t="shared" si="711"/>
        <v>0</v>
      </c>
      <c r="HS252" s="179">
        <f t="shared" si="711"/>
        <v>0</v>
      </c>
      <c r="HT252" s="180">
        <f t="shared" si="711"/>
        <v>0</v>
      </c>
      <c r="HU252" s="198">
        <f t="shared" si="711"/>
        <v>0</v>
      </c>
      <c r="HV252" s="172">
        <f t="shared" si="711"/>
        <v>0</v>
      </c>
      <c r="HW252" s="179">
        <f t="shared" si="711"/>
        <v>0</v>
      </c>
      <c r="HX252" s="179">
        <f t="shared" si="711"/>
        <v>0</v>
      </c>
      <c r="HY252" s="198">
        <f t="shared" si="711"/>
        <v>0</v>
      </c>
      <c r="HZ252" s="172">
        <f t="shared" si="711"/>
        <v>0</v>
      </c>
      <c r="IA252" s="179">
        <f>SUM(IA253:IA255)</f>
        <v>0</v>
      </c>
      <c r="IB252" s="180">
        <f>SUM(IB253:IB255)</f>
        <v>0</v>
      </c>
      <c r="IC252" s="198">
        <f t="shared" si="711"/>
        <v>0</v>
      </c>
      <c r="ID252" s="234">
        <f t="shared" si="711"/>
        <v>0</v>
      </c>
      <c r="IE252" s="172">
        <f t="shared" si="711"/>
        <v>0</v>
      </c>
      <c r="IF252" s="180">
        <f t="shared" si="711"/>
        <v>0</v>
      </c>
      <c r="IG252" s="198">
        <f t="shared" si="711"/>
        <v>0</v>
      </c>
      <c r="IH252" s="172">
        <f t="shared" si="711"/>
        <v>0</v>
      </c>
      <c r="II252" s="179">
        <f t="shared" si="711"/>
        <v>0</v>
      </c>
      <c r="IJ252" s="179">
        <f t="shared" si="711"/>
        <v>0</v>
      </c>
      <c r="IK252" s="179">
        <f t="shared" si="711"/>
        <v>0</v>
      </c>
      <c r="IL252" s="180">
        <f t="shared" si="711"/>
        <v>0</v>
      </c>
      <c r="IM252" s="198">
        <f t="shared" si="711"/>
        <v>0</v>
      </c>
      <c r="IN252" s="172">
        <f t="shared" si="711"/>
        <v>0</v>
      </c>
      <c r="IO252" s="179">
        <f t="shared" si="711"/>
        <v>0</v>
      </c>
      <c r="IP252" s="180">
        <f t="shared" si="711"/>
        <v>0</v>
      </c>
      <c r="IQ252" s="198">
        <f t="shared" si="711"/>
        <v>0</v>
      </c>
      <c r="IR252" s="172">
        <f t="shared" si="711"/>
        <v>0</v>
      </c>
      <c r="IS252" s="179">
        <f t="shared" si="711"/>
        <v>0</v>
      </c>
      <c r="IT252" s="179">
        <f t="shared" si="711"/>
        <v>0</v>
      </c>
      <c r="IU252" s="179">
        <f t="shared" si="711"/>
        <v>0</v>
      </c>
      <c r="IV252" s="180">
        <f t="shared" si="711"/>
        <v>0</v>
      </c>
      <c r="IW252" s="198">
        <f t="shared" si="711"/>
        <v>0</v>
      </c>
      <c r="IX252" s="172">
        <f t="shared" si="711"/>
        <v>0</v>
      </c>
      <c r="IY252" s="179">
        <f t="shared" si="711"/>
        <v>246250</v>
      </c>
      <c r="IZ252" s="179">
        <f t="shared" si="711"/>
        <v>0</v>
      </c>
      <c r="JA252" s="179">
        <f t="shared" si="711"/>
        <v>0</v>
      </c>
      <c r="JB252" s="180">
        <f t="shared" si="711"/>
        <v>0</v>
      </c>
      <c r="JC252" s="198">
        <f t="shared" si="711"/>
        <v>246250</v>
      </c>
      <c r="JD252" s="234">
        <f t="shared" si="711"/>
        <v>246250</v>
      </c>
      <c r="JE252" s="172">
        <f t="shared" si="711"/>
        <v>0</v>
      </c>
      <c r="JF252" s="179">
        <f t="shared" si="711"/>
        <v>0</v>
      </c>
      <c r="JG252" s="179">
        <f t="shared" si="711"/>
        <v>0</v>
      </c>
      <c r="JH252" s="179">
        <f t="shared" si="711"/>
        <v>246250</v>
      </c>
      <c r="JI252" s="180">
        <f t="shared" si="711"/>
        <v>0</v>
      </c>
      <c r="JJ252" s="198">
        <f t="shared" si="711"/>
        <v>246250</v>
      </c>
      <c r="JK252" s="431">
        <f t="shared" si="711"/>
        <v>0</v>
      </c>
      <c r="JL252" s="432">
        <f t="shared" si="711"/>
        <v>0</v>
      </c>
      <c r="JM252" s="432">
        <f t="shared" si="711"/>
        <v>0</v>
      </c>
      <c r="JN252" s="432">
        <f t="shared" si="711"/>
        <v>0</v>
      </c>
      <c r="JO252" s="433">
        <f t="shared" si="711"/>
        <v>0</v>
      </c>
      <c r="JP252" s="148">
        <f t="shared" si="711"/>
        <v>0</v>
      </c>
      <c r="JQ252" s="431">
        <f t="shared" si="711"/>
        <v>0</v>
      </c>
      <c r="JR252" s="432">
        <f t="shared" si="711"/>
        <v>0</v>
      </c>
      <c r="JS252" s="432">
        <f t="shared" si="711"/>
        <v>0</v>
      </c>
      <c r="JT252" s="432">
        <f t="shared" si="711"/>
        <v>0</v>
      </c>
      <c r="JU252" s="433">
        <f t="shared" si="711"/>
        <v>0</v>
      </c>
      <c r="JV252" s="148">
        <f t="shared" si="711"/>
        <v>0</v>
      </c>
      <c r="JW252" s="431">
        <f t="shared" si="711"/>
        <v>0</v>
      </c>
      <c r="JX252" s="432">
        <f t="shared" si="711"/>
        <v>0</v>
      </c>
      <c r="JY252" s="432">
        <f t="shared" si="711"/>
        <v>0</v>
      </c>
      <c r="JZ252" s="432">
        <f t="shared" si="711"/>
        <v>0</v>
      </c>
      <c r="KA252" s="432"/>
      <c r="KB252" s="433">
        <f t="shared" si="711"/>
        <v>0</v>
      </c>
      <c r="KC252" s="148">
        <f t="shared" si="711"/>
        <v>0</v>
      </c>
      <c r="KD252" s="148">
        <f t="shared" si="711"/>
        <v>0</v>
      </c>
      <c r="KE252" s="431">
        <f t="shared" si="711"/>
        <v>0</v>
      </c>
      <c r="KF252" s="432">
        <f t="shared" si="711"/>
        <v>0</v>
      </c>
      <c r="KG252" s="432">
        <f t="shared" si="711"/>
        <v>0</v>
      </c>
      <c r="KH252" s="432">
        <f t="shared" si="711"/>
        <v>0</v>
      </c>
      <c r="KI252" s="433">
        <f t="shared" si="711"/>
        <v>0</v>
      </c>
      <c r="KJ252" s="148">
        <f t="shared" si="711"/>
        <v>0</v>
      </c>
      <c r="KK252" s="431">
        <f t="shared" si="711"/>
        <v>0</v>
      </c>
      <c r="KL252" s="432">
        <f t="shared" si="711"/>
        <v>0</v>
      </c>
      <c r="KM252" s="432">
        <f t="shared" si="711"/>
        <v>0</v>
      </c>
      <c r="KN252" s="432">
        <f t="shared" si="711"/>
        <v>0</v>
      </c>
      <c r="KO252" s="433">
        <f t="shared" si="711"/>
        <v>0</v>
      </c>
      <c r="KP252" s="148">
        <f t="shared" si="711"/>
        <v>0</v>
      </c>
      <c r="KQ252" s="431">
        <f t="shared" si="711"/>
        <v>0</v>
      </c>
      <c r="KR252" s="432">
        <f t="shared" si="711"/>
        <v>0</v>
      </c>
      <c r="KS252" s="432">
        <f t="shared" si="711"/>
        <v>0</v>
      </c>
      <c r="KT252" s="432">
        <f t="shared" si="711"/>
        <v>0</v>
      </c>
      <c r="KU252" s="433">
        <f t="shared" si="711"/>
        <v>0</v>
      </c>
      <c r="KV252" s="148">
        <f t="shared" si="711"/>
        <v>0</v>
      </c>
      <c r="KW252" s="431">
        <f t="shared" si="711"/>
        <v>0</v>
      </c>
      <c r="KX252" s="432">
        <f t="shared" si="711"/>
        <v>0</v>
      </c>
      <c r="KY252" s="432">
        <f t="shared" si="711"/>
        <v>0</v>
      </c>
      <c r="KZ252" s="432">
        <f t="shared" si="711"/>
        <v>0</v>
      </c>
      <c r="LA252" s="433">
        <f t="shared" si="711"/>
        <v>0</v>
      </c>
      <c r="LB252" s="148">
        <f t="shared" si="711"/>
        <v>0</v>
      </c>
      <c r="LC252" s="431">
        <f t="shared" si="711"/>
        <v>0</v>
      </c>
      <c r="LD252" s="432">
        <f t="shared" si="711"/>
        <v>0</v>
      </c>
      <c r="LE252" s="433">
        <f t="shared" si="711"/>
        <v>0</v>
      </c>
      <c r="LF252" s="148">
        <f t="shared" si="711"/>
        <v>0</v>
      </c>
      <c r="LG252" s="148">
        <f t="shared" si="711"/>
        <v>0</v>
      </c>
    </row>
    <row r="253" spans="2:322">
      <c r="B253" s="93" t="s">
        <v>112</v>
      </c>
      <c r="C253" s="167"/>
      <c r="D253" s="181">
        <f>SUM(C253:C253)</f>
        <v>0</v>
      </c>
      <c r="E253" s="167"/>
      <c r="F253" s="177"/>
      <c r="G253" s="177"/>
      <c r="H253" s="177"/>
      <c r="I253" s="178"/>
      <c r="J253" s="181">
        <f>SUM(E253:I253)</f>
        <v>0</v>
      </c>
      <c r="K253" s="167"/>
      <c r="L253" s="177"/>
      <c r="M253" s="177"/>
      <c r="N253" s="178"/>
      <c r="O253" s="181"/>
      <c r="P253" s="167"/>
      <c r="Q253" s="177"/>
      <c r="R253" s="177"/>
      <c r="S253" s="177"/>
      <c r="T253" s="178"/>
      <c r="U253" s="181">
        <f t="shared" ref="U253:Z253" si="713">U148</f>
        <v>0</v>
      </c>
      <c r="V253" s="167">
        <f t="shared" si="713"/>
        <v>0</v>
      </c>
      <c r="W253" s="177">
        <f t="shared" si="713"/>
        <v>0</v>
      </c>
      <c r="X253" s="177">
        <f t="shared" si="713"/>
        <v>0</v>
      </c>
      <c r="Y253" s="177">
        <f t="shared" si="713"/>
        <v>0</v>
      </c>
      <c r="Z253" s="178">
        <f t="shared" si="713"/>
        <v>0</v>
      </c>
      <c r="AA253" s="181">
        <f>SUM(V253:Z253)</f>
        <v>0</v>
      </c>
      <c r="AB253" s="168">
        <f>AA253+U253+O253+J253+D253</f>
        <v>0</v>
      </c>
      <c r="AC253" s="242">
        <f>AC148</f>
        <v>0</v>
      </c>
      <c r="AD253" s="224">
        <f>AD148</f>
        <v>0</v>
      </c>
      <c r="AE253" s="224">
        <f>AE148</f>
        <v>0</v>
      </c>
      <c r="AF253" s="224">
        <f>AF148</f>
        <v>0</v>
      </c>
      <c r="AG253" s="243">
        <f>AG148</f>
        <v>0</v>
      </c>
      <c r="AH253" s="168">
        <f>SUM(AC253:AG253)</f>
        <v>0</v>
      </c>
      <c r="AI253" s="242"/>
      <c r="AJ253" s="224"/>
      <c r="AK253" s="224"/>
      <c r="AL253" s="224"/>
      <c r="AM253" s="243"/>
      <c r="AN253" s="168">
        <f>SUM(AI253:AM253)</f>
        <v>0</v>
      </c>
      <c r="AO253" s="242">
        <f>AO148</f>
        <v>0</v>
      </c>
      <c r="AP253" s="224">
        <f>AP148</f>
        <v>0</v>
      </c>
      <c r="AQ253" s="224">
        <f>AQ148</f>
        <v>0</v>
      </c>
      <c r="AR253" s="224">
        <f>AR148</f>
        <v>0</v>
      </c>
      <c r="AS253" s="243">
        <f>AS148</f>
        <v>0</v>
      </c>
      <c r="AT253" s="168">
        <f>SUM(AO253:AS253)</f>
        <v>0</v>
      </c>
      <c r="AU253" s="242">
        <f>AU148</f>
        <v>0</v>
      </c>
      <c r="AV253" s="224">
        <f>AV148</f>
        <v>0</v>
      </c>
      <c r="AW253" s="224">
        <f>AW148</f>
        <v>0</v>
      </c>
      <c r="AX253" s="224">
        <f>AX148</f>
        <v>0</v>
      </c>
      <c r="AY253" s="243">
        <f>AY148</f>
        <v>0</v>
      </c>
      <c r="AZ253" s="168">
        <f>SUM(AU253:AY253)</f>
        <v>0</v>
      </c>
      <c r="BA253" s="168">
        <f>AZ253+AT253+AN253+AH253</f>
        <v>0</v>
      </c>
      <c r="BB253" s="242">
        <f>BB148</f>
        <v>0</v>
      </c>
      <c r="BC253" s="224">
        <f>BC148</f>
        <v>0</v>
      </c>
      <c r="BD253" s="224">
        <f>BD148</f>
        <v>0</v>
      </c>
      <c r="BE253" s="224">
        <f>BE148</f>
        <v>0</v>
      </c>
      <c r="BF253" s="243">
        <f>BF148</f>
        <v>0</v>
      </c>
      <c r="BG253" s="168">
        <f>SUM(BB253:BF253)</f>
        <v>0</v>
      </c>
      <c r="BH253" s="242">
        <f>BH148</f>
        <v>0</v>
      </c>
      <c r="BI253" s="224">
        <f>BI148</f>
        <v>0</v>
      </c>
      <c r="BJ253" s="224">
        <f>BJ148</f>
        <v>0</v>
      </c>
      <c r="BK253" s="224">
        <f>BK148</f>
        <v>0</v>
      </c>
      <c r="BL253" s="224">
        <f>BL148</f>
        <v>0</v>
      </c>
      <c r="BM253" s="168">
        <f>SUM(BH253:BL253)</f>
        <v>0</v>
      </c>
      <c r="BN253" s="242">
        <f>BN148</f>
        <v>0</v>
      </c>
      <c r="BO253" s="224">
        <f>BO148</f>
        <v>0</v>
      </c>
      <c r="BP253" s="224">
        <f>BP148</f>
        <v>0</v>
      </c>
      <c r="BQ253" s="243">
        <f>BQ148</f>
        <v>0</v>
      </c>
      <c r="BR253" s="168">
        <f>SUM(BN253:BQ253)</f>
        <v>0</v>
      </c>
      <c r="BS253" s="242">
        <f>+BS148</f>
        <v>0</v>
      </c>
      <c r="BT253" s="224">
        <f>+BT148</f>
        <v>0</v>
      </c>
      <c r="BU253" s="224">
        <f>+BU148</f>
        <v>0</v>
      </c>
      <c r="BV253" s="224">
        <f>+BV148</f>
        <v>0</v>
      </c>
      <c r="BW253" s="243">
        <f>+BW148</f>
        <v>0</v>
      </c>
      <c r="BX253" s="168">
        <f>SUM(BS253:BW253)</f>
        <v>0</v>
      </c>
      <c r="BY253" s="242">
        <f>BY148</f>
        <v>0</v>
      </c>
      <c r="BZ253" s="243">
        <f>BZ148</f>
        <v>0</v>
      </c>
      <c r="CA253" s="168">
        <f>SUM(BY253:BZ253)</f>
        <v>0</v>
      </c>
      <c r="CB253" s="168">
        <f>CA253+BX253+BR253+BM253+BG253</f>
        <v>0</v>
      </c>
      <c r="CC253" s="242">
        <f>+CC148</f>
        <v>0</v>
      </c>
      <c r="CD253" s="224">
        <f>+CD148</f>
        <v>0</v>
      </c>
      <c r="CE253" s="243">
        <f>+CE148</f>
        <v>0</v>
      </c>
      <c r="CF253" s="168">
        <f>SUM(CC253:CE253)</f>
        <v>0</v>
      </c>
      <c r="CG253" s="242">
        <f>+CG61</f>
        <v>0</v>
      </c>
      <c r="CH253" s="224">
        <f>+CH61</f>
        <v>0</v>
      </c>
      <c r="CI253" s="224">
        <f>+CI61</f>
        <v>0</v>
      </c>
      <c r="CJ253" s="243">
        <f>+CJ61</f>
        <v>0</v>
      </c>
      <c r="CK253" s="168">
        <f>SUM(CG253:CJ253)</f>
        <v>0</v>
      </c>
      <c r="CL253" s="242"/>
      <c r="CM253" s="224"/>
      <c r="CN253" s="224"/>
      <c r="CO253" s="224"/>
      <c r="CP253" s="243"/>
      <c r="CQ253" s="168">
        <f>CQ148</f>
        <v>0</v>
      </c>
      <c r="CR253" s="242"/>
      <c r="CS253" s="224"/>
      <c r="CT253" s="224"/>
      <c r="CU253" s="224"/>
      <c r="CV253" s="243"/>
      <c r="CW253" s="168">
        <f>+CW148</f>
        <v>0</v>
      </c>
      <c r="CX253" s="242">
        <f>CX148</f>
        <v>0</v>
      </c>
      <c r="CY253" s="224">
        <f>CY148</f>
        <v>0</v>
      </c>
      <c r="CZ253" s="224">
        <f>CZ148</f>
        <v>0</v>
      </c>
      <c r="DA253" s="243">
        <f>DA148</f>
        <v>0</v>
      </c>
      <c r="DB253" s="168">
        <f>SUM(CX253:DA253)</f>
        <v>0</v>
      </c>
      <c r="DC253" s="168">
        <f>DB253+CW253+CQ253+CK253+CF253</f>
        <v>0</v>
      </c>
      <c r="DD253" s="242">
        <f>DD148</f>
        <v>15000</v>
      </c>
      <c r="DE253" s="224">
        <f>DE148</f>
        <v>0</v>
      </c>
      <c r="DF253" s="224">
        <f>DF148</f>
        <v>0</v>
      </c>
      <c r="DG253" s="224">
        <f>DG148</f>
        <v>0</v>
      </c>
      <c r="DH253" s="243">
        <f>DH148</f>
        <v>0</v>
      </c>
      <c r="DI253" s="168">
        <f>SUM(DD253:DH253)</f>
        <v>15000</v>
      </c>
      <c r="DJ253" s="242">
        <f>DJ148</f>
        <v>0</v>
      </c>
      <c r="DK253" s="224">
        <f>DK148</f>
        <v>0</v>
      </c>
      <c r="DL253" s="224">
        <f>DL148</f>
        <v>0</v>
      </c>
      <c r="DM253" s="224">
        <f>DM148</f>
        <v>0</v>
      </c>
      <c r="DN253" s="243">
        <f>DN148</f>
        <v>0</v>
      </c>
      <c r="DO253" s="168">
        <f>SUM(DJ253:DN253)</f>
        <v>0</v>
      </c>
      <c r="DP253" s="242"/>
      <c r="DQ253" s="224"/>
      <c r="DR253" s="224"/>
      <c r="DS253" s="224"/>
      <c r="DT253" s="243"/>
      <c r="DU253" s="168">
        <f>SUM(DP253:DT253)</f>
        <v>0</v>
      </c>
      <c r="DV253" s="242"/>
      <c r="DW253" s="224"/>
      <c r="DX253" s="224"/>
      <c r="DY253" s="224"/>
      <c r="DZ253" s="243"/>
      <c r="EA253" s="168">
        <f>SUM(DV253:DZ253)</f>
        <v>0</v>
      </c>
      <c r="EB253" s="168">
        <f>EA253+DU253+DO253+DI253</f>
        <v>15000</v>
      </c>
      <c r="EC253" s="242"/>
      <c r="ED253" s="224"/>
      <c r="EE253" s="224"/>
      <c r="EF253" s="224"/>
      <c r="EG253" s="243"/>
      <c r="EH253" s="168">
        <f>SUM(EC253:EG253)</f>
        <v>0</v>
      </c>
      <c r="EI253" s="242"/>
      <c r="EJ253" s="224"/>
      <c r="EK253" s="224"/>
      <c r="EL253" s="224"/>
      <c r="EM253" s="243"/>
      <c r="EN253" s="168">
        <f>SUM(EI253:EM253)</f>
        <v>0</v>
      </c>
      <c r="EO253" s="242">
        <f>EO148</f>
        <v>0</v>
      </c>
      <c r="EP253" s="224">
        <f>EP148</f>
        <v>0</v>
      </c>
      <c r="EQ253" s="224">
        <f>EQ148</f>
        <v>0</v>
      </c>
      <c r="ER253" s="224">
        <f>ER148</f>
        <v>0</v>
      </c>
      <c r="ES253" s="243">
        <f>ES148</f>
        <v>0</v>
      </c>
      <c r="ET253" s="168">
        <f>SUM(EO253:ES253)</f>
        <v>0</v>
      </c>
      <c r="EU253" s="242">
        <f>EU148</f>
        <v>0</v>
      </c>
      <c r="EV253" s="224">
        <f t="shared" ref="EV253:FA253" si="714">EV148</f>
        <v>0</v>
      </c>
      <c r="EW253" s="224">
        <f t="shared" si="714"/>
        <v>0</v>
      </c>
      <c r="EX253" s="224">
        <f t="shared" si="714"/>
        <v>0</v>
      </c>
      <c r="EY253" s="224">
        <f t="shared" si="714"/>
        <v>0</v>
      </c>
      <c r="EZ253" s="224">
        <f t="shared" si="714"/>
        <v>150000</v>
      </c>
      <c r="FA253" s="243">
        <f t="shared" si="714"/>
        <v>0</v>
      </c>
      <c r="FB253" s="168">
        <f>SUM(EU253:FA253)</f>
        <v>150000</v>
      </c>
      <c r="FC253" s="168">
        <f>FB253+ET253+EN253+EH253</f>
        <v>150000</v>
      </c>
      <c r="FD253" s="242">
        <f>FD148</f>
        <v>0</v>
      </c>
      <c r="FE253" s="224">
        <f>FE148</f>
        <v>0</v>
      </c>
      <c r="FF253" s="243">
        <f>FF148</f>
        <v>0</v>
      </c>
      <c r="FG253" s="168">
        <f>SUM(FD253:FF253)</f>
        <v>0</v>
      </c>
      <c r="FH253" s="242">
        <f>FH148</f>
        <v>0</v>
      </c>
      <c r="FI253" s="224">
        <f>FI148</f>
        <v>0</v>
      </c>
      <c r="FJ253" s="224">
        <f>FJ148</f>
        <v>0</v>
      </c>
      <c r="FK253" s="224">
        <f>FK148</f>
        <v>0</v>
      </c>
      <c r="FL253" s="243">
        <f>FL148</f>
        <v>0</v>
      </c>
      <c r="FM253" s="168">
        <f>SUM(FH253:FL253)</f>
        <v>0</v>
      </c>
      <c r="FN253" s="242">
        <f>FN148</f>
        <v>0</v>
      </c>
      <c r="FO253" s="224">
        <f>FO148</f>
        <v>0</v>
      </c>
      <c r="FP253" s="224">
        <f>FP148</f>
        <v>0</v>
      </c>
      <c r="FQ253" s="243">
        <f>FQ148</f>
        <v>0</v>
      </c>
      <c r="FR253" s="168">
        <f>SUM(FN253:FQ253)</f>
        <v>0</v>
      </c>
      <c r="FS253" s="242">
        <f t="shared" ref="FS253:FW254" si="715">FS60</f>
        <v>0</v>
      </c>
      <c r="FT253" s="224">
        <f t="shared" si="715"/>
        <v>0</v>
      </c>
      <c r="FU253" s="224">
        <f t="shared" si="715"/>
        <v>0</v>
      </c>
      <c r="FV253" s="224">
        <f t="shared" si="715"/>
        <v>0</v>
      </c>
      <c r="FW253" s="243">
        <f t="shared" si="715"/>
        <v>0</v>
      </c>
      <c r="FX253" s="168">
        <f>SUM(FS253:FW253)</f>
        <v>0</v>
      </c>
      <c r="FY253" s="242">
        <f>FY148</f>
        <v>0</v>
      </c>
      <c r="FZ253" s="224">
        <f>FZ148</f>
        <v>0</v>
      </c>
      <c r="GA253" s="224">
        <f>GA148</f>
        <v>0</v>
      </c>
      <c r="GB253" s="224">
        <f>GB148</f>
        <v>0</v>
      </c>
      <c r="GC253" s="243">
        <f>GC148</f>
        <v>0</v>
      </c>
      <c r="GD253" s="168">
        <f>SUM(FY253:GC253)</f>
        <v>0</v>
      </c>
      <c r="GE253" s="168">
        <f>FG253+FM253+FR253+FX253+GD253</f>
        <v>0</v>
      </c>
      <c r="GF253" s="242">
        <f>GF148</f>
        <v>0</v>
      </c>
      <c r="GG253" s="224">
        <f>GG148</f>
        <v>0</v>
      </c>
      <c r="GH253" s="224">
        <f>GH148</f>
        <v>0</v>
      </c>
      <c r="GI253" s="224">
        <f>GI148</f>
        <v>0</v>
      </c>
      <c r="GJ253" s="243">
        <f>GJ148</f>
        <v>0</v>
      </c>
      <c r="GK253" s="168">
        <f>SUM(GF253:GJ253)</f>
        <v>0</v>
      </c>
      <c r="GL253" s="242"/>
      <c r="GM253" s="224"/>
      <c r="GN253" s="224"/>
      <c r="GO253" s="243"/>
      <c r="GP253" s="168"/>
      <c r="GQ253" s="242"/>
      <c r="GR253" s="224"/>
      <c r="GS253" s="224"/>
      <c r="GT253" s="224"/>
      <c r="GU253" s="243"/>
      <c r="GV253" s="168"/>
      <c r="GW253" s="242"/>
      <c r="GX253" s="224"/>
      <c r="GY253" s="224"/>
      <c r="GZ253" s="224"/>
      <c r="HA253" s="224"/>
      <c r="HB253" s="243"/>
      <c r="HC253" s="168"/>
      <c r="HD253" s="168"/>
      <c r="HE253" s="242"/>
      <c r="HF253" s="224"/>
      <c r="HG253" s="224"/>
      <c r="HH253" s="224"/>
      <c r="HI253" s="168"/>
      <c r="HJ253" s="242"/>
      <c r="HK253" s="224"/>
      <c r="HL253" s="224"/>
      <c r="HM253" s="224"/>
      <c r="HN253" s="243"/>
      <c r="HO253" s="168"/>
      <c r="HP253" s="242"/>
      <c r="HQ253" s="224"/>
      <c r="HR253" s="224"/>
      <c r="HS253" s="224"/>
      <c r="HT253" s="243"/>
      <c r="HU253" s="168"/>
      <c r="HV253" s="242"/>
      <c r="HW253" s="224"/>
      <c r="HX253" s="224"/>
      <c r="HY253" s="168"/>
      <c r="HZ253" s="242"/>
      <c r="IA253" s="224"/>
      <c r="IB253" s="243"/>
      <c r="IC253" s="168"/>
      <c r="ID253" s="168"/>
      <c r="IE253" s="242">
        <f>IE148</f>
        <v>0</v>
      </c>
      <c r="IF253" s="243">
        <f>IF148</f>
        <v>0</v>
      </c>
      <c r="IG253" s="168">
        <f>SUM(IE253:IF253)</f>
        <v>0</v>
      </c>
      <c r="IH253" s="242">
        <f>IH148</f>
        <v>0</v>
      </c>
      <c r="II253" s="224">
        <f t="shared" ref="II253:IL253" si="716">II148</f>
        <v>0</v>
      </c>
      <c r="IJ253" s="224">
        <f t="shared" si="716"/>
        <v>0</v>
      </c>
      <c r="IK253" s="224">
        <f t="shared" si="716"/>
        <v>0</v>
      </c>
      <c r="IL253" s="243">
        <f t="shared" si="716"/>
        <v>0</v>
      </c>
      <c r="IM253" s="168">
        <f>SUM(IH253:IL253)</f>
        <v>0</v>
      </c>
      <c r="IN253" s="242">
        <f>IN148</f>
        <v>0</v>
      </c>
      <c r="IO253" s="224">
        <f t="shared" ref="IO253:IP253" si="717">IO148</f>
        <v>0</v>
      </c>
      <c r="IP253" s="243">
        <f t="shared" si="717"/>
        <v>0</v>
      </c>
      <c r="IQ253" s="168">
        <f>SUM(IN253:IP253)</f>
        <v>0</v>
      </c>
      <c r="IR253" s="242">
        <f>IR148</f>
        <v>0</v>
      </c>
      <c r="IS253" s="224">
        <f t="shared" ref="IS253:IV253" si="718">IS148</f>
        <v>0</v>
      </c>
      <c r="IT253" s="224">
        <f t="shared" si="718"/>
        <v>0</v>
      </c>
      <c r="IU253" s="224">
        <f t="shared" si="718"/>
        <v>0</v>
      </c>
      <c r="IV253" s="243">
        <f t="shared" si="718"/>
        <v>0</v>
      </c>
      <c r="IW253" s="168">
        <f>SUM(IR253:IV253)</f>
        <v>0</v>
      </c>
      <c r="IX253" s="242">
        <f>IX148</f>
        <v>0</v>
      </c>
      <c r="IY253" s="224">
        <f t="shared" ref="IY253:JB253" si="719">IY148</f>
        <v>246250</v>
      </c>
      <c r="IZ253" s="224">
        <f t="shared" si="719"/>
        <v>0</v>
      </c>
      <c r="JA253" s="224">
        <f t="shared" si="719"/>
        <v>0</v>
      </c>
      <c r="JB253" s="243">
        <f t="shared" si="719"/>
        <v>0</v>
      </c>
      <c r="JC253" s="168">
        <f>SUM(IX253:JB253)</f>
        <v>246250</v>
      </c>
      <c r="JD253" s="168">
        <f>IG253+IM253+IQ253+IW253+JC253</f>
        <v>246250</v>
      </c>
      <c r="JE253" s="242">
        <f>JE148</f>
        <v>0</v>
      </c>
      <c r="JF253" s="224">
        <f t="shared" ref="JF253:JI253" si="720">JF148</f>
        <v>0</v>
      </c>
      <c r="JG253" s="224">
        <f t="shared" si="720"/>
        <v>0</v>
      </c>
      <c r="JH253" s="224">
        <f t="shared" si="720"/>
        <v>246250</v>
      </c>
      <c r="JI253" s="243">
        <f t="shared" si="720"/>
        <v>0</v>
      </c>
      <c r="JJ253" s="168">
        <f>SUM(JE253:JI253)</f>
        <v>246250</v>
      </c>
      <c r="JK253" s="242"/>
      <c r="JL253" s="224"/>
      <c r="JM253" s="224"/>
      <c r="JN253" s="224"/>
      <c r="JO253" s="243"/>
      <c r="JP253" s="168"/>
      <c r="JQ253" s="242"/>
      <c r="JR253" s="224"/>
      <c r="JS253" s="224"/>
      <c r="JT253" s="224"/>
      <c r="JU253" s="243"/>
      <c r="JV253" s="168"/>
      <c r="JW253" s="242"/>
      <c r="JX253" s="224"/>
      <c r="JY253" s="224"/>
      <c r="JZ253" s="224"/>
      <c r="KA253" s="224"/>
      <c r="KB253" s="243"/>
      <c r="KC253" s="168"/>
      <c r="KD253" s="168"/>
      <c r="KE253" s="242"/>
      <c r="KF253" s="224"/>
      <c r="KG253" s="224"/>
      <c r="KH253" s="224"/>
      <c r="KI253" s="243"/>
      <c r="KJ253" s="168"/>
      <c r="KK253" s="242"/>
      <c r="KL253" s="224"/>
      <c r="KM253" s="224"/>
      <c r="KN253" s="224"/>
      <c r="KO253" s="243"/>
      <c r="KP253" s="168"/>
      <c r="KQ253" s="242"/>
      <c r="KR253" s="224"/>
      <c r="KS253" s="224"/>
      <c r="KT253" s="224"/>
      <c r="KU253" s="243"/>
      <c r="KV253" s="168"/>
      <c r="KW253" s="181"/>
      <c r="KX253" s="238"/>
      <c r="KY253" s="238"/>
      <c r="KZ253" s="238"/>
      <c r="LA253" s="239"/>
      <c r="LB253" s="168"/>
      <c r="LC253" s="181"/>
      <c r="LD253" s="238"/>
      <c r="LE253" s="239"/>
      <c r="LF253" s="168"/>
      <c r="LG253" s="168"/>
      <c r="LJ253" s="91" t="s">
        <v>29</v>
      </c>
    </row>
    <row r="254" spans="2:322">
      <c r="B254" s="93" t="s">
        <v>113</v>
      </c>
      <c r="C254" s="167"/>
      <c r="D254" s="181">
        <f>SUM(C254:C254)</f>
        <v>0</v>
      </c>
      <c r="E254" s="167"/>
      <c r="F254" s="177"/>
      <c r="G254" s="177"/>
      <c r="H254" s="177"/>
      <c r="I254" s="178"/>
      <c r="J254" s="181">
        <f>SUM(E254:I254)</f>
        <v>0</v>
      </c>
      <c r="K254" s="167">
        <f>K61</f>
        <v>0</v>
      </c>
      <c r="L254" s="177"/>
      <c r="M254" s="177">
        <f>M61</f>
        <v>0</v>
      </c>
      <c r="N254" s="178">
        <f>N61</f>
        <v>0</v>
      </c>
      <c r="O254" s="181">
        <f>SUM(K254:N254)</f>
        <v>0</v>
      </c>
      <c r="P254" s="167"/>
      <c r="Q254" s="177"/>
      <c r="R254" s="177"/>
      <c r="S254" s="177"/>
      <c r="T254" s="178"/>
      <c r="U254" s="181">
        <f t="shared" ref="U254:Z254" si="721">U61</f>
        <v>0</v>
      </c>
      <c r="V254" s="167">
        <f t="shared" si="721"/>
        <v>0</v>
      </c>
      <c r="W254" s="177">
        <f t="shared" si="721"/>
        <v>0</v>
      </c>
      <c r="X254" s="177">
        <f t="shared" si="721"/>
        <v>0</v>
      </c>
      <c r="Y254" s="177">
        <f t="shared" si="721"/>
        <v>0</v>
      </c>
      <c r="Z254" s="178">
        <f t="shared" si="721"/>
        <v>45000</v>
      </c>
      <c r="AA254" s="181">
        <f>SUM(V254:Z254)</f>
        <v>45000</v>
      </c>
      <c r="AB254" s="168">
        <f>AA254+U254+O254+J254+D254</f>
        <v>45000</v>
      </c>
      <c r="AC254" s="242">
        <f>AC61</f>
        <v>0</v>
      </c>
      <c r="AD254" s="224">
        <f>AD61</f>
        <v>0</v>
      </c>
      <c r="AE254" s="224">
        <f>AE61</f>
        <v>0</v>
      </c>
      <c r="AF254" s="224">
        <f>AF61</f>
        <v>0</v>
      </c>
      <c r="AG254" s="243">
        <f>AG61</f>
        <v>0</v>
      </c>
      <c r="AH254" s="168">
        <f>SUM(AC254:AG254)</f>
        <v>0</v>
      </c>
      <c r="AI254" s="242"/>
      <c r="AJ254" s="224"/>
      <c r="AK254" s="224"/>
      <c r="AL254" s="224"/>
      <c r="AM254" s="243"/>
      <c r="AN254" s="168">
        <f>SUM(AI254:AM254)</f>
        <v>0</v>
      </c>
      <c r="AO254" s="242">
        <f>AO61</f>
        <v>0</v>
      </c>
      <c r="AP254" s="224">
        <f>AP61</f>
        <v>0</v>
      </c>
      <c r="AQ254" s="224">
        <f>AQ61</f>
        <v>0</v>
      </c>
      <c r="AR254" s="224">
        <f>AR61</f>
        <v>0</v>
      </c>
      <c r="AS254" s="243">
        <f>AS61</f>
        <v>0</v>
      </c>
      <c r="AT254" s="168">
        <f>SUM(AO254:AS254)</f>
        <v>0</v>
      </c>
      <c r="AU254" s="242">
        <f t="shared" ref="AU254:AZ254" si="722">AU61</f>
        <v>0</v>
      </c>
      <c r="AV254" s="224">
        <f t="shared" si="722"/>
        <v>0</v>
      </c>
      <c r="AW254" s="224">
        <f t="shared" si="722"/>
        <v>0</v>
      </c>
      <c r="AX254" s="224">
        <f t="shared" si="722"/>
        <v>0</v>
      </c>
      <c r="AY254" s="243">
        <f t="shared" si="722"/>
        <v>0</v>
      </c>
      <c r="AZ254" s="168">
        <f t="shared" si="722"/>
        <v>0</v>
      </c>
      <c r="BA254" s="168">
        <f>AZ254+AT254+AN254+AH254</f>
        <v>0</v>
      </c>
      <c r="BB254" s="242">
        <f>BB61</f>
        <v>20000</v>
      </c>
      <c r="BC254" s="224">
        <f>BC61</f>
        <v>0</v>
      </c>
      <c r="BD254" s="224">
        <f>BD61</f>
        <v>0</v>
      </c>
      <c r="BE254" s="224">
        <f>BE61</f>
        <v>0</v>
      </c>
      <c r="BF254" s="243">
        <f>BF61</f>
        <v>0</v>
      </c>
      <c r="BG254" s="168">
        <f>SUM(BB254:BF254)</f>
        <v>20000</v>
      </c>
      <c r="BH254" s="242">
        <f>BH61</f>
        <v>0</v>
      </c>
      <c r="BI254" s="224">
        <f>BI61</f>
        <v>0</v>
      </c>
      <c r="BJ254" s="224">
        <f>BJ61</f>
        <v>0</v>
      </c>
      <c r="BK254" s="224">
        <f>BK61</f>
        <v>0</v>
      </c>
      <c r="BL254" s="243">
        <f>BL61</f>
        <v>0</v>
      </c>
      <c r="BM254" s="168">
        <f>SUM(BH254:BL254)</f>
        <v>0</v>
      </c>
      <c r="BN254" s="242">
        <f>BN61</f>
        <v>0</v>
      </c>
      <c r="BO254" s="224">
        <f>BO61</f>
        <v>0</v>
      </c>
      <c r="BP254" s="224">
        <f>BP61</f>
        <v>0</v>
      </c>
      <c r="BQ254" s="243">
        <f>BQ61</f>
        <v>0</v>
      </c>
      <c r="BR254" s="168">
        <f>SUM(BN254:BQ254)</f>
        <v>0</v>
      </c>
      <c r="BS254" s="242">
        <f>+BS61</f>
        <v>0</v>
      </c>
      <c r="BT254" s="224">
        <f>+BT61</f>
        <v>0</v>
      </c>
      <c r="BU254" s="224">
        <f>+BU61</f>
        <v>0</v>
      </c>
      <c r="BV254" s="224">
        <f>+BV61</f>
        <v>0</v>
      </c>
      <c r="BW254" s="243">
        <f>+BW61</f>
        <v>0</v>
      </c>
      <c r="BX254" s="168">
        <f>SUM(BS254:BW254)</f>
        <v>0</v>
      </c>
      <c r="BY254" s="242">
        <f>+BY61</f>
        <v>0</v>
      </c>
      <c r="BZ254" s="243">
        <f>+BZ61</f>
        <v>0</v>
      </c>
      <c r="CA254" s="168">
        <f>SUM(BY254:BZ254)</f>
        <v>0</v>
      </c>
      <c r="CB254" s="168">
        <f>CA254+BX254+BR254+BM254+BG254</f>
        <v>20000</v>
      </c>
      <c r="CC254" s="242">
        <f>CC61</f>
        <v>0</v>
      </c>
      <c r="CD254" s="224">
        <f>CD61</f>
        <v>0</v>
      </c>
      <c r="CE254" s="224">
        <f>CE61</f>
        <v>0</v>
      </c>
      <c r="CF254" s="168">
        <f>SUM(CC254:CE254)</f>
        <v>0</v>
      </c>
      <c r="CG254" s="242">
        <f>CG61</f>
        <v>0</v>
      </c>
      <c r="CH254" s="224">
        <f>CH61</f>
        <v>0</v>
      </c>
      <c r="CI254" s="224">
        <f>CI61</f>
        <v>0</v>
      </c>
      <c r="CJ254" s="243">
        <f>CJ61</f>
        <v>0</v>
      </c>
      <c r="CK254" s="168">
        <f>SUM(CG254:CJ254)</f>
        <v>0</v>
      </c>
      <c r="CL254" s="242">
        <f t="shared" ref="CL254:CQ254" si="723">CL61</f>
        <v>0</v>
      </c>
      <c r="CM254" s="224">
        <f t="shared" si="723"/>
        <v>0</v>
      </c>
      <c r="CN254" s="224">
        <f t="shared" si="723"/>
        <v>0</v>
      </c>
      <c r="CO254" s="224">
        <f t="shared" si="723"/>
        <v>0</v>
      </c>
      <c r="CP254" s="243">
        <f t="shared" si="723"/>
        <v>0</v>
      </c>
      <c r="CQ254" s="168">
        <f t="shared" si="723"/>
        <v>0</v>
      </c>
      <c r="CR254" s="242"/>
      <c r="CS254" s="224"/>
      <c r="CT254" s="224"/>
      <c r="CU254" s="224"/>
      <c r="CV254" s="243"/>
      <c r="CW254" s="168">
        <f>CW61</f>
        <v>0</v>
      </c>
      <c r="CX254" s="242">
        <f>CX61</f>
        <v>0</v>
      </c>
      <c r="CY254" s="224">
        <f>CY61</f>
        <v>0</v>
      </c>
      <c r="CZ254" s="224">
        <f>CZ61</f>
        <v>0</v>
      </c>
      <c r="DA254" s="243">
        <f>DA61</f>
        <v>0</v>
      </c>
      <c r="DB254" s="168">
        <f>SUM(CX254:DA254)</f>
        <v>0</v>
      </c>
      <c r="DC254" s="168">
        <f>DB254+CW254+CQ254+CK254+CF254</f>
        <v>0</v>
      </c>
      <c r="DD254" s="242">
        <f>DD61</f>
        <v>0</v>
      </c>
      <c r="DE254" s="224">
        <f>DE61</f>
        <v>0</v>
      </c>
      <c r="DF254" s="224">
        <f>DF61</f>
        <v>0</v>
      </c>
      <c r="DG254" s="224">
        <f>DG61</f>
        <v>0</v>
      </c>
      <c r="DH254" s="243">
        <f>DH61</f>
        <v>0</v>
      </c>
      <c r="DI254" s="168">
        <f>SUM(DD254:DH254)</f>
        <v>0</v>
      </c>
      <c r="DJ254" s="242">
        <f>DJ61</f>
        <v>0</v>
      </c>
      <c r="DK254" s="224">
        <f>DK61</f>
        <v>0</v>
      </c>
      <c r="DL254" s="224">
        <f>DL61</f>
        <v>0</v>
      </c>
      <c r="DM254" s="224">
        <f>DM61</f>
        <v>0</v>
      </c>
      <c r="DN254" s="243">
        <f>DN61</f>
        <v>0</v>
      </c>
      <c r="DO254" s="168">
        <f>SUM(DJ254:DN254)</f>
        <v>0</v>
      </c>
      <c r="DP254" s="242"/>
      <c r="DQ254" s="224"/>
      <c r="DR254" s="224"/>
      <c r="DS254" s="224"/>
      <c r="DT254" s="243"/>
      <c r="DU254" s="168">
        <f>SUM(DP254:DT254)</f>
        <v>0</v>
      </c>
      <c r="DV254" s="242"/>
      <c r="DW254" s="224"/>
      <c r="DX254" s="224"/>
      <c r="DY254" s="224"/>
      <c r="DZ254" s="243"/>
      <c r="EA254" s="168">
        <f>SUM(DV254:DZ254)</f>
        <v>0</v>
      </c>
      <c r="EB254" s="168">
        <f>EA254+DU254+DO254+DI254</f>
        <v>0</v>
      </c>
      <c r="EC254" s="242">
        <f>EC61</f>
        <v>0</v>
      </c>
      <c r="ED254" s="224">
        <f>ED61</f>
        <v>0</v>
      </c>
      <c r="EE254" s="224">
        <f>EE61</f>
        <v>0</v>
      </c>
      <c r="EF254" s="224">
        <f>EF61</f>
        <v>0</v>
      </c>
      <c r="EG254" s="243">
        <f>EG61</f>
        <v>0</v>
      </c>
      <c r="EH254" s="168">
        <f>SUM(EC254:EG254)</f>
        <v>0</v>
      </c>
      <c r="EI254" s="242"/>
      <c r="EJ254" s="224"/>
      <c r="EK254" s="224"/>
      <c r="EL254" s="224"/>
      <c r="EM254" s="243"/>
      <c r="EN254" s="168">
        <f>SUM(EI254:EM254)</f>
        <v>0</v>
      </c>
      <c r="EO254" s="242">
        <f>EO61</f>
        <v>0</v>
      </c>
      <c r="EP254" s="224">
        <f>EP61</f>
        <v>0</v>
      </c>
      <c r="EQ254" s="224">
        <f>EQ61</f>
        <v>0</v>
      </c>
      <c r="ER254" s="224">
        <f>ER61</f>
        <v>0</v>
      </c>
      <c r="ES254" s="243">
        <f>ES61</f>
        <v>0</v>
      </c>
      <c r="ET254" s="168">
        <f>SUM(EO254:ES254)</f>
        <v>0</v>
      </c>
      <c r="EU254" s="242">
        <f t="shared" ref="EU254:FA254" si="724">EU61</f>
        <v>0</v>
      </c>
      <c r="EV254" s="224">
        <f t="shared" si="724"/>
        <v>0</v>
      </c>
      <c r="EW254" s="224">
        <f t="shared" si="724"/>
        <v>0</v>
      </c>
      <c r="EX254" s="224">
        <f t="shared" si="724"/>
        <v>0</v>
      </c>
      <c r="EY254" s="224">
        <f t="shared" si="724"/>
        <v>0</v>
      </c>
      <c r="EZ254" s="224">
        <f>EZ61</f>
        <v>0</v>
      </c>
      <c r="FA254" s="243">
        <f t="shared" si="724"/>
        <v>0</v>
      </c>
      <c r="FB254" s="168">
        <f>SUM(EU254:FA254)</f>
        <v>0</v>
      </c>
      <c r="FC254" s="168">
        <f>FB254+ET254+EN254+EH254</f>
        <v>0</v>
      </c>
      <c r="FD254" s="242">
        <f>FD61</f>
        <v>15000</v>
      </c>
      <c r="FE254" s="224">
        <f>FE61</f>
        <v>0</v>
      </c>
      <c r="FF254" s="243">
        <f>FF61</f>
        <v>0</v>
      </c>
      <c r="FG254" s="168">
        <f>SUM(FD254:FF254)</f>
        <v>15000</v>
      </c>
      <c r="FH254" s="242">
        <f>FH61</f>
        <v>0</v>
      </c>
      <c r="FI254" s="224">
        <f>FI61</f>
        <v>0</v>
      </c>
      <c r="FJ254" s="224">
        <f>FJ61</f>
        <v>0</v>
      </c>
      <c r="FK254" s="224">
        <f>FK61</f>
        <v>0</v>
      </c>
      <c r="FL254" s="243">
        <f>FL61</f>
        <v>0</v>
      </c>
      <c r="FM254" s="168">
        <f>SUM(FH254:FL254)</f>
        <v>0</v>
      </c>
      <c r="FN254" s="242">
        <f>FN61</f>
        <v>0</v>
      </c>
      <c r="FO254" s="224">
        <f>FO61</f>
        <v>0</v>
      </c>
      <c r="FP254" s="224">
        <f>FP61</f>
        <v>0</v>
      </c>
      <c r="FQ254" s="224">
        <f>FQ61</f>
        <v>0</v>
      </c>
      <c r="FR254" s="168">
        <f>SUM(FN254:FQ254)</f>
        <v>0</v>
      </c>
      <c r="FS254" s="242">
        <f t="shared" si="715"/>
        <v>0</v>
      </c>
      <c r="FT254" s="224">
        <f t="shared" si="715"/>
        <v>0</v>
      </c>
      <c r="FU254" s="224">
        <f t="shared" si="715"/>
        <v>0</v>
      </c>
      <c r="FV254" s="224">
        <f t="shared" si="715"/>
        <v>0</v>
      </c>
      <c r="FW254" s="243">
        <f t="shared" si="715"/>
        <v>0</v>
      </c>
      <c r="FX254" s="168">
        <f>SUM(FS254:FW254)</f>
        <v>0</v>
      </c>
      <c r="FY254" s="242">
        <f>FY61</f>
        <v>0</v>
      </c>
      <c r="FZ254" s="224">
        <f>FZ61</f>
        <v>0</v>
      </c>
      <c r="GA254" s="224">
        <f>GA61</f>
        <v>0</v>
      </c>
      <c r="GB254" s="224">
        <f>GB61</f>
        <v>0</v>
      </c>
      <c r="GC254" s="243">
        <f>GC61</f>
        <v>0</v>
      </c>
      <c r="GD254" s="168">
        <f>SUM(FY254:GC254)</f>
        <v>0</v>
      </c>
      <c r="GE254" s="168">
        <f>FG254+FM254+FR254+FX254+GD254</f>
        <v>15000</v>
      </c>
      <c r="GF254" s="242">
        <f>GF61</f>
        <v>80000</v>
      </c>
      <c r="GG254" s="224">
        <f>GG61</f>
        <v>0</v>
      </c>
      <c r="GH254" s="224">
        <f>GH61</f>
        <v>0</v>
      </c>
      <c r="GI254" s="224">
        <f>GI61</f>
        <v>0</v>
      </c>
      <c r="GJ254" s="243">
        <f>GJ61</f>
        <v>0</v>
      </c>
      <c r="GK254" s="168">
        <f>SUM(GF254:GJ254)</f>
        <v>80000</v>
      </c>
      <c r="GL254" s="242">
        <f>GL61</f>
        <v>0</v>
      </c>
      <c r="GM254" s="224">
        <f>GM61</f>
        <v>0</v>
      </c>
      <c r="GN254" s="224">
        <f>GN61</f>
        <v>0</v>
      </c>
      <c r="GO254" s="243">
        <f>GO61</f>
        <v>0</v>
      </c>
      <c r="GP254" s="168">
        <f>SUM(GL254:GO254)</f>
        <v>0</v>
      </c>
      <c r="GQ254" s="242">
        <f>GQ61</f>
        <v>0</v>
      </c>
      <c r="GR254" s="224">
        <f>GR61</f>
        <v>0</v>
      </c>
      <c r="GS254" s="224">
        <f>GS61</f>
        <v>0</v>
      </c>
      <c r="GT254" s="224">
        <f>GT61</f>
        <v>0</v>
      </c>
      <c r="GU254" s="243">
        <f>GU61</f>
        <v>0</v>
      </c>
      <c r="GV254" s="168">
        <f>SUM(GQ254:GU254)</f>
        <v>0</v>
      </c>
      <c r="GW254" s="242"/>
      <c r="GX254" s="224"/>
      <c r="GY254" s="224"/>
      <c r="GZ254" s="224"/>
      <c r="HA254" s="224"/>
      <c r="HB254" s="243"/>
      <c r="HC254" s="168">
        <f>SUM(GW254:HB254)</f>
        <v>0</v>
      </c>
      <c r="HD254" s="168">
        <f>GK254+GP254+GV254+HC254</f>
        <v>80000</v>
      </c>
      <c r="HE254" s="242">
        <f>HE61</f>
        <v>0</v>
      </c>
      <c r="HF254" s="224">
        <f>HF61</f>
        <v>0</v>
      </c>
      <c r="HG254" s="224">
        <f>HG61</f>
        <v>0</v>
      </c>
      <c r="HH254" s="224">
        <f>HH61</f>
        <v>0</v>
      </c>
      <c r="HI254" s="168">
        <f>SUM(HE254:HH254)</f>
        <v>0</v>
      </c>
      <c r="HJ254" s="242">
        <f>HJ61</f>
        <v>0</v>
      </c>
      <c r="HK254" s="224">
        <f>HK61</f>
        <v>0</v>
      </c>
      <c r="HL254" s="224">
        <f>HL61</f>
        <v>0</v>
      </c>
      <c r="HM254" s="224">
        <f>HM61</f>
        <v>0</v>
      </c>
      <c r="HN254" s="243">
        <f>HN61</f>
        <v>0</v>
      </c>
      <c r="HO254" s="168">
        <f>SUM(HJ254:HN254)</f>
        <v>0</v>
      </c>
      <c r="HP254" s="242">
        <f>HP61</f>
        <v>0</v>
      </c>
      <c r="HQ254" s="224">
        <f>HQ61</f>
        <v>0</v>
      </c>
      <c r="HR254" s="224">
        <f>HR61</f>
        <v>0</v>
      </c>
      <c r="HS254" s="224">
        <f>HS61</f>
        <v>0</v>
      </c>
      <c r="HT254" s="243">
        <f>HT61</f>
        <v>0</v>
      </c>
      <c r="HU254" s="168">
        <f>SUM(HP254:HT254)</f>
        <v>0</v>
      </c>
      <c r="HV254" s="242">
        <f>HV61</f>
        <v>0</v>
      </c>
      <c r="HW254" s="224">
        <f>HW61</f>
        <v>0</v>
      </c>
      <c r="HX254" s="224">
        <f>HX61</f>
        <v>0</v>
      </c>
      <c r="HY254" s="168">
        <f>SUM(HV254:HX254)</f>
        <v>0</v>
      </c>
      <c r="HZ254" s="242">
        <f>HZ61</f>
        <v>0</v>
      </c>
      <c r="IA254" s="224">
        <f>IA61</f>
        <v>0</v>
      </c>
      <c r="IB254" s="243">
        <f>IB61</f>
        <v>0</v>
      </c>
      <c r="IC254" s="168">
        <f>SUM(HZ254:IB254)</f>
        <v>0</v>
      </c>
      <c r="ID254" s="168">
        <f>IC254+HY254+HU254+HO254+HI254</f>
        <v>0</v>
      </c>
      <c r="IE254" s="242">
        <f>IE61</f>
        <v>0</v>
      </c>
      <c r="IF254" s="243">
        <f>IF61</f>
        <v>0</v>
      </c>
      <c r="IG254" s="168">
        <f>SUM(IE254:IF254)</f>
        <v>0</v>
      </c>
      <c r="IH254" s="242">
        <f t="shared" ref="IH254:IL254" si="725">IH61</f>
        <v>0</v>
      </c>
      <c r="II254" s="224">
        <f t="shared" si="725"/>
        <v>0</v>
      </c>
      <c r="IJ254" s="224">
        <f t="shared" si="725"/>
        <v>0</v>
      </c>
      <c r="IK254" s="224">
        <f t="shared" si="725"/>
        <v>0</v>
      </c>
      <c r="IL254" s="243">
        <f t="shared" si="725"/>
        <v>0</v>
      </c>
      <c r="IM254" s="168">
        <f>SUM(IH254:IL254)</f>
        <v>0</v>
      </c>
      <c r="IN254" s="242">
        <f>IN61</f>
        <v>0</v>
      </c>
      <c r="IO254" s="224">
        <f t="shared" ref="IO254:IP254" si="726">IO61</f>
        <v>0</v>
      </c>
      <c r="IP254" s="243">
        <f t="shared" si="726"/>
        <v>0</v>
      </c>
      <c r="IQ254" s="168">
        <f>SUM(IN254:IP254)</f>
        <v>0</v>
      </c>
      <c r="IR254" s="242">
        <f>IR61</f>
        <v>0</v>
      </c>
      <c r="IS254" s="224">
        <f t="shared" ref="IS254:IV254" si="727">IS61</f>
        <v>0</v>
      </c>
      <c r="IT254" s="224">
        <f t="shared" si="727"/>
        <v>0</v>
      </c>
      <c r="IU254" s="224">
        <f t="shared" si="727"/>
        <v>0</v>
      </c>
      <c r="IV254" s="243">
        <f t="shared" si="727"/>
        <v>0</v>
      </c>
      <c r="IW254" s="168">
        <f>SUM(IR254:IV254)</f>
        <v>0</v>
      </c>
      <c r="IX254" s="242">
        <f>IX61</f>
        <v>0</v>
      </c>
      <c r="IY254" s="224">
        <f t="shared" ref="IY254:JB254" si="728">IY61</f>
        <v>0</v>
      </c>
      <c r="IZ254" s="224">
        <f t="shared" si="728"/>
        <v>0</v>
      </c>
      <c r="JA254" s="224">
        <f t="shared" si="728"/>
        <v>0</v>
      </c>
      <c r="JB254" s="243">
        <f t="shared" si="728"/>
        <v>0</v>
      </c>
      <c r="JC254" s="168">
        <f>SUM(IX254:JB254)</f>
        <v>0</v>
      </c>
      <c r="JD254" s="168">
        <f>IG254+IM254+IQ254+IW254+JC254</f>
        <v>0</v>
      </c>
      <c r="JE254" s="242">
        <f>JE61</f>
        <v>0</v>
      </c>
      <c r="JF254" s="224">
        <f t="shared" ref="JF254:LE254" si="729">JF61</f>
        <v>0</v>
      </c>
      <c r="JG254" s="224">
        <f t="shared" si="729"/>
        <v>0</v>
      </c>
      <c r="JH254" s="224">
        <f t="shared" si="729"/>
        <v>0</v>
      </c>
      <c r="JI254" s="243">
        <f t="shared" si="729"/>
        <v>0</v>
      </c>
      <c r="JJ254" s="168">
        <f>SUM(JE254:JI254)</f>
        <v>0</v>
      </c>
      <c r="JK254" s="242">
        <f t="shared" si="729"/>
        <v>0</v>
      </c>
      <c r="JL254" s="224">
        <f t="shared" si="729"/>
        <v>0</v>
      </c>
      <c r="JM254" s="224">
        <f t="shared" si="729"/>
        <v>0</v>
      </c>
      <c r="JN254" s="224">
        <f t="shared" si="729"/>
        <v>0</v>
      </c>
      <c r="JO254" s="243">
        <f t="shared" si="729"/>
        <v>0</v>
      </c>
      <c r="JP254" s="168">
        <f>SUM(JK254:JO254)</f>
        <v>0</v>
      </c>
      <c r="JQ254" s="242">
        <f t="shared" si="729"/>
        <v>0</v>
      </c>
      <c r="JR254" s="224">
        <f t="shared" si="729"/>
        <v>0</v>
      </c>
      <c r="JS254" s="224">
        <f t="shared" si="729"/>
        <v>0</v>
      </c>
      <c r="JT254" s="224">
        <f t="shared" si="729"/>
        <v>0</v>
      </c>
      <c r="JU254" s="243">
        <f t="shared" si="729"/>
        <v>0</v>
      </c>
      <c r="JV254" s="168">
        <f>SUM(JQ254:JU254)</f>
        <v>0</v>
      </c>
      <c r="JW254" s="242">
        <f t="shared" si="729"/>
        <v>0</v>
      </c>
      <c r="JX254" s="224">
        <f t="shared" si="729"/>
        <v>0</v>
      </c>
      <c r="JY254" s="224">
        <f t="shared" si="729"/>
        <v>0</v>
      </c>
      <c r="JZ254" s="224">
        <f t="shared" si="729"/>
        <v>0</v>
      </c>
      <c r="KA254" s="224"/>
      <c r="KB254" s="243">
        <f t="shared" si="729"/>
        <v>0</v>
      </c>
      <c r="KC254" s="168">
        <f>SUM(JW254:KB254)</f>
        <v>0</v>
      </c>
      <c r="KD254" s="168">
        <f>KC254+JV254+JP254+JJ254</f>
        <v>0</v>
      </c>
      <c r="KE254" s="242">
        <f t="shared" si="729"/>
        <v>0</v>
      </c>
      <c r="KF254" s="224">
        <f t="shared" si="729"/>
        <v>0</v>
      </c>
      <c r="KG254" s="224">
        <f t="shared" si="729"/>
        <v>0</v>
      </c>
      <c r="KH254" s="224">
        <f t="shared" si="729"/>
        <v>0</v>
      </c>
      <c r="KI254" s="243">
        <f t="shared" si="729"/>
        <v>0</v>
      </c>
      <c r="KJ254" s="168">
        <f>SUM(KE254:KI254)</f>
        <v>0</v>
      </c>
      <c r="KK254" s="242">
        <f t="shared" si="729"/>
        <v>0</v>
      </c>
      <c r="KL254" s="224">
        <f t="shared" si="729"/>
        <v>0</v>
      </c>
      <c r="KM254" s="224">
        <f t="shared" si="729"/>
        <v>0</v>
      </c>
      <c r="KN254" s="224">
        <f t="shared" si="729"/>
        <v>0</v>
      </c>
      <c r="KO254" s="243">
        <f t="shared" si="729"/>
        <v>0</v>
      </c>
      <c r="KP254" s="168">
        <f>SUM(KK254:KO254)</f>
        <v>0</v>
      </c>
      <c r="KQ254" s="242">
        <f t="shared" si="729"/>
        <v>0</v>
      </c>
      <c r="KR254" s="224">
        <f t="shared" si="729"/>
        <v>0</v>
      </c>
      <c r="KS254" s="224">
        <f t="shared" si="729"/>
        <v>0</v>
      </c>
      <c r="KT254" s="224">
        <f t="shared" si="729"/>
        <v>0</v>
      </c>
      <c r="KU254" s="243">
        <f t="shared" si="729"/>
        <v>0</v>
      </c>
      <c r="KV254" s="168">
        <f>SUM(KQ254:KU254)</f>
        <v>0</v>
      </c>
      <c r="KW254" s="181">
        <f t="shared" si="729"/>
        <v>0</v>
      </c>
      <c r="KX254" s="238">
        <f t="shared" si="729"/>
        <v>0</v>
      </c>
      <c r="KY254" s="238">
        <f t="shared" si="729"/>
        <v>0</v>
      </c>
      <c r="KZ254" s="238">
        <f t="shared" si="729"/>
        <v>0</v>
      </c>
      <c r="LA254" s="239">
        <f t="shared" si="729"/>
        <v>0</v>
      </c>
      <c r="LB254" s="168">
        <f>SUM(KW254:LA254)</f>
        <v>0</v>
      </c>
      <c r="LC254" s="181">
        <f t="shared" si="729"/>
        <v>0</v>
      </c>
      <c r="LD254" s="238">
        <f t="shared" si="729"/>
        <v>0</v>
      </c>
      <c r="LE254" s="239">
        <f t="shared" si="729"/>
        <v>0</v>
      </c>
      <c r="LF254" s="168">
        <f>SUM(LC254:LE254)</f>
        <v>0</v>
      </c>
      <c r="LG254" s="168">
        <f>LF254+LB254+KV254+KP254+KJ254</f>
        <v>0</v>
      </c>
    </row>
    <row r="255" spans="2:322">
      <c r="B255" s="93"/>
      <c r="C255" s="167"/>
      <c r="D255" s="181"/>
      <c r="E255" s="167"/>
      <c r="F255" s="177"/>
      <c r="G255" s="177"/>
      <c r="H255" s="177"/>
      <c r="I255" s="178"/>
      <c r="J255" s="181"/>
      <c r="K255" s="167"/>
      <c r="L255" s="177"/>
      <c r="M255" s="177"/>
      <c r="N255" s="178"/>
      <c r="O255" s="181"/>
      <c r="P255" s="167"/>
      <c r="Q255" s="177"/>
      <c r="R255" s="177"/>
      <c r="S255" s="177"/>
      <c r="T255" s="178"/>
      <c r="U255" s="181"/>
      <c r="V255" s="167"/>
      <c r="W255" s="177"/>
      <c r="X255" s="177"/>
      <c r="Y255" s="177"/>
      <c r="Z255" s="178"/>
      <c r="AA255" s="181"/>
      <c r="AB255" s="146"/>
      <c r="AC255" s="242"/>
      <c r="AD255" s="224"/>
      <c r="AE255" s="224"/>
      <c r="AF255" s="224"/>
      <c r="AG255" s="243"/>
      <c r="AH255" s="146"/>
      <c r="AI255" s="167"/>
      <c r="AJ255" s="177"/>
      <c r="AK255" s="177"/>
      <c r="AL255" s="177"/>
      <c r="AM255" s="178"/>
      <c r="AN255" s="146"/>
      <c r="AO255" s="167"/>
      <c r="AP255" s="177"/>
      <c r="AQ255" s="177"/>
      <c r="AR255" s="177"/>
      <c r="AS255" s="178"/>
      <c r="AT255" s="146"/>
      <c r="AU255" s="167"/>
      <c r="AV255" s="177"/>
      <c r="AW255" s="177"/>
      <c r="AX255" s="177"/>
      <c r="AY255" s="178"/>
      <c r="AZ255" s="146"/>
      <c r="BA255" s="168"/>
      <c r="BB255" s="181"/>
      <c r="BC255" s="238"/>
      <c r="BD255" s="238"/>
      <c r="BE255" s="238"/>
      <c r="BF255" s="239"/>
      <c r="BG255" s="168"/>
      <c r="BH255" s="181"/>
      <c r="BI255" s="238"/>
      <c r="BJ255" s="238"/>
      <c r="BK255" s="238"/>
      <c r="BL255" s="239"/>
      <c r="BM255" s="168"/>
      <c r="BN255" s="181"/>
      <c r="BO255" s="238"/>
      <c r="BP255" s="238"/>
      <c r="BQ255" s="239"/>
      <c r="BR255" s="168"/>
      <c r="BS255" s="181"/>
      <c r="BT255" s="238"/>
      <c r="BU255" s="238"/>
      <c r="BV255" s="238"/>
      <c r="BW255" s="239"/>
      <c r="BX255" s="168"/>
      <c r="BY255" s="181"/>
      <c r="BZ255" s="238"/>
      <c r="CA255" s="168"/>
      <c r="CB255" s="168"/>
      <c r="CC255" s="242"/>
      <c r="CD255" s="224"/>
      <c r="CE255" s="224"/>
      <c r="CF255" s="168"/>
      <c r="CG255" s="242"/>
      <c r="CH255" s="224"/>
      <c r="CI255" s="224"/>
      <c r="CJ255" s="243"/>
      <c r="CK255" s="168"/>
      <c r="CL255" s="242"/>
      <c r="CM255" s="224"/>
      <c r="CN255" s="224"/>
      <c r="CO255" s="224"/>
      <c r="CP255" s="243"/>
      <c r="CQ255" s="168"/>
      <c r="CR255" s="242"/>
      <c r="CS255" s="224"/>
      <c r="CT255" s="224"/>
      <c r="CU255" s="224"/>
      <c r="CV255" s="243"/>
      <c r="CW255" s="168"/>
      <c r="CX255" s="242"/>
      <c r="CY255" s="224"/>
      <c r="CZ255" s="224"/>
      <c r="DA255" s="243"/>
      <c r="DB255" s="168"/>
      <c r="DC255" s="168"/>
      <c r="DD255" s="242"/>
      <c r="DE255" s="224"/>
      <c r="DF255" s="224"/>
      <c r="DG255" s="224"/>
      <c r="DH255" s="224"/>
      <c r="DI255" s="168"/>
      <c r="DJ255" s="181"/>
      <c r="DK255" s="238"/>
      <c r="DL255" s="238"/>
      <c r="DM255" s="238"/>
      <c r="DN255" s="239"/>
      <c r="DO255" s="168"/>
      <c r="DP255" s="242"/>
      <c r="DQ255" s="224"/>
      <c r="DR255" s="224"/>
      <c r="DS255" s="224"/>
      <c r="DT255" s="243"/>
      <c r="DU255" s="168"/>
      <c r="DV255" s="242"/>
      <c r="DW255" s="224"/>
      <c r="DX255" s="224"/>
      <c r="DY255" s="224"/>
      <c r="DZ255" s="243"/>
      <c r="EA255" s="168"/>
      <c r="EB255" s="168"/>
      <c r="EC255" s="181"/>
      <c r="ED255" s="238"/>
      <c r="EE255" s="238"/>
      <c r="EF255" s="238"/>
      <c r="EG255" s="239"/>
      <c r="EH255" s="168"/>
      <c r="EI255" s="242"/>
      <c r="EJ255" s="224"/>
      <c r="EK255" s="224"/>
      <c r="EL255" s="224"/>
      <c r="EM255" s="243"/>
      <c r="EN255" s="168"/>
      <c r="EO255" s="242"/>
      <c r="EP255" s="224"/>
      <c r="EQ255" s="224"/>
      <c r="ER255" s="224"/>
      <c r="ES255" s="243"/>
      <c r="ET255" s="168"/>
      <c r="EU255" s="242"/>
      <c r="EV255" s="224"/>
      <c r="EW255" s="224"/>
      <c r="EX255" s="224"/>
      <c r="EY255" s="224"/>
      <c r="EZ255" s="224"/>
      <c r="FA255" s="243"/>
      <c r="FB255" s="168"/>
      <c r="FC255" s="168"/>
      <c r="FD255" s="242"/>
      <c r="FE255" s="224"/>
      <c r="FF255" s="243"/>
      <c r="FG255" s="168"/>
      <c r="FH255" s="181"/>
      <c r="FI255" s="238"/>
      <c r="FJ255" s="238"/>
      <c r="FK255" s="238"/>
      <c r="FL255" s="239"/>
      <c r="FM255" s="168"/>
      <c r="FN255" s="181"/>
      <c r="FO255" s="238"/>
      <c r="FP255" s="238"/>
      <c r="FQ255" s="238"/>
      <c r="FR255" s="168"/>
      <c r="FS255" s="242"/>
      <c r="FT255" s="224"/>
      <c r="FU255" s="224"/>
      <c r="FV255" s="224"/>
      <c r="FW255" s="243"/>
      <c r="FX255" s="168"/>
      <c r="FY255" s="242"/>
      <c r="FZ255" s="224"/>
      <c r="GA255" s="224"/>
      <c r="GB255" s="224"/>
      <c r="GC255" s="243"/>
      <c r="GD255" s="168"/>
      <c r="GE255" s="168"/>
      <c r="GF255" s="181"/>
      <c r="GG255" s="238"/>
      <c r="GH255" s="238"/>
      <c r="GI255" s="238"/>
      <c r="GJ255" s="238"/>
      <c r="GK255" s="168"/>
      <c r="GL255" s="181"/>
      <c r="GM255" s="238"/>
      <c r="GN255" s="238"/>
      <c r="GO255" s="239"/>
      <c r="GP255" s="168"/>
      <c r="GQ255" s="181"/>
      <c r="GR255" s="238"/>
      <c r="GS255" s="238"/>
      <c r="GT255" s="238"/>
      <c r="GU255" s="239"/>
      <c r="GV255" s="168"/>
      <c r="GW255" s="181"/>
      <c r="GX255" s="238"/>
      <c r="GY255" s="238"/>
      <c r="GZ255" s="238"/>
      <c r="HA255" s="238"/>
      <c r="HB255" s="239"/>
      <c r="HC255" s="168"/>
      <c r="HD255" s="168"/>
      <c r="HE255" s="181"/>
      <c r="HF255" s="238"/>
      <c r="HG255" s="238"/>
      <c r="HH255" s="238"/>
      <c r="HI255" s="168"/>
      <c r="HJ255" s="181"/>
      <c r="HK255" s="238"/>
      <c r="HL255" s="238"/>
      <c r="HM255" s="238"/>
      <c r="HN255" s="239"/>
      <c r="HO255" s="168"/>
      <c r="HP255" s="181"/>
      <c r="HQ255" s="238"/>
      <c r="HR255" s="238"/>
      <c r="HS255" s="238"/>
      <c r="HT255" s="239"/>
      <c r="HU255" s="168"/>
      <c r="HV255" s="242"/>
      <c r="HW255" s="224"/>
      <c r="HX255" s="224"/>
      <c r="HY255" s="168"/>
      <c r="HZ255" s="181"/>
      <c r="IA255" s="238"/>
      <c r="IB255" s="239"/>
      <c r="IC255" s="168"/>
      <c r="ID255" s="168"/>
      <c r="IE255" s="181"/>
      <c r="IF255" s="239"/>
      <c r="IG255" s="168"/>
      <c r="IH255" s="181"/>
      <c r="II255" s="238"/>
      <c r="IJ255" s="238"/>
      <c r="IK255" s="238"/>
      <c r="IL255" s="239"/>
      <c r="IM255" s="168"/>
      <c r="IN255" s="181"/>
      <c r="IO255" s="238"/>
      <c r="IP255" s="239"/>
      <c r="IQ255" s="168"/>
      <c r="IR255" s="181"/>
      <c r="IS255" s="238"/>
      <c r="IT255" s="238"/>
      <c r="IU255" s="238"/>
      <c r="IV255" s="239"/>
      <c r="IW255" s="168"/>
      <c r="IX255" s="181"/>
      <c r="IY255" s="238"/>
      <c r="IZ255" s="238"/>
      <c r="JA255" s="238"/>
      <c r="JB255" s="239"/>
      <c r="JC255" s="168"/>
      <c r="JD255" s="168"/>
      <c r="JE255" s="181"/>
      <c r="JF255" s="238"/>
      <c r="JG255" s="238"/>
      <c r="JH255" s="238"/>
      <c r="JI255" s="239"/>
      <c r="JJ255" s="168"/>
      <c r="JK255" s="181"/>
      <c r="JL255" s="238"/>
      <c r="JM255" s="238"/>
      <c r="JN255" s="238"/>
      <c r="JO255" s="239"/>
      <c r="JP255" s="168"/>
      <c r="JQ255" s="181"/>
      <c r="JR255" s="238"/>
      <c r="JS255" s="238"/>
      <c r="JT255" s="238"/>
      <c r="JU255" s="239"/>
      <c r="JV255" s="168"/>
      <c r="JW255" s="242"/>
      <c r="JX255" s="224"/>
      <c r="JY255" s="224"/>
      <c r="JZ255" s="224"/>
      <c r="KA255" s="224"/>
      <c r="KB255" s="243"/>
      <c r="KC255" s="168"/>
      <c r="KD255" s="168"/>
      <c r="KE255" s="242"/>
      <c r="KF255" s="224"/>
      <c r="KG255" s="224"/>
      <c r="KH255" s="224"/>
      <c r="KI255" s="243"/>
      <c r="KJ255" s="168"/>
      <c r="KK255" s="181"/>
      <c r="KL255" s="238"/>
      <c r="KM255" s="238"/>
      <c r="KN255" s="238"/>
      <c r="KO255" s="239"/>
      <c r="KP255" s="168"/>
      <c r="KQ255" s="242"/>
      <c r="KR255" s="224"/>
      <c r="KS255" s="224"/>
      <c r="KT255" s="224"/>
      <c r="KU255" s="243"/>
      <c r="KV255" s="168"/>
      <c r="KW255" s="181"/>
      <c r="KX255" s="238"/>
      <c r="KY255" s="238"/>
      <c r="KZ255" s="238"/>
      <c r="LA255" s="239"/>
      <c r="LB255" s="168"/>
      <c r="LC255" s="181"/>
      <c r="LD255" s="238"/>
      <c r="LE255" s="239"/>
      <c r="LF255" s="168"/>
      <c r="LG255" s="168"/>
    </row>
    <row r="256" spans="2:322" ht="15.75" thickBot="1">
      <c r="B256" s="95" t="s">
        <v>96</v>
      </c>
      <c r="C256" s="173">
        <f t="shared" ref="C256:K256" si="730">C252-C226</f>
        <v>-1.18</v>
      </c>
      <c r="D256" s="173">
        <f t="shared" si="730"/>
        <v>-1.18</v>
      </c>
      <c r="E256" s="173">
        <f t="shared" si="730"/>
        <v>0</v>
      </c>
      <c r="F256" s="173">
        <f t="shared" si="730"/>
        <v>-2550.7139999999999</v>
      </c>
      <c r="G256" s="173">
        <f t="shared" si="730"/>
        <v>0</v>
      </c>
      <c r="H256" s="173">
        <f t="shared" si="730"/>
        <v>0</v>
      </c>
      <c r="I256" s="173">
        <f t="shared" si="730"/>
        <v>0</v>
      </c>
      <c r="J256" s="173">
        <f t="shared" si="730"/>
        <v>-2550.7139999999999</v>
      </c>
      <c r="K256" s="173">
        <f t="shared" si="730"/>
        <v>0</v>
      </c>
      <c r="L256" s="173">
        <f>L252-L226</f>
        <v>0</v>
      </c>
      <c r="M256" s="173">
        <f>M252-M226</f>
        <v>0</v>
      </c>
      <c r="N256" s="173">
        <f t="shared" ref="N256:CA256" si="731">N252-N226</f>
        <v>-3628.7159999999999</v>
      </c>
      <c r="O256" s="173">
        <f t="shared" si="731"/>
        <v>-3628.7159999999999</v>
      </c>
      <c r="P256" s="173">
        <f t="shared" si="731"/>
        <v>0</v>
      </c>
      <c r="Q256" s="173">
        <f t="shared" si="731"/>
        <v>0</v>
      </c>
      <c r="R256" s="173">
        <f t="shared" si="731"/>
        <v>-3475.0050000000001</v>
      </c>
      <c r="S256" s="173">
        <f t="shared" si="731"/>
        <v>0</v>
      </c>
      <c r="T256" s="173">
        <f t="shared" si="731"/>
        <v>0</v>
      </c>
      <c r="U256" s="173">
        <f t="shared" si="731"/>
        <v>-3475.0050000000001</v>
      </c>
      <c r="V256" s="173">
        <f t="shared" si="731"/>
        <v>0</v>
      </c>
      <c r="W256" s="173">
        <f t="shared" si="731"/>
        <v>0</v>
      </c>
      <c r="X256" s="173">
        <f t="shared" si="731"/>
        <v>0</v>
      </c>
      <c r="Y256" s="173">
        <f t="shared" si="731"/>
        <v>0</v>
      </c>
      <c r="Z256" s="173">
        <f t="shared" si="731"/>
        <v>28709.796000000002</v>
      </c>
      <c r="AA256" s="173">
        <f t="shared" si="731"/>
        <v>28709.796000000002</v>
      </c>
      <c r="AB256" s="235">
        <f t="shared" si="731"/>
        <v>19054.181</v>
      </c>
      <c r="AC256" s="173">
        <f t="shared" si="731"/>
        <v>-4026.5569999999998</v>
      </c>
      <c r="AD256" s="241">
        <f t="shared" si="731"/>
        <v>0</v>
      </c>
      <c r="AE256" s="241">
        <f t="shared" si="731"/>
        <v>0</v>
      </c>
      <c r="AF256" s="241">
        <f t="shared" si="731"/>
        <v>0</v>
      </c>
      <c r="AG256" s="497">
        <f t="shared" si="731"/>
        <v>0</v>
      </c>
      <c r="AH256" s="199">
        <f t="shared" si="731"/>
        <v>-4026.5569999999998</v>
      </c>
      <c r="AI256" s="173">
        <f t="shared" si="731"/>
        <v>-1499.86</v>
      </c>
      <c r="AJ256" s="241">
        <f t="shared" si="731"/>
        <v>0</v>
      </c>
      <c r="AK256" s="241">
        <f t="shared" si="731"/>
        <v>0</v>
      </c>
      <c r="AL256" s="241">
        <f t="shared" si="731"/>
        <v>0</v>
      </c>
      <c r="AM256" s="497">
        <f t="shared" si="731"/>
        <v>0</v>
      </c>
      <c r="AN256" s="199">
        <f t="shared" si="731"/>
        <v>-1499.86</v>
      </c>
      <c r="AO256" s="173">
        <f t="shared" si="731"/>
        <v>0</v>
      </c>
      <c r="AP256" s="241">
        <f t="shared" si="731"/>
        <v>0</v>
      </c>
      <c r="AQ256" s="241">
        <f t="shared" si="731"/>
        <v>0</v>
      </c>
      <c r="AR256" s="241">
        <f t="shared" si="731"/>
        <v>0</v>
      </c>
      <c r="AS256" s="497">
        <f t="shared" si="731"/>
        <v>0</v>
      </c>
      <c r="AT256" s="199">
        <f t="shared" si="731"/>
        <v>0</v>
      </c>
      <c r="AU256" s="173">
        <f t="shared" si="731"/>
        <v>0</v>
      </c>
      <c r="AV256" s="241">
        <f t="shared" si="731"/>
        <v>0</v>
      </c>
      <c r="AW256" s="241">
        <f t="shared" si="731"/>
        <v>-100</v>
      </c>
      <c r="AX256" s="241">
        <f t="shared" si="731"/>
        <v>0</v>
      </c>
      <c r="AY256" s="497">
        <f t="shared" si="731"/>
        <v>0</v>
      </c>
      <c r="AZ256" s="199">
        <f t="shared" si="731"/>
        <v>-100</v>
      </c>
      <c r="BA256" s="235">
        <f t="shared" si="731"/>
        <v>-5626.4169999999995</v>
      </c>
      <c r="BB256" s="173">
        <f t="shared" si="731"/>
        <v>7868.4610000000011</v>
      </c>
      <c r="BC256" s="241">
        <f t="shared" si="731"/>
        <v>-7166.8020000000006</v>
      </c>
      <c r="BD256" s="241">
        <f t="shared" si="731"/>
        <v>-2503.5450000000001</v>
      </c>
      <c r="BE256" s="241">
        <f t="shared" si="731"/>
        <v>0</v>
      </c>
      <c r="BF256" s="497">
        <f t="shared" si="731"/>
        <v>0</v>
      </c>
      <c r="BG256" s="199">
        <f t="shared" si="731"/>
        <v>-1801.8860000000022</v>
      </c>
      <c r="BH256" s="173">
        <f t="shared" si="731"/>
        <v>-2278.3000000000002</v>
      </c>
      <c r="BI256" s="241">
        <f t="shared" si="731"/>
        <v>0</v>
      </c>
      <c r="BJ256" s="241">
        <f t="shared" si="731"/>
        <v>0</v>
      </c>
      <c r="BK256" s="241">
        <f t="shared" si="731"/>
        <v>0</v>
      </c>
      <c r="BL256" s="497">
        <f t="shared" si="731"/>
        <v>0</v>
      </c>
      <c r="BM256" s="199">
        <f t="shared" si="731"/>
        <v>-2278.3000000000002</v>
      </c>
      <c r="BN256" s="173">
        <f t="shared" si="731"/>
        <v>0</v>
      </c>
      <c r="BO256" s="241">
        <f t="shared" si="731"/>
        <v>0</v>
      </c>
      <c r="BP256" s="241">
        <f t="shared" si="731"/>
        <v>0</v>
      </c>
      <c r="BQ256" s="497">
        <f t="shared" si="731"/>
        <v>-66</v>
      </c>
      <c r="BR256" s="199">
        <f t="shared" si="731"/>
        <v>-66</v>
      </c>
      <c r="BS256" s="173">
        <f t="shared" si="731"/>
        <v>0</v>
      </c>
      <c r="BT256" s="241">
        <f t="shared" si="731"/>
        <v>0</v>
      </c>
      <c r="BU256" s="241">
        <f t="shared" si="731"/>
        <v>0</v>
      </c>
      <c r="BV256" s="241">
        <f t="shared" si="731"/>
        <v>0</v>
      </c>
      <c r="BW256" s="497">
        <f t="shared" si="731"/>
        <v>0</v>
      </c>
      <c r="BX256" s="199">
        <f t="shared" si="731"/>
        <v>0</v>
      </c>
      <c r="BY256" s="173">
        <f>BY252-BY226</f>
        <v>0</v>
      </c>
      <c r="BZ256" s="241">
        <f>BZ252-BZ226</f>
        <v>-100</v>
      </c>
      <c r="CA256" s="199">
        <f t="shared" si="731"/>
        <v>-100</v>
      </c>
      <c r="CB256" s="235">
        <f t="shared" ref="CB256:EL256" si="732">CB252-CB226</f>
        <v>-4246.1859999999979</v>
      </c>
      <c r="CC256" s="173">
        <f t="shared" si="732"/>
        <v>-14844.589</v>
      </c>
      <c r="CD256" s="241">
        <f t="shared" si="732"/>
        <v>0</v>
      </c>
      <c r="CE256" s="241">
        <f t="shared" si="732"/>
        <v>0</v>
      </c>
      <c r="CF256" s="199">
        <f t="shared" si="732"/>
        <v>-14844.589</v>
      </c>
      <c r="CG256" s="173">
        <f t="shared" si="732"/>
        <v>-4186.506000000004</v>
      </c>
      <c r="CH256" s="241">
        <f t="shared" si="732"/>
        <v>0</v>
      </c>
      <c r="CI256" s="241">
        <f t="shared" si="732"/>
        <v>-100</v>
      </c>
      <c r="CJ256" s="497">
        <f t="shared" si="732"/>
        <v>0</v>
      </c>
      <c r="CK256" s="199">
        <f t="shared" si="732"/>
        <v>-4286.506000000004</v>
      </c>
      <c r="CL256" s="173">
        <f t="shared" si="732"/>
        <v>-9797.8909999999996</v>
      </c>
      <c r="CM256" s="241">
        <f t="shared" si="732"/>
        <v>0</v>
      </c>
      <c r="CN256" s="241">
        <f t="shared" si="732"/>
        <v>-100</v>
      </c>
      <c r="CO256" s="241">
        <f t="shared" si="732"/>
        <v>0</v>
      </c>
      <c r="CP256" s="497">
        <f t="shared" si="732"/>
        <v>-2848.0390000000002</v>
      </c>
      <c r="CQ256" s="199">
        <f t="shared" si="732"/>
        <v>-12745.93</v>
      </c>
      <c r="CR256" s="173">
        <f t="shared" si="732"/>
        <v>0</v>
      </c>
      <c r="CS256" s="241">
        <f t="shared" si="732"/>
        <v>0</v>
      </c>
      <c r="CT256" s="241">
        <f t="shared" si="732"/>
        <v>0</v>
      </c>
      <c r="CU256" s="241">
        <f t="shared" si="732"/>
        <v>0</v>
      </c>
      <c r="CV256" s="497">
        <f t="shared" si="732"/>
        <v>0</v>
      </c>
      <c r="CW256" s="199">
        <f t="shared" si="732"/>
        <v>0</v>
      </c>
      <c r="CX256" s="173">
        <f t="shared" si="732"/>
        <v>0</v>
      </c>
      <c r="CY256" s="241">
        <f t="shared" si="732"/>
        <v>0</v>
      </c>
      <c r="CZ256" s="241">
        <f t="shared" si="732"/>
        <v>0</v>
      </c>
      <c r="DA256" s="497">
        <f t="shared" si="732"/>
        <v>-14462.965</v>
      </c>
      <c r="DB256" s="199">
        <f t="shared" si="732"/>
        <v>-14462.965</v>
      </c>
      <c r="DC256" s="235">
        <f t="shared" si="732"/>
        <v>-46339.990000000005</v>
      </c>
      <c r="DD256" s="173">
        <f t="shared" si="732"/>
        <v>14999.646000000001</v>
      </c>
      <c r="DE256" s="241">
        <f t="shared" si="732"/>
        <v>0</v>
      </c>
      <c r="DF256" s="241">
        <f t="shared" si="732"/>
        <v>0</v>
      </c>
      <c r="DG256" s="241">
        <f t="shared" si="732"/>
        <v>0</v>
      </c>
      <c r="DH256" s="241">
        <f t="shared" si="732"/>
        <v>0</v>
      </c>
      <c r="DI256" s="199">
        <f t="shared" si="732"/>
        <v>14999.646000000001</v>
      </c>
      <c r="DJ256" s="173">
        <f t="shared" si="732"/>
        <v>0</v>
      </c>
      <c r="DK256" s="241">
        <f t="shared" si="732"/>
        <v>0</v>
      </c>
      <c r="DL256" s="241">
        <f t="shared" si="732"/>
        <v>0</v>
      </c>
      <c r="DM256" s="241">
        <f t="shared" si="732"/>
        <v>0</v>
      </c>
      <c r="DN256" s="497">
        <f t="shared" si="732"/>
        <v>0</v>
      </c>
      <c r="DO256" s="199">
        <f t="shared" si="732"/>
        <v>0</v>
      </c>
      <c r="DP256" s="173">
        <f t="shared" si="732"/>
        <v>0</v>
      </c>
      <c r="DQ256" s="241">
        <f t="shared" si="732"/>
        <v>0</v>
      </c>
      <c r="DR256" s="241">
        <f t="shared" si="732"/>
        <v>0</v>
      </c>
      <c r="DS256" s="241">
        <f t="shared" si="732"/>
        <v>0</v>
      </c>
      <c r="DT256" s="497">
        <f t="shared" si="732"/>
        <v>0</v>
      </c>
      <c r="DU256" s="199">
        <f t="shared" si="732"/>
        <v>0</v>
      </c>
      <c r="DV256" s="173">
        <f t="shared" si="732"/>
        <v>0</v>
      </c>
      <c r="DW256" s="241">
        <f t="shared" si="732"/>
        <v>0</v>
      </c>
      <c r="DX256" s="241">
        <f t="shared" si="732"/>
        <v>0</v>
      </c>
      <c r="DY256" s="241">
        <f t="shared" si="732"/>
        <v>0</v>
      </c>
      <c r="DZ256" s="497">
        <f t="shared" si="732"/>
        <v>0</v>
      </c>
      <c r="EA256" s="199">
        <f t="shared" si="732"/>
        <v>0</v>
      </c>
      <c r="EB256" s="235">
        <f t="shared" si="732"/>
        <v>14999.646000000001</v>
      </c>
      <c r="EC256" s="173">
        <f t="shared" si="732"/>
        <v>-16952.445</v>
      </c>
      <c r="ED256" s="241">
        <f t="shared" si="732"/>
        <v>-3084.61</v>
      </c>
      <c r="EE256" s="241">
        <f t="shared" si="732"/>
        <v>0</v>
      </c>
      <c r="EF256" s="241">
        <f t="shared" si="732"/>
        <v>0</v>
      </c>
      <c r="EG256" s="497">
        <f t="shared" si="732"/>
        <v>0</v>
      </c>
      <c r="EH256" s="199">
        <f t="shared" si="732"/>
        <v>-20037.055</v>
      </c>
      <c r="EI256" s="173">
        <f t="shared" si="732"/>
        <v>0</v>
      </c>
      <c r="EJ256" s="241">
        <f t="shared" si="732"/>
        <v>0</v>
      </c>
      <c r="EK256" s="241">
        <f t="shared" si="732"/>
        <v>0</v>
      </c>
      <c r="EL256" s="241">
        <f t="shared" si="732"/>
        <v>0</v>
      </c>
      <c r="EM256" s="497">
        <f t="shared" ref="EM256:HB256" si="733">EM252-EM226</f>
        <v>0</v>
      </c>
      <c r="EN256" s="199">
        <f t="shared" si="733"/>
        <v>0</v>
      </c>
      <c r="EO256" s="173">
        <f t="shared" si="733"/>
        <v>0</v>
      </c>
      <c r="EP256" s="241">
        <f t="shared" si="733"/>
        <v>0</v>
      </c>
      <c r="EQ256" s="241">
        <f t="shared" si="733"/>
        <v>0</v>
      </c>
      <c r="ER256" s="241">
        <f t="shared" si="733"/>
        <v>0</v>
      </c>
      <c r="ES256" s="497">
        <f t="shared" si="733"/>
        <v>0</v>
      </c>
      <c r="ET256" s="199">
        <f t="shared" si="733"/>
        <v>0</v>
      </c>
      <c r="EU256" s="173">
        <f t="shared" si="733"/>
        <v>0</v>
      </c>
      <c r="EV256" s="241">
        <f t="shared" si="733"/>
        <v>0</v>
      </c>
      <c r="EW256" s="241">
        <f t="shared" si="733"/>
        <v>0</v>
      </c>
      <c r="EX256" s="241">
        <f t="shared" si="733"/>
        <v>0</v>
      </c>
      <c r="EY256" s="241">
        <f t="shared" si="733"/>
        <v>0</v>
      </c>
      <c r="EZ256" s="241">
        <f>EZ252-EZ226</f>
        <v>628.21399999997811</v>
      </c>
      <c r="FA256" s="497">
        <f t="shared" si="733"/>
        <v>-2444.2969999999996</v>
      </c>
      <c r="FB256" s="199">
        <f t="shared" si="733"/>
        <v>-1816.0830000000133</v>
      </c>
      <c r="FC256" s="235">
        <f t="shared" si="733"/>
        <v>-21853.138000000006</v>
      </c>
      <c r="FD256" s="173">
        <f t="shared" si="733"/>
        <v>3124.348</v>
      </c>
      <c r="FE256" s="241">
        <f t="shared" si="733"/>
        <v>0</v>
      </c>
      <c r="FF256" s="497">
        <f t="shared" si="733"/>
        <v>0</v>
      </c>
      <c r="FG256" s="199">
        <f t="shared" si="733"/>
        <v>3124.348</v>
      </c>
      <c r="FH256" s="173">
        <f t="shared" si="733"/>
        <v>-3611.5190000000002</v>
      </c>
      <c r="FI256" s="241">
        <f t="shared" si="733"/>
        <v>0</v>
      </c>
      <c r="FJ256" s="241">
        <f t="shared" si="733"/>
        <v>0</v>
      </c>
      <c r="FK256" s="241">
        <f t="shared" si="733"/>
        <v>0</v>
      </c>
      <c r="FL256" s="497">
        <f t="shared" si="733"/>
        <v>0</v>
      </c>
      <c r="FM256" s="199">
        <f t="shared" si="733"/>
        <v>-3611.5190000000002</v>
      </c>
      <c r="FN256" s="173">
        <f t="shared" si="733"/>
        <v>0</v>
      </c>
      <c r="FO256" s="241">
        <f t="shared" si="733"/>
        <v>-1737.7780000000057</v>
      </c>
      <c r="FP256" s="241">
        <f t="shared" si="733"/>
        <v>0</v>
      </c>
      <c r="FQ256" s="241">
        <f t="shared" si="733"/>
        <v>0</v>
      </c>
      <c r="FR256" s="199">
        <f t="shared" si="733"/>
        <v>-1737.7780000000057</v>
      </c>
      <c r="FS256" s="173">
        <f t="shared" si="733"/>
        <v>-2133.3020000000001</v>
      </c>
      <c r="FT256" s="241">
        <f t="shared" si="733"/>
        <v>0</v>
      </c>
      <c r="FU256" s="241">
        <f t="shared" si="733"/>
        <v>0</v>
      </c>
      <c r="FV256" s="241">
        <f t="shared" si="733"/>
        <v>0</v>
      </c>
      <c r="FW256" s="497">
        <f t="shared" si="733"/>
        <v>0</v>
      </c>
      <c r="FX256" s="199">
        <f t="shared" si="733"/>
        <v>-2133.3020000000001</v>
      </c>
      <c r="FY256" s="173">
        <f t="shared" ref="FY256:GD256" si="734">FY252-FY226</f>
        <v>0</v>
      </c>
      <c r="FZ256" s="241">
        <f t="shared" si="734"/>
        <v>0</v>
      </c>
      <c r="GA256" s="241">
        <f t="shared" si="734"/>
        <v>0</v>
      </c>
      <c r="GB256" s="241">
        <f t="shared" si="734"/>
        <v>-2425.65</v>
      </c>
      <c r="GC256" s="497">
        <f t="shared" si="734"/>
        <v>0</v>
      </c>
      <c r="GD256" s="199">
        <f t="shared" si="734"/>
        <v>-2425.65</v>
      </c>
      <c r="GE256" s="235">
        <f t="shared" si="733"/>
        <v>-6783.9010000000053</v>
      </c>
      <c r="GF256" s="173">
        <f t="shared" si="733"/>
        <v>80000</v>
      </c>
      <c r="GG256" s="241">
        <f t="shared" si="733"/>
        <v>0</v>
      </c>
      <c r="GH256" s="241">
        <f t="shared" si="733"/>
        <v>-12164.427</v>
      </c>
      <c r="GI256" s="241">
        <f t="shared" si="733"/>
        <v>0</v>
      </c>
      <c r="GJ256" s="241">
        <f t="shared" si="733"/>
        <v>0</v>
      </c>
      <c r="GK256" s="199">
        <f t="shared" si="733"/>
        <v>67835.573000000004</v>
      </c>
      <c r="GL256" s="173">
        <f t="shared" si="733"/>
        <v>0</v>
      </c>
      <c r="GM256" s="241">
        <f t="shared" si="733"/>
        <v>0</v>
      </c>
      <c r="GN256" s="241">
        <f t="shared" si="733"/>
        <v>-4123.7240000000002</v>
      </c>
      <c r="GO256" s="497">
        <f t="shared" si="733"/>
        <v>0</v>
      </c>
      <c r="GP256" s="199">
        <f t="shared" si="733"/>
        <v>-4123.7240000000002</v>
      </c>
      <c r="GQ256" s="173">
        <f t="shared" si="733"/>
        <v>0</v>
      </c>
      <c r="GR256" s="241">
        <f t="shared" si="733"/>
        <v>0</v>
      </c>
      <c r="GS256" s="241">
        <f t="shared" si="733"/>
        <v>-2660</v>
      </c>
      <c r="GT256" s="241">
        <f t="shared" si="733"/>
        <v>0</v>
      </c>
      <c r="GU256" s="497">
        <f t="shared" si="733"/>
        <v>0</v>
      </c>
      <c r="GV256" s="199">
        <f t="shared" si="733"/>
        <v>-2660</v>
      </c>
      <c r="GW256" s="173">
        <f t="shared" si="733"/>
        <v>0</v>
      </c>
      <c r="GX256" s="241">
        <f t="shared" si="733"/>
        <v>0</v>
      </c>
      <c r="GY256" s="241">
        <f t="shared" si="733"/>
        <v>0</v>
      </c>
      <c r="GZ256" s="241">
        <f>GZ252-GZ226</f>
        <v>0</v>
      </c>
      <c r="HA256" s="241">
        <f>HA252-HA226</f>
        <v>0</v>
      </c>
      <c r="HB256" s="497">
        <f t="shared" si="733"/>
        <v>0</v>
      </c>
      <c r="HC256" s="199">
        <f t="shared" ref="HC256:JJ256" si="735">HC252-HC226</f>
        <v>0</v>
      </c>
      <c r="HD256" s="235">
        <f t="shared" si="735"/>
        <v>61051.849000000002</v>
      </c>
      <c r="HE256" s="173">
        <f t="shared" si="735"/>
        <v>-84.057000000000002</v>
      </c>
      <c r="HF256" s="241">
        <f t="shared" si="735"/>
        <v>0</v>
      </c>
      <c r="HG256" s="241">
        <f t="shared" si="735"/>
        <v>0</v>
      </c>
      <c r="HH256" s="241">
        <f t="shared" si="735"/>
        <v>0</v>
      </c>
      <c r="HI256" s="199">
        <f t="shared" si="735"/>
        <v>-84.057000000000002</v>
      </c>
      <c r="HJ256" s="173">
        <f t="shared" si="735"/>
        <v>0</v>
      </c>
      <c r="HK256" s="241">
        <f t="shared" si="735"/>
        <v>-1735.373</v>
      </c>
      <c r="HL256" s="241">
        <f t="shared" si="735"/>
        <v>0</v>
      </c>
      <c r="HM256" s="241">
        <f t="shared" si="735"/>
        <v>0</v>
      </c>
      <c r="HN256" s="497">
        <f t="shared" si="735"/>
        <v>0</v>
      </c>
      <c r="HO256" s="199">
        <f t="shared" si="735"/>
        <v>-1735.373</v>
      </c>
      <c r="HP256" s="173">
        <f t="shared" si="735"/>
        <v>0</v>
      </c>
      <c r="HQ256" s="241">
        <f t="shared" si="735"/>
        <v>0</v>
      </c>
      <c r="HR256" s="241">
        <f t="shared" si="735"/>
        <v>0</v>
      </c>
      <c r="HS256" s="241">
        <f t="shared" si="735"/>
        <v>0</v>
      </c>
      <c r="HT256" s="497">
        <f t="shared" si="735"/>
        <v>0</v>
      </c>
      <c r="HU256" s="199">
        <f t="shared" si="735"/>
        <v>0</v>
      </c>
      <c r="HV256" s="173">
        <f t="shared" si="735"/>
        <v>0</v>
      </c>
      <c r="HW256" s="241">
        <f t="shared" si="735"/>
        <v>0</v>
      </c>
      <c r="HX256" s="241">
        <f t="shared" si="735"/>
        <v>0</v>
      </c>
      <c r="HY256" s="199">
        <f t="shared" si="735"/>
        <v>0</v>
      </c>
      <c r="HZ256" s="173">
        <f t="shared" si="735"/>
        <v>0</v>
      </c>
      <c r="IA256" s="241">
        <f>IA252-IA226</f>
        <v>0</v>
      </c>
      <c r="IB256" s="497">
        <f>IB252-IB226</f>
        <v>0</v>
      </c>
      <c r="IC256" s="199">
        <f t="shared" si="735"/>
        <v>0</v>
      </c>
      <c r="ID256" s="235">
        <f t="shared" si="735"/>
        <v>-1819.43</v>
      </c>
      <c r="IE256" s="173">
        <f t="shared" si="735"/>
        <v>-1.18</v>
      </c>
      <c r="IF256" s="497">
        <f t="shared" si="735"/>
        <v>0</v>
      </c>
      <c r="IG256" s="199">
        <f t="shared" si="735"/>
        <v>-1.18</v>
      </c>
      <c r="IH256" s="173">
        <f t="shared" si="735"/>
        <v>-2879.2159999999999</v>
      </c>
      <c r="II256" s="241">
        <f t="shared" si="735"/>
        <v>0</v>
      </c>
      <c r="IJ256" s="241">
        <f t="shared" si="735"/>
        <v>0</v>
      </c>
      <c r="IK256" s="241">
        <f t="shared" si="735"/>
        <v>0</v>
      </c>
      <c r="IL256" s="497">
        <f t="shared" si="735"/>
        <v>0</v>
      </c>
      <c r="IM256" s="199">
        <f t="shared" si="735"/>
        <v>-2879.2159999999999</v>
      </c>
      <c r="IN256" s="173">
        <f t="shared" si="735"/>
        <v>-160</v>
      </c>
      <c r="IO256" s="241">
        <f t="shared" si="735"/>
        <v>0</v>
      </c>
      <c r="IP256" s="497">
        <f t="shared" si="735"/>
        <v>0</v>
      </c>
      <c r="IQ256" s="199">
        <f t="shared" si="735"/>
        <v>-160</v>
      </c>
      <c r="IR256" s="173">
        <f t="shared" si="735"/>
        <v>0</v>
      </c>
      <c r="IS256" s="241">
        <f t="shared" si="735"/>
        <v>0</v>
      </c>
      <c r="IT256" s="241">
        <f t="shared" si="735"/>
        <v>-10521.865</v>
      </c>
      <c r="IU256" s="241">
        <f t="shared" si="735"/>
        <v>0</v>
      </c>
      <c r="IV256" s="497">
        <f t="shared" si="735"/>
        <v>0</v>
      </c>
      <c r="IW256" s="199">
        <f t="shared" si="735"/>
        <v>-10521.865</v>
      </c>
      <c r="IX256" s="173">
        <f t="shared" si="735"/>
        <v>0</v>
      </c>
      <c r="IY256" s="241">
        <f t="shared" si="735"/>
        <v>0</v>
      </c>
      <c r="IZ256" s="241">
        <f t="shared" si="735"/>
        <v>0</v>
      </c>
      <c r="JA256" s="241">
        <f t="shared" si="735"/>
        <v>0</v>
      </c>
      <c r="JB256" s="497">
        <f t="shared" si="735"/>
        <v>0</v>
      </c>
      <c r="JC256" s="199">
        <f t="shared" si="735"/>
        <v>0</v>
      </c>
      <c r="JD256" s="235">
        <f t="shared" si="735"/>
        <v>-13562.260999999999</v>
      </c>
      <c r="JE256" s="173">
        <f t="shared" si="735"/>
        <v>0</v>
      </c>
      <c r="JF256" s="241">
        <f t="shared" si="735"/>
        <v>0</v>
      </c>
      <c r="JG256" s="241">
        <f t="shared" si="735"/>
        <v>0</v>
      </c>
      <c r="JH256" s="241">
        <f t="shared" si="735"/>
        <v>0</v>
      </c>
      <c r="JI256" s="497">
        <f t="shared" si="735"/>
        <v>0</v>
      </c>
      <c r="JJ256" s="199">
        <f t="shared" si="735"/>
        <v>0</v>
      </c>
      <c r="JK256" s="434">
        <f t="shared" ref="JK256:LG256" si="736">JK252-JK226</f>
        <v>0</v>
      </c>
      <c r="JL256" s="435">
        <f t="shared" si="736"/>
        <v>0</v>
      </c>
      <c r="JM256" s="435">
        <f t="shared" si="736"/>
        <v>0</v>
      </c>
      <c r="JN256" s="435">
        <f t="shared" si="736"/>
        <v>0</v>
      </c>
      <c r="JO256" s="436">
        <f t="shared" si="736"/>
        <v>0</v>
      </c>
      <c r="JP256" s="149">
        <f t="shared" si="736"/>
        <v>0</v>
      </c>
      <c r="JQ256" s="434">
        <f t="shared" si="736"/>
        <v>0</v>
      </c>
      <c r="JR256" s="435">
        <f t="shared" si="736"/>
        <v>0</v>
      </c>
      <c r="JS256" s="435">
        <f t="shared" si="736"/>
        <v>0</v>
      </c>
      <c r="JT256" s="435">
        <f t="shared" si="736"/>
        <v>0</v>
      </c>
      <c r="JU256" s="436">
        <f t="shared" si="736"/>
        <v>0</v>
      </c>
      <c r="JV256" s="149">
        <f t="shared" si="736"/>
        <v>0</v>
      </c>
      <c r="JW256" s="434">
        <f t="shared" si="736"/>
        <v>0</v>
      </c>
      <c r="JX256" s="435">
        <f t="shared" si="736"/>
        <v>0</v>
      </c>
      <c r="JY256" s="435">
        <f t="shared" si="736"/>
        <v>0</v>
      </c>
      <c r="JZ256" s="435">
        <f t="shared" si="736"/>
        <v>0</v>
      </c>
      <c r="KA256" s="435"/>
      <c r="KB256" s="436">
        <f t="shared" si="736"/>
        <v>0</v>
      </c>
      <c r="KC256" s="149">
        <f t="shared" si="736"/>
        <v>0</v>
      </c>
      <c r="KD256" s="149">
        <f t="shared" si="736"/>
        <v>-246250</v>
      </c>
      <c r="KE256" s="434">
        <f t="shared" si="736"/>
        <v>0</v>
      </c>
      <c r="KF256" s="435">
        <f t="shared" si="736"/>
        <v>0</v>
      </c>
      <c r="KG256" s="435">
        <f t="shared" si="736"/>
        <v>0</v>
      </c>
      <c r="KH256" s="435">
        <f t="shared" si="736"/>
        <v>0</v>
      </c>
      <c r="KI256" s="436">
        <f t="shared" si="736"/>
        <v>0</v>
      </c>
      <c r="KJ256" s="149">
        <f t="shared" si="736"/>
        <v>0</v>
      </c>
      <c r="KK256" s="434">
        <f t="shared" si="736"/>
        <v>0</v>
      </c>
      <c r="KL256" s="435">
        <f t="shared" si="736"/>
        <v>0</v>
      </c>
      <c r="KM256" s="435">
        <f t="shared" si="736"/>
        <v>0</v>
      </c>
      <c r="KN256" s="435">
        <f t="shared" si="736"/>
        <v>0</v>
      </c>
      <c r="KO256" s="436">
        <f t="shared" si="736"/>
        <v>0</v>
      </c>
      <c r="KP256" s="149">
        <f t="shared" si="736"/>
        <v>0</v>
      </c>
      <c r="KQ256" s="434">
        <f t="shared" si="736"/>
        <v>0</v>
      </c>
      <c r="KR256" s="435">
        <f t="shared" si="736"/>
        <v>0</v>
      </c>
      <c r="KS256" s="435">
        <f t="shared" si="736"/>
        <v>0</v>
      </c>
      <c r="KT256" s="435">
        <f t="shared" si="736"/>
        <v>0</v>
      </c>
      <c r="KU256" s="436">
        <f t="shared" si="736"/>
        <v>0</v>
      </c>
      <c r="KV256" s="149">
        <f t="shared" si="736"/>
        <v>0</v>
      </c>
      <c r="KW256" s="434">
        <f t="shared" si="736"/>
        <v>0</v>
      </c>
      <c r="KX256" s="435">
        <f t="shared" si="736"/>
        <v>0</v>
      </c>
      <c r="KY256" s="435">
        <f t="shared" si="736"/>
        <v>0</v>
      </c>
      <c r="KZ256" s="435">
        <f t="shared" si="736"/>
        <v>0</v>
      </c>
      <c r="LA256" s="436">
        <f t="shared" si="736"/>
        <v>0</v>
      </c>
      <c r="LB256" s="149">
        <f t="shared" si="736"/>
        <v>0</v>
      </c>
      <c r="LC256" s="434">
        <f t="shared" si="736"/>
        <v>0</v>
      </c>
      <c r="LD256" s="435">
        <f t="shared" si="736"/>
        <v>0</v>
      </c>
      <c r="LE256" s="436">
        <f t="shared" si="736"/>
        <v>0</v>
      </c>
      <c r="LF256" s="149">
        <f t="shared" si="736"/>
        <v>0</v>
      </c>
      <c r="LG256" s="149">
        <f t="shared" si="736"/>
        <v>0</v>
      </c>
    </row>
    <row r="257" spans="1:322">
      <c r="B257" s="363" t="s">
        <v>373</v>
      </c>
      <c r="C257" s="174">
        <v>-115967.243</v>
      </c>
      <c r="D257" s="174">
        <v>-115967.243</v>
      </c>
      <c r="AB257" s="174">
        <v>-115967.243</v>
      </c>
      <c r="AC257" s="207"/>
      <c r="AD257" s="207"/>
      <c r="AE257" s="207"/>
      <c r="AF257" s="207"/>
      <c r="AG257" s="207"/>
      <c r="AH257" s="207"/>
      <c r="AI257" s="207"/>
      <c r="AJ257" s="207"/>
      <c r="AK257" s="207"/>
      <c r="AL257" s="207"/>
      <c r="AM257" s="207"/>
      <c r="AN257" s="207"/>
      <c r="AO257" s="207"/>
      <c r="AP257" s="207"/>
      <c r="AQ257" s="207"/>
      <c r="AR257" s="207"/>
      <c r="AS257" s="207"/>
      <c r="AT257" s="207"/>
      <c r="AU257" s="207"/>
      <c r="AV257" s="207"/>
      <c r="AW257" s="207"/>
      <c r="AX257" s="207"/>
      <c r="AY257" s="207"/>
      <c r="AZ257" s="207"/>
      <c r="BA257" s="201"/>
      <c r="BB257" s="201"/>
      <c r="BC257" s="201"/>
      <c r="BD257" s="201"/>
      <c r="BE257" s="201"/>
      <c r="BF257" s="201"/>
      <c r="BG257" s="201"/>
      <c r="BH257" s="201"/>
      <c r="BI257" s="201"/>
      <c r="BJ257" s="201"/>
      <c r="BK257" s="201"/>
      <c r="BL257" s="201"/>
      <c r="BM257" s="201"/>
      <c r="BN257" s="201"/>
      <c r="BO257" s="201"/>
      <c r="BP257" s="201"/>
      <c r="BQ257" s="201"/>
      <c r="BR257" s="201"/>
      <c r="BS257" s="201"/>
      <c r="BT257" s="201"/>
      <c r="BU257" s="201"/>
      <c r="BV257" s="201"/>
      <c r="BW257" s="201"/>
      <c r="BX257" s="201"/>
      <c r="BY257" s="201"/>
      <c r="BZ257" s="201"/>
      <c r="CA257" s="201"/>
      <c r="CB257" s="201"/>
      <c r="CC257" s="201"/>
      <c r="CD257" s="201"/>
      <c r="CE257" s="201"/>
      <c r="CF257" s="201"/>
      <c r="CG257" s="201"/>
      <c r="CH257" s="201"/>
      <c r="CI257" s="201"/>
      <c r="CJ257" s="201"/>
      <c r="CK257" s="201"/>
      <c r="CL257" s="201"/>
      <c r="CM257" s="201"/>
      <c r="CN257" s="201"/>
      <c r="CO257" s="201"/>
      <c r="CP257" s="201"/>
      <c r="CQ257" s="201"/>
      <c r="CR257" s="201"/>
      <c r="CS257" s="201"/>
      <c r="CT257" s="201"/>
      <c r="CU257" s="201"/>
      <c r="CV257" s="201"/>
      <c r="CW257" s="201"/>
      <c r="CX257" s="201"/>
      <c r="CY257" s="201"/>
      <c r="CZ257" s="201"/>
      <c r="DA257" s="201"/>
      <c r="DB257" s="201"/>
      <c r="DC257" s="201"/>
      <c r="DD257" s="201"/>
      <c r="DE257" s="201"/>
      <c r="DF257" s="201"/>
      <c r="DG257" s="201"/>
      <c r="DH257" s="201"/>
      <c r="DI257" s="201"/>
      <c r="DJ257" s="201"/>
      <c r="DK257" s="201"/>
      <c r="DL257" s="201"/>
      <c r="DM257" s="201"/>
      <c r="DN257" s="201"/>
      <c r="DO257" s="201"/>
      <c r="DP257" s="201"/>
      <c r="DQ257" s="201"/>
      <c r="DR257" s="201"/>
      <c r="DS257" s="201"/>
      <c r="DT257" s="201"/>
      <c r="DU257" s="201"/>
      <c r="DV257" s="201"/>
      <c r="DW257" s="201"/>
      <c r="DX257" s="201"/>
      <c r="DY257" s="201"/>
      <c r="DZ257" s="201"/>
      <c r="EA257" s="201"/>
      <c r="EB257" s="201"/>
      <c r="EC257" s="201"/>
      <c r="ED257" s="201"/>
      <c r="EE257" s="201"/>
      <c r="EF257" s="201"/>
      <c r="EG257" s="201"/>
      <c r="EH257" s="201"/>
      <c r="EI257" s="201"/>
      <c r="EJ257" s="201"/>
      <c r="EK257" s="201"/>
      <c r="EL257" s="201"/>
      <c r="EM257" s="201"/>
      <c r="EN257" s="201"/>
      <c r="EO257" s="201"/>
      <c r="EP257" s="201"/>
      <c r="EQ257" s="201"/>
      <c r="ER257" s="201"/>
      <c r="ES257" s="201"/>
      <c r="ET257" s="201"/>
      <c r="EU257" s="201"/>
      <c r="EV257" s="201"/>
      <c r="EW257" s="201"/>
      <c r="EX257" s="201"/>
      <c r="EY257" s="201"/>
      <c r="EZ257" s="201"/>
      <c r="FA257" s="201"/>
      <c r="FB257" s="201"/>
      <c r="FC257" s="201"/>
      <c r="FD257" s="201"/>
      <c r="FE257" s="201"/>
      <c r="FF257" s="201"/>
      <c r="FG257" s="201"/>
      <c r="FH257" s="201"/>
      <c r="FI257" s="201"/>
      <c r="FJ257" s="201"/>
      <c r="FK257" s="201"/>
      <c r="FL257" s="201"/>
      <c r="FM257" s="201"/>
      <c r="FN257" s="201"/>
      <c r="FO257" s="201"/>
      <c r="FP257" s="201"/>
      <c r="FQ257" s="201"/>
      <c r="FR257" s="201"/>
      <c r="FS257" s="201"/>
      <c r="FT257" s="201"/>
      <c r="FU257" s="201"/>
      <c r="FV257" s="201"/>
      <c r="FW257" s="201"/>
      <c r="FX257" s="201"/>
      <c r="FY257" s="201"/>
      <c r="FZ257" s="201"/>
      <c r="GA257" s="201"/>
      <c r="GB257" s="201"/>
      <c r="GC257" s="201"/>
      <c r="GD257" s="201"/>
      <c r="GE257" s="201"/>
      <c r="GF257" s="201"/>
      <c r="GG257" s="201"/>
      <c r="GH257" s="201"/>
      <c r="GI257" s="201"/>
      <c r="GJ257" s="201"/>
      <c r="GK257" s="201"/>
      <c r="GL257" s="201"/>
      <c r="GM257" s="201"/>
      <c r="GN257" s="201"/>
      <c r="GO257" s="201"/>
      <c r="GP257" s="201"/>
      <c r="GQ257" s="201"/>
      <c r="GR257" s="201"/>
      <c r="GS257" s="201"/>
      <c r="GT257" s="201"/>
      <c r="GU257" s="201"/>
      <c r="GV257" s="201"/>
      <c r="GW257" s="201"/>
      <c r="GX257" s="201"/>
      <c r="GY257" s="201"/>
      <c r="GZ257" s="201"/>
      <c r="HA257" s="201"/>
      <c r="HB257" s="201"/>
      <c r="HC257" s="201"/>
      <c r="HD257" s="201"/>
      <c r="HE257" s="201"/>
      <c r="HF257" s="201"/>
      <c r="HG257" s="201"/>
      <c r="HH257" s="201"/>
      <c r="HI257" s="201"/>
      <c r="HJ257" s="201"/>
      <c r="HK257" s="201"/>
      <c r="HL257" s="201"/>
      <c r="HM257" s="201"/>
      <c r="HN257" s="201"/>
      <c r="HO257" s="201"/>
      <c r="HP257" s="201"/>
      <c r="HQ257" s="201"/>
      <c r="HR257" s="201"/>
      <c r="HS257" s="201"/>
      <c r="HT257" s="201"/>
      <c r="HU257" s="201"/>
      <c r="HV257" s="201"/>
      <c r="HW257" s="201"/>
      <c r="HX257" s="201"/>
      <c r="HY257" s="201"/>
      <c r="HZ257" s="201"/>
      <c r="IA257" s="201"/>
      <c r="IB257" s="201"/>
      <c r="IC257" s="201"/>
      <c r="ID257" s="201"/>
      <c r="IE257" s="201"/>
      <c r="IF257" s="201"/>
      <c r="IG257" s="201"/>
      <c r="IH257" s="201"/>
      <c r="II257" s="201"/>
      <c r="IJ257" s="201"/>
      <c r="IK257" s="201"/>
      <c r="IL257" s="201"/>
      <c r="IM257" s="201"/>
      <c r="IN257" s="201"/>
      <c r="IO257" s="201"/>
      <c r="IP257" s="201"/>
      <c r="IQ257" s="201"/>
      <c r="IR257" s="201"/>
      <c r="IS257" s="201"/>
      <c r="IT257" s="201"/>
      <c r="IU257" s="201"/>
      <c r="IV257" s="201"/>
      <c r="IW257" s="201"/>
      <c r="IX257" s="201"/>
      <c r="IY257" s="201"/>
      <c r="IZ257" s="201"/>
      <c r="JA257" s="201"/>
      <c r="JB257" s="201"/>
      <c r="JC257" s="201"/>
      <c r="JD257" s="201"/>
      <c r="JE257" s="201"/>
      <c r="JF257" s="201"/>
      <c r="JG257" s="201"/>
      <c r="JH257" s="201"/>
      <c r="JI257" s="201"/>
      <c r="JJ257" s="201"/>
      <c r="JK257" s="201"/>
      <c r="JL257" s="201"/>
      <c r="JM257" s="201"/>
      <c r="JN257" s="201"/>
      <c r="JO257" s="201"/>
      <c r="JP257" s="201"/>
      <c r="JQ257" s="201"/>
      <c r="JR257" s="201"/>
      <c r="JS257" s="201"/>
      <c r="JT257" s="201"/>
      <c r="JU257" s="201"/>
      <c r="JV257" s="201"/>
      <c r="JW257" s="201"/>
      <c r="JX257" s="201"/>
      <c r="JY257" s="201"/>
      <c r="JZ257" s="201"/>
      <c r="KA257" s="201"/>
      <c r="KB257" s="201"/>
      <c r="KC257" s="201"/>
      <c r="KD257" s="201"/>
      <c r="KE257" s="201"/>
      <c r="KF257" s="201"/>
      <c r="KG257" s="201"/>
      <c r="KH257" s="201"/>
      <c r="KI257" s="201"/>
      <c r="KJ257" s="201"/>
      <c r="KK257" s="201"/>
      <c r="KL257" s="201"/>
      <c r="KM257" s="201"/>
      <c r="KN257" s="201"/>
      <c r="KO257" s="201"/>
      <c r="KP257" s="201"/>
      <c r="KQ257" s="201"/>
      <c r="KR257" s="201"/>
      <c r="KS257" s="201"/>
      <c r="KT257" s="201"/>
      <c r="KU257" s="201"/>
      <c r="KV257" s="201"/>
      <c r="KW257" s="201"/>
      <c r="KX257" s="201"/>
      <c r="KY257" s="201"/>
      <c r="KZ257" s="201"/>
      <c r="LA257" s="201"/>
      <c r="LB257" s="201"/>
      <c r="LC257" s="201"/>
      <c r="LD257" s="201"/>
      <c r="LE257" s="201"/>
      <c r="LF257" s="201"/>
      <c r="LG257" s="201"/>
    </row>
    <row r="258" spans="1:322">
      <c r="B258" s="364" t="s">
        <v>168</v>
      </c>
      <c r="C258" s="175">
        <f>C257+C256</f>
        <v>-115968.423</v>
      </c>
      <c r="D258" s="442">
        <f>+C257+D256</f>
        <v>-115968.423</v>
      </c>
      <c r="E258" s="175">
        <f>D258+E256</f>
        <v>-115968.423</v>
      </c>
      <c r="F258" s="175">
        <f>E258+F256</f>
        <v>-118519.13699999999</v>
      </c>
      <c r="G258" s="175">
        <f>F258+G256</f>
        <v>-118519.13699999999</v>
      </c>
      <c r="H258" s="175">
        <f>G258+H256</f>
        <v>-118519.13699999999</v>
      </c>
      <c r="I258" s="175">
        <f>H258+I256</f>
        <v>-118519.13699999999</v>
      </c>
      <c r="J258" s="175">
        <f>D258+J256</f>
        <v>-118519.13699999999</v>
      </c>
      <c r="K258" s="175">
        <f>+J258+K256</f>
        <v>-118519.13699999999</v>
      </c>
      <c r="L258" s="175">
        <f>+K258+L256</f>
        <v>-118519.13699999999</v>
      </c>
      <c r="M258" s="175">
        <f>+L258+M256</f>
        <v>-118519.13699999999</v>
      </c>
      <c r="N258" s="175">
        <f>+M258+N256</f>
        <v>-122147.85299999999</v>
      </c>
      <c r="O258" s="175">
        <f>+J258+O256</f>
        <v>-122147.85299999999</v>
      </c>
      <c r="P258" s="175">
        <f>O258+P256</f>
        <v>-122147.85299999999</v>
      </c>
      <c r="Q258" s="175">
        <f>P258+Q256</f>
        <v>-122147.85299999999</v>
      </c>
      <c r="R258" s="175">
        <f>Q258+R256</f>
        <v>-125622.85799999999</v>
      </c>
      <c r="S258" s="175">
        <f>R258+S256</f>
        <v>-125622.85799999999</v>
      </c>
      <c r="T258" s="175">
        <f>S258+T256</f>
        <v>-125622.85799999999</v>
      </c>
      <c r="U258" s="175">
        <f>+O258+U256</f>
        <v>-125622.85799999999</v>
      </c>
      <c r="V258" s="175">
        <f>U258+V256</f>
        <v>-125622.85799999999</v>
      </c>
      <c r="W258" s="175">
        <f>V258+W256</f>
        <v>-125622.85799999999</v>
      </c>
      <c r="X258" s="175">
        <f>W258+X256</f>
        <v>-125622.85799999999</v>
      </c>
      <c r="Y258" s="175">
        <f>X258+Y256</f>
        <v>-125622.85799999999</v>
      </c>
      <c r="Z258" s="175">
        <f>Y258+Z256</f>
        <v>-96913.061999999991</v>
      </c>
      <c r="AA258" s="175">
        <f>+U258+AA256</f>
        <v>-96913.061999999991</v>
      </c>
      <c r="AB258" s="175">
        <f>+C257+AB256</f>
        <v>-96913.062000000005</v>
      </c>
      <c r="AC258" s="175">
        <f>AB258+AC256</f>
        <v>-100939.61900000001</v>
      </c>
      <c r="AD258" s="175">
        <f>AC258+AD256</f>
        <v>-100939.61900000001</v>
      </c>
      <c r="AE258" s="175">
        <f>AD258+AE256</f>
        <v>-100939.61900000001</v>
      </c>
      <c r="AF258" s="175">
        <f>AE258+AF256</f>
        <v>-100939.61900000001</v>
      </c>
      <c r="AG258" s="175">
        <f>AF258+AG256</f>
        <v>-100939.61900000001</v>
      </c>
      <c r="AH258" s="175">
        <f>AB258+AH256</f>
        <v>-100939.61900000001</v>
      </c>
      <c r="AI258" s="175">
        <f>AH258+AI256</f>
        <v>-102439.47900000001</v>
      </c>
      <c r="AJ258" s="175">
        <f>AI258+AJ256</f>
        <v>-102439.47900000001</v>
      </c>
      <c r="AK258" s="175">
        <f>AJ258+AK256</f>
        <v>-102439.47900000001</v>
      </c>
      <c r="AL258" s="175">
        <f>AK258+AL256</f>
        <v>-102439.47900000001</v>
      </c>
      <c r="AM258" s="175">
        <f>AL258+AM256</f>
        <v>-102439.47900000001</v>
      </c>
      <c r="AN258" s="175">
        <f>AH258+AN256</f>
        <v>-102439.47900000001</v>
      </c>
      <c r="AO258" s="175">
        <f>AN258+AO256</f>
        <v>-102439.47900000001</v>
      </c>
      <c r="AP258" s="175">
        <f>AO258+AP256</f>
        <v>-102439.47900000001</v>
      </c>
      <c r="AQ258" s="175">
        <f>AP258+AQ256</f>
        <v>-102439.47900000001</v>
      </c>
      <c r="AR258" s="175">
        <f>AQ258+AR256</f>
        <v>-102439.47900000001</v>
      </c>
      <c r="AS258" s="175">
        <f>AR258+AS256</f>
        <v>-102439.47900000001</v>
      </c>
      <c r="AT258" s="175">
        <f>AN258+AT256</f>
        <v>-102439.47900000001</v>
      </c>
      <c r="AU258" s="175">
        <f>AT258+AU256</f>
        <v>-102439.47900000001</v>
      </c>
      <c r="AV258" s="175">
        <f>AU258+AV256</f>
        <v>-102439.47900000001</v>
      </c>
      <c r="AW258" s="175">
        <f>AV258+AW256</f>
        <v>-102539.47900000001</v>
      </c>
      <c r="AX258" s="175">
        <f>AW258+AX256</f>
        <v>-102539.47900000001</v>
      </c>
      <c r="AY258" s="175">
        <f>AX258+AY256</f>
        <v>-102539.47900000001</v>
      </c>
      <c r="AZ258" s="175">
        <f>AT258+AZ256</f>
        <v>-102539.47900000001</v>
      </c>
      <c r="BA258" s="175">
        <f>+AB258+BA256</f>
        <v>-102539.47900000001</v>
      </c>
      <c r="BB258" s="175">
        <f>BA258+BB256</f>
        <v>-94671.018000000011</v>
      </c>
      <c r="BC258" s="175">
        <f>BB258+BC256</f>
        <v>-101837.82</v>
      </c>
      <c r="BD258" s="175">
        <f>BC258+BD256</f>
        <v>-104341.36500000001</v>
      </c>
      <c r="BE258" s="175">
        <f>BD258+BE256</f>
        <v>-104341.36500000001</v>
      </c>
      <c r="BF258" s="175">
        <f>BE258+BF256</f>
        <v>-104341.36500000001</v>
      </c>
      <c r="BG258" s="175">
        <f>BA258+BG256</f>
        <v>-104341.36500000001</v>
      </c>
      <c r="BH258" s="175">
        <f>BG258+BH256</f>
        <v>-106619.66500000001</v>
      </c>
      <c r="BI258" s="175">
        <f>BH258+BI256</f>
        <v>-106619.66500000001</v>
      </c>
      <c r="BJ258" s="175">
        <f>BI258+BJ256</f>
        <v>-106619.66500000001</v>
      </c>
      <c r="BK258" s="175">
        <f>BJ258+BK256</f>
        <v>-106619.66500000001</v>
      </c>
      <c r="BL258" s="175">
        <f>BK258+BL256</f>
        <v>-106619.66500000001</v>
      </c>
      <c r="BM258" s="175">
        <f>BG258+BM256</f>
        <v>-106619.66500000001</v>
      </c>
      <c r="BN258" s="175">
        <f>BM258+BN256</f>
        <v>-106619.66500000001</v>
      </c>
      <c r="BO258" s="175">
        <f>BN258+BO256</f>
        <v>-106619.66500000001</v>
      </c>
      <c r="BP258" s="175">
        <f>BO258+BP256</f>
        <v>-106619.66500000001</v>
      </c>
      <c r="BQ258" s="175">
        <f>BP258+BQ256</f>
        <v>-106685.66500000001</v>
      </c>
      <c r="BR258" s="175">
        <f>BM258+BR256</f>
        <v>-106685.66500000001</v>
      </c>
      <c r="BS258" s="175">
        <f>BR258+BS256</f>
        <v>-106685.66500000001</v>
      </c>
      <c r="BT258" s="175">
        <f>BS258+BT256</f>
        <v>-106685.66500000001</v>
      </c>
      <c r="BU258" s="175">
        <f>BT258+BU256</f>
        <v>-106685.66500000001</v>
      </c>
      <c r="BV258" s="175">
        <f>BU258+BV256</f>
        <v>-106685.66500000001</v>
      </c>
      <c r="BW258" s="175">
        <f>BV258+BW256</f>
        <v>-106685.66500000001</v>
      </c>
      <c r="BX258" s="175">
        <f>BR258+BX256</f>
        <v>-106685.66500000001</v>
      </c>
      <c r="BY258" s="175">
        <f>BX258+BY256</f>
        <v>-106685.66500000001</v>
      </c>
      <c r="BZ258" s="175">
        <f>BY258+BZ256</f>
        <v>-106785.66500000001</v>
      </c>
      <c r="CA258" s="175">
        <f>BX258+CA256</f>
        <v>-106785.66500000001</v>
      </c>
      <c r="CB258" s="175">
        <f>BA258+CB256</f>
        <v>-106785.66500000001</v>
      </c>
      <c r="CC258" s="175">
        <f>CB258+CC256</f>
        <v>-121630.25400000002</v>
      </c>
      <c r="CD258" s="175">
        <f>CC258+CD256</f>
        <v>-121630.25400000002</v>
      </c>
      <c r="CE258" s="175">
        <f>CD258+CE256</f>
        <v>-121630.25400000002</v>
      </c>
      <c r="CF258" s="175">
        <f>CB258+CF256</f>
        <v>-121630.25400000002</v>
      </c>
      <c r="CG258" s="175">
        <f>CF258+CG256</f>
        <v>-125816.76000000002</v>
      </c>
      <c r="CH258" s="175">
        <f>CG258+CH256</f>
        <v>-125816.76000000002</v>
      </c>
      <c r="CI258" s="175">
        <f>CH258+CI256</f>
        <v>-125916.76000000002</v>
      </c>
      <c r="CJ258" s="175">
        <f>CI258+CJ256</f>
        <v>-125916.76000000002</v>
      </c>
      <c r="CK258" s="175">
        <f>CF258+CK256</f>
        <v>-125916.76000000002</v>
      </c>
      <c r="CL258" s="175">
        <f>+CK258+CL256</f>
        <v>-135714.65100000001</v>
      </c>
      <c r="CM258" s="175">
        <f>+CL258+CM256</f>
        <v>-135714.65100000001</v>
      </c>
      <c r="CN258" s="175">
        <f>+CM258+CN256</f>
        <v>-135814.65100000001</v>
      </c>
      <c r="CO258" s="175">
        <f>+CN258+CO256</f>
        <v>-135814.65100000001</v>
      </c>
      <c r="CP258" s="175">
        <f>+CO258+CP256</f>
        <v>-138662.69</v>
      </c>
      <c r="CQ258" s="175">
        <f>CK258+CQ256</f>
        <v>-138662.69000000003</v>
      </c>
      <c r="CR258" s="175">
        <f>CQ258+CR256</f>
        <v>-138662.69000000003</v>
      </c>
      <c r="CS258" s="175">
        <f>CR258+CS256</f>
        <v>-138662.69000000003</v>
      </c>
      <c r="CT258" s="175">
        <f>CS258+CT256</f>
        <v>-138662.69000000003</v>
      </c>
      <c r="CU258" s="175">
        <f>CT258+CU256</f>
        <v>-138662.69000000003</v>
      </c>
      <c r="CV258" s="175">
        <f>CU258+CV256</f>
        <v>-138662.69000000003</v>
      </c>
      <c r="CW258" s="175">
        <f>CQ258+CW256</f>
        <v>-138662.69000000003</v>
      </c>
      <c r="CX258" s="175">
        <f>CW258+CX256</f>
        <v>-138662.69000000003</v>
      </c>
      <c r="CY258" s="175">
        <f>CX258+CY256</f>
        <v>-138662.69000000003</v>
      </c>
      <c r="CZ258" s="175">
        <f>CY258+CZ256</f>
        <v>-138662.69000000003</v>
      </c>
      <c r="DA258" s="175">
        <f>CZ258+DA256</f>
        <v>-153125.65500000003</v>
      </c>
      <c r="DB258" s="175">
        <f>CW258+DB256</f>
        <v>-153125.65500000003</v>
      </c>
      <c r="DC258" s="175">
        <f>CB258+DC256</f>
        <v>-153125.65500000003</v>
      </c>
      <c r="DD258" s="175">
        <f>DC258+DD256</f>
        <v>-138126.00900000002</v>
      </c>
      <c r="DE258" s="175">
        <f>DD258+DE256</f>
        <v>-138126.00900000002</v>
      </c>
      <c r="DF258" s="175">
        <f>DE258+DF256</f>
        <v>-138126.00900000002</v>
      </c>
      <c r="DG258" s="175">
        <f>DF258+DG256</f>
        <v>-138126.00900000002</v>
      </c>
      <c r="DH258" s="175">
        <f>DG258+DH256</f>
        <v>-138126.00900000002</v>
      </c>
      <c r="DI258" s="175">
        <f>DC258+DI256</f>
        <v>-138126.00900000002</v>
      </c>
      <c r="DJ258" s="175">
        <f>DI258+DJ256</f>
        <v>-138126.00900000002</v>
      </c>
      <c r="DK258" s="175">
        <f>DJ258+DK256</f>
        <v>-138126.00900000002</v>
      </c>
      <c r="DL258" s="175">
        <f>DK258+DL256</f>
        <v>-138126.00900000002</v>
      </c>
      <c r="DM258" s="175">
        <f>DL258+DM256</f>
        <v>-138126.00900000002</v>
      </c>
      <c r="DN258" s="175">
        <f>DM258+DN256</f>
        <v>-138126.00900000002</v>
      </c>
      <c r="DO258" s="175">
        <f>DI258+DO256</f>
        <v>-138126.00900000002</v>
      </c>
      <c r="DP258" s="175">
        <f>DO258+DP256</f>
        <v>-138126.00900000002</v>
      </c>
      <c r="DQ258" s="175">
        <f>DP258+DQ256</f>
        <v>-138126.00900000002</v>
      </c>
      <c r="DR258" s="175">
        <f>DQ258+DR256</f>
        <v>-138126.00900000002</v>
      </c>
      <c r="DS258" s="175">
        <f>DR258+DS256</f>
        <v>-138126.00900000002</v>
      </c>
      <c r="DT258" s="175">
        <f>DS258+DT256</f>
        <v>-138126.00900000002</v>
      </c>
      <c r="DU258" s="175">
        <f>DO258+DU256</f>
        <v>-138126.00900000002</v>
      </c>
      <c r="DV258" s="175">
        <f>DU258+DV256</f>
        <v>-138126.00900000002</v>
      </c>
      <c r="DW258" s="175">
        <f>DV258+DW256</f>
        <v>-138126.00900000002</v>
      </c>
      <c r="DX258" s="175">
        <f>DW258+DX256</f>
        <v>-138126.00900000002</v>
      </c>
      <c r="DY258" s="175">
        <f>DX258+DY256</f>
        <v>-138126.00900000002</v>
      </c>
      <c r="DZ258" s="175">
        <f>DY258+DZ256</f>
        <v>-138126.00900000002</v>
      </c>
      <c r="EA258" s="175">
        <f>DU258+EA256</f>
        <v>-138126.00900000002</v>
      </c>
      <c r="EB258" s="175">
        <f>DC258+EB256</f>
        <v>-138126.00900000002</v>
      </c>
      <c r="EC258" s="175">
        <f>EB258+EC256</f>
        <v>-155078.45400000003</v>
      </c>
      <c r="ED258" s="175">
        <f>EC258+ED256</f>
        <v>-158163.06400000001</v>
      </c>
      <c r="EE258" s="175">
        <f>ED258+EE256</f>
        <v>-158163.06400000001</v>
      </c>
      <c r="EF258" s="175">
        <f>EE258+EF256</f>
        <v>-158163.06400000001</v>
      </c>
      <c r="EG258" s="175">
        <f>EF258+EG256</f>
        <v>-158163.06400000001</v>
      </c>
      <c r="EH258" s="175">
        <f>EB258+EH256</f>
        <v>-158163.06400000001</v>
      </c>
      <c r="EI258" s="175">
        <f>EH258+EI256</f>
        <v>-158163.06400000001</v>
      </c>
      <c r="EJ258" s="175">
        <f>EI258+EJ256</f>
        <v>-158163.06400000001</v>
      </c>
      <c r="EK258" s="175">
        <f>EJ258+EK256</f>
        <v>-158163.06400000001</v>
      </c>
      <c r="EL258" s="175">
        <f>EK258+EL256</f>
        <v>-158163.06400000001</v>
      </c>
      <c r="EM258" s="175">
        <f>EL258+EM256</f>
        <v>-158163.06400000001</v>
      </c>
      <c r="EN258" s="175">
        <f>EH258+EN256</f>
        <v>-158163.06400000001</v>
      </c>
      <c r="EO258" s="175">
        <f>EN258+EO256</f>
        <v>-158163.06400000001</v>
      </c>
      <c r="EP258" s="175">
        <f>EO258+EP256</f>
        <v>-158163.06400000001</v>
      </c>
      <c r="EQ258" s="175">
        <f>EP258+EQ256</f>
        <v>-158163.06400000001</v>
      </c>
      <c r="ER258" s="175">
        <f>EQ258+ER256</f>
        <v>-158163.06400000001</v>
      </c>
      <c r="ES258" s="175">
        <f>ER258+ES256</f>
        <v>-158163.06400000001</v>
      </c>
      <c r="ET258" s="175">
        <f>EN258+ET256</f>
        <v>-158163.06400000001</v>
      </c>
      <c r="EU258" s="175">
        <f t="shared" ref="EU258:FA258" si="737">ET258+EU256</f>
        <v>-158163.06400000001</v>
      </c>
      <c r="EV258" s="175">
        <f t="shared" si="737"/>
        <v>-158163.06400000001</v>
      </c>
      <c r="EW258" s="175">
        <f t="shared" si="737"/>
        <v>-158163.06400000001</v>
      </c>
      <c r="EX258" s="175">
        <f t="shared" si="737"/>
        <v>-158163.06400000001</v>
      </c>
      <c r="EY258" s="175">
        <f t="shared" si="737"/>
        <v>-158163.06400000001</v>
      </c>
      <c r="EZ258" s="175">
        <f t="shared" si="737"/>
        <v>-157534.85000000003</v>
      </c>
      <c r="FA258" s="175">
        <f t="shared" si="737"/>
        <v>-159979.14700000003</v>
      </c>
      <c r="FB258" s="175">
        <f>ET258+FB256</f>
        <v>-159979.14700000003</v>
      </c>
      <c r="FC258" s="175">
        <f>EB258+FC256</f>
        <v>-159979.14700000003</v>
      </c>
      <c r="FD258" s="175">
        <f>FC258+FD256</f>
        <v>-156854.79900000003</v>
      </c>
      <c r="FE258" s="175">
        <f>FD258+FE256</f>
        <v>-156854.79900000003</v>
      </c>
      <c r="FF258" s="175">
        <f>FE258+FF256</f>
        <v>-156854.79900000003</v>
      </c>
      <c r="FG258" s="175">
        <f>FC258+FG256</f>
        <v>-156854.79900000003</v>
      </c>
      <c r="FH258" s="175">
        <f>FG258+FH256</f>
        <v>-160466.31800000003</v>
      </c>
      <c r="FI258" s="175">
        <f>FH258+FI256</f>
        <v>-160466.31800000003</v>
      </c>
      <c r="FJ258" s="175">
        <f>FI258+FJ256</f>
        <v>-160466.31800000003</v>
      </c>
      <c r="FK258" s="175">
        <f>FJ258+FK256</f>
        <v>-160466.31800000003</v>
      </c>
      <c r="FL258" s="175">
        <f>FK258+FL256</f>
        <v>-160466.31800000003</v>
      </c>
      <c r="FM258" s="175">
        <f>FG258+FM256</f>
        <v>-160466.31800000003</v>
      </c>
      <c r="FN258" s="175">
        <f>FM258+FN256</f>
        <v>-160466.31800000003</v>
      </c>
      <c r="FO258" s="175">
        <f>FN258+FO256</f>
        <v>-162204.09600000002</v>
      </c>
      <c r="FP258" s="175">
        <f>FO258+FP256</f>
        <v>-162204.09600000002</v>
      </c>
      <c r="FQ258" s="175">
        <f>FP258+FQ256</f>
        <v>-162204.09600000002</v>
      </c>
      <c r="FR258" s="175">
        <f>FM258+FR256</f>
        <v>-162204.09600000002</v>
      </c>
      <c r="FS258" s="175">
        <f>FR258+FS256</f>
        <v>-164337.39800000002</v>
      </c>
      <c r="FT258" s="175">
        <f>FS258+FT256</f>
        <v>-164337.39800000002</v>
      </c>
      <c r="FU258" s="175">
        <f>FT258+FU256</f>
        <v>-164337.39800000002</v>
      </c>
      <c r="FV258" s="175">
        <f>FU258+FV256</f>
        <v>-164337.39800000002</v>
      </c>
      <c r="FW258" s="175">
        <f>FV258+FW256</f>
        <v>-164337.39800000002</v>
      </c>
      <c r="FX258" s="175">
        <f>FR258+FX256</f>
        <v>-164337.39800000002</v>
      </c>
      <c r="FY258" s="175">
        <f>FX258+FY256</f>
        <v>-164337.39800000002</v>
      </c>
      <c r="FZ258" s="175">
        <f>FY258+FZ256</f>
        <v>-164337.39800000002</v>
      </c>
      <c r="GA258" s="175">
        <f>FZ258+GA256</f>
        <v>-164337.39800000002</v>
      </c>
      <c r="GB258" s="175">
        <f>GA258+GB256</f>
        <v>-166763.04800000001</v>
      </c>
      <c r="GC258" s="175">
        <f>GB258+GC256</f>
        <v>-166763.04800000001</v>
      </c>
      <c r="GD258" s="175">
        <f>FX258+GD256</f>
        <v>-166763.04800000001</v>
      </c>
      <c r="GE258" s="175">
        <f>FC258+GE256</f>
        <v>-166763.04800000004</v>
      </c>
      <c r="GF258" s="175">
        <f>GE258+GF256</f>
        <v>-86763.048000000039</v>
      </c>
      <c r="GG258" s="175">
        <f>GF258+GG256</f>
        <v>-86763.048000000039</v>
      </c>
      <c r="GH258" s="175">
        <f>GG258+GH256</f>
        <v>-98927.475000000035</v>
      </c>
      <c r="GI258" s="175">
        <f>GH258+GI256</f>
        <v>-98927.475000000035</v>
      </c>
      <c r="GJ258" s="175">
        <f>GI258+GJ256</f>
        <v>-98927.475000000035</v>
      </c>
      <c r="GK258" s="175">
        <f>GE258+GK256</f>
        <v>-98927.475000000035</v>
      </c>
      <c r="GL258" s="175">
        <f>GK258+GL256</f>
        <v>-98927.475000000035</v>
      </c>
      <c r="GM258" s="175">
        <f>GL258+GM256</f>
        <v>-98927.475000000035</v>
      </c>
      <c r="GN258" s="175">
        <f>GM258+GN256</f>
        <v>-103051.19900000004</v>
      </c>
      <c r="GO258" s="175">
        <f>GN258+GO256</f>
        <v>-103051.19900000004</v>
      </c>
      <c r="GP258" s="175">
        <f>GK258+GP256</f>
        <v>-103051.19900000004</v>
      </c>
      <c r="GQ258" s="175">
        <f>GP258+GQ256</f>
        <v>-103051.19900000004</v>
      </c>
      <c r="GR258" s="175">
        <f>GQ258+GR256</f>
        <v>-103051.19900000004</v>
      </c>
      <c r="GS258" s="175">
        <f>GR258+GS256</f>
        <v>-105711.19900000004</v>
      </c>
      <c r="GT258" s="175">
        <f>GS258+GT256</f>
        <v>-105711.19900000004</v>
      </c>
      <c r="GU258" s="175">
        <f>GT258+GU256</f>
        <v>-105711.19900000004</v>
      </c>
      <c r="GV258" s="175">
        <f>GP258+GV256</f>
        <v>-105711.19900000004</v>
      </c>
      <c r="GW258" s="175">
        <f t="shared" ref="GW258:HB258" si="738">GV258+GW256</f>
        <v>-105711.19900000004</v>
      </c>
      <c r="GX258" s="175">
        <f t="shared" si="738"/>
        <v>-105711.19900000004</v>
      </c>
      <c r="GY258" s="175">
        <f t="shared" si="738"/>
        <v>-105711.19900000004</v>
      </c>
      <c r="GZ258" s="175">
        <f t="shared" si="738"/>
        <v>-105711.19900000004</v>
      </c>
      <c r="HA258" s="175">
        <f t="shared" si="738"/>
        <v>-105711.19900000004</v>
      </c>
      <c r="HB258" s="175">
        <f t="shared" si="738"/>
        <v>-105711.19900000004</v>
      </c>
      <c r="HC258" s="175">
        <f>GV258+HC256</f>
        <v>-105711.19900000004</v>
      </c>
      <c r="HD258" s="175">
        <f>GE258+HD256</f>
        <v>-105711.19900000004</v>
      </c>
      <c r="HE258" s="175">
        <f>HD258+HE256</f>
        <v>-105795.25600000004</v>
      </c>
      <c r="HF258" s="175">
        <f>HE258+HF256</f>
        <v>-105795.25600000004</v>
      </c>
      <c r="HG258" s="175">
        <f>HF258+HG256</f>
        <v>-105795.25600000004</v>
      </c>
      <c r="HH258" s="175">
        <f>HG258+HH256</f>
        <v>-105795.25600000004</v>
      </c>
      <c r="HI258" s="175">
        <f>HD258+HI256</f>
        <v>-105795.25600000004</v>
      </c>
      <c r="HJ258" s="175">
        <f>HI258+HJ256</f>
        <v>-105795.25600000004</v>
      </c>
      <c r="HK258" s="175">
        <f>HJ258+HK256</f>
        <v>-107530.62900000004</v>
      </c>
      <c r="HL258" s="175">
        <f>HK258+HL256</f>
        <v>-107530.62900000004</v>
      </c>
      <c r="HM258" s="175">
        <f>HL258+HM256</f>
        <v>-107530.62900000004</v>
      </c>
      <c r="HN258" s="175">
        <f>HM258+HN256</f>
        <v>-107530.62900000004</v>
      </c>
      <c r="HO258" s="175">
        <f>HI258+HO256</f>
        <v>-107530.62900000004</v>
      </c>
      <c r="HP258" s="175">
        <f>HO258+HP256</f>
        <v>-107530.62900000004</v>
      </c>
      <c r="HQ258" s="175">
        <f>HP258+HQ256</f>
        <v>-107530.62900000004</v>
      </c>
      <c r="HR258" s="175">
        <f>HQ258+HR256</f>
        <v>-107530.62900000004</v>
      </c>
      <c r="HS258" s="175">
        <f>HR258+HS256</f>
        <v>-107530.62900000004</v>
      </c>
      <c r="HT258" s="175">
        <f>HS258+HT256</f>
        <v>-107530.62900000004</v>
      </c>
      <c r="HU258" s="175">
        <f>HO258+HU256</f>
        <v>-107530.62900000004</v>
      </c>
      <c r="HV258" s="175">
        <f>HU258+HV256</f>
        <v>-107530.62900000004</v>
      </c>
      <c r="HW258" s="175">
        <f>HV258+HW256</f>
        <v>-107530.62900000004</v>
      </c>
      <c r="HX258" s="175">
        <f>HW258+HX256</f>
        <v>-107530.62900000004</v>
      </c>
      <c r="HY258" s="175">
        <f>HU258+HY256</f>
        <v>-107530.62900000004</v>
      </c>
      <c r="HZ258" s="175">
        <f>HY258+HZ256</f>
        <v>-107530.62900000004</v>
      </c>
      <c r="IA258" s="175">
        <f>HZ258+IA256</f>
        <v>-107530.62900000004</v>
      </c>
      <c r="IB258" s="175">
        <f>IA258+IB256</f>
        <v>-107530.62900000004</v>
      </c>
      <c r="IC258" s="175">
        <f>HY258+IC256</f>
        <v>-107530.62900000004</v>
      </c>
      <c r="ID258" s="175">
        <f>HD258+ID256</f>
        <v>-107530.62900000003</v>
      </c>
      <c r="IE258" s="175">
        <f>ID258+IE256</f>
        <v>-107531.80900000002</v>
      </c>
      <c r="IF258" s="175">
        <f>IE258+IF256</f>
        <v>-107531.80900000002</v>
      </c>
      <c r="IG258" s="175">
        <f>ID258+IG256</f>
        <v>-107531.80900000002</v>
      </c>
      <c r="IH258" s="175">
        <f>IG258+IH256</f>
        <v>-110411.02500000002</v>
      </c>
      <c r="II258" s="175">
        <f>IH258+II256</f>
        <v>-110411.02500000002</v>
      </c>
      <c r="IJ258" s="175">
        <f>II258+IJ256</f>
        <v>-110411.02500000002</v>
      </c>
      <c r="IK258" s="175">
        <f>IJ258+IK256</f>
        <v>-110411.02500000002</v>
      </c>
      <c r="IL258" s="175">
        <f>IK258+IL256</f>
        <v>-110411.02500000002</v>
      </c>
      <c r="IM258" s="175">
        <f>IG258+IM256</f>
        <v>-110411.02500000002</v>
      </c>
      <c r="IN258" s="175">
        <f>IM258+IN256</f>
        <v>-110571.02500000002</v>
      </c>
      <c r="IO258" s="175">
        <f>IN258+IO256</f>
        <v>-110571.02500000002</v>
      </c>
      <c r="IP258" s="175">
        <f>IO258+IP256</f>
        <v>-110571.02500000002</v>
      </c>
      <c r="IQ258" s="175">
        <f>IM258+IQ256</f>
        <v>-110571.02500000002</v>
      </c>
      <c r="IR258" s="175">
        <f>IQ258+IR256</f>
        <v>-110571.02500000002</v>
      </c>
      <c r="IS258" s="175">
        <f>IR258+IS256</f>
        <v>-110571.02500000002</v>
      </c>
      <c r="IT258" s="175">
        <f>IS258+IT256</f>
        <v>-121092.89000000003</v>
      </c>
      <c r="IU258" s="175">
        <f>IT258+IU256</f>
        <v>-121092.89000000003</v>
      </c>
      <c r="IV258" s="175">
        <f>IU258+IV256</f>
        <v>-121092.89000000003</v>
      </c>
      <c r="IW258" s="175">
        <f>IQ258+IW256</f>
        <v>-121092.89000000003</v>
      </c>
      <c r="IX258" s="175">
        <f>IW258+IX256</f>
        <v>-121092.89000000003</v>
      </c>
      <c r="IY258" s="175">
        <f>IX258+IY256</f>
        <v>-121092.89000000003</v>
      </c>
      <c r="IZ258" s="175">
        <f>IY258+IZ256</f>
        <v>-121092.89000000003</v>
      </c>
      <c r="JA258" s="175">
        <f>IZ258+JA256</f>
        <v>-121092.89000000003</v>
      </c>
      <c r="JB258" s="175">
        <f>JA258+JB256</f>
        <v>-121092.89000000003</v>
      </c>
      <c r="JC258" s="175">
        <f>IW258+JC256</f>
        <v>-121092.89000000003</v>
      </c>
      <c r="JD258" s="175">
        <f>ID258+JD256</f>
        <v>-121092.89000000003</v>
      </c>
      <c r="JE258" s="175">
        <f>JD258+JE256</f>
        <v>-121092.89000000003</v>
      </c>
      <c r="JF258" s="175">
        <f t="shared" ref="JF258:LE258" si="739">JE258+JF256</f>
        <v>-121092.89000000003</v>
      </c>
      <c r="JG258" s="175">
        <f t="shared" si="739"/>
        <v>-121092.89000000003</v>
      </c>
      <c r="JH258" s="175">
        <f t="shared" si="739"/>
        <v>-121092.89000000003</v>
      </c>
      <c r="JI258" s="175">
        <f t="shared" si="739"/>
        <v>-121092.89000000003</v>
      </c>
      <c r="JJ258" s="175">
        <f>JD258+JJ256</f>
        <v>-121092.89000000003</v>
      </c>
      <c r="JK258" s="175">
        <f t="shared" si="739"/>
        <v>-121092.89000000003</v>
      </c>
      <c r="JL258" s="175">
        <f t="shared" si="739"/>
        <v>-121092.89000000003</v>
      </c>
      <c r="JM258" s="175">
        <f t="shared" si="739"/>
        <v>-121092.89000000003</v>
      </c>
      <c r="JN258" s="175">
        <f t="shared" si="739"/>
        <v>-121092.89000000003</v>
      </c>
      <c r="JO258" s="175">
        <f t="shared" si="739"/>
        <v>-121092.89000000003</v>
      </c>
      <c r="JP258" s="175">
        <f>JJ258+JP256</f>
        <v>-121092.89000000003</v>
      </c>
      <c r="JQ258" s="175">
        <f t="shared" si="739"/>
        <v>-121092.89000000003</v>
      </c>
      <c r="JR258" s="175">
        <f t="shared" si="739"/>
        <v>-121092.89000000003</v>
      </c>
      <c r="JS258" s="175">
        <f t="shared" si="739"/>
        <v>-121092.89000000003</v>
      </c>
      <c r="JT258" s="175">
        <f t="shared" si="739"/>
        <v>-121092.89000000003</v>
      </c>
      <c r="JU258" s="175">
        <f t="shared" si="739"/>
        <v>-121092.89000000003</v>
      </c>
      <c r="JV258" s="175">
        <f>JP258+JV256</f>
        <v>-121092.89000000003</v>
      </c>
      <c r="JW258" s="175">
        <f t="shared" si="739"/>
        <v>-121092.89000000003</v>
      </c>
      <c r="JX258" s="175">
        <f t="shared" si="739"/>
        <v>-121092.89000000003</v>
      </c>
      <c r="JY258" s="175">
        <f t="shared" si="739"/>
        <v>-121092.89000000003</v>
      </c>
      <c r="JZ258" s="175">
        <f t="shared" si="739"/>
        <v>-121092.89000000003</v>
      </c>
      <c r="KA258" s="175"/>
      <c r="KB258" s="175">
        <f>JZ258+KB256</f>
        <v>-121092.89000000003</v>
      </c>
      <c r="KC258" s="175">
        <f>JV258+KC256</f>
        <v>-121092.89000000003</v>
      </c>
      <c r="KD258" s="175">
        <f>JD258+KD256</f>
        <v>-367342.89</v>
      </c>
      <c r="KE258" s="175">
        <f t="shared" si="739"/>
        <v>-367342.89</v>
      </c>
      <c r="KF258" s="175">
        <f t="shared" si="739"/>
        <v>-367342.89</v>
      </c>
      <c r="KG258" s="175">
        <f t="shared" si="739"/>
        <v>-367342.89</v>
      </c>
      <c r="KH258" s="175">
        <f t="shared" si="739"/>
        <v>-367342.89</v>
      </c>
      <c r="KI258" s="175">
        <f t="shared" si="739"/>
        <v>-367342.89</v>
      </c>
      <c r="KJ258" s="175">
        <f>KD258+KJ256</f>
        <v>-367342.89</v>
      </c>
      <c r="KK258" s="175">
        <f t="shared" si="739"/>
        <v>-367342.89</v>
      </c>
      <c r="KL258" s="175">
        <f t="shared" si="739"/>
        <v>-367342.89</v>
      </c>
      <c r="KM258" s="175">
        <f t="shared" si="739"/>
        <v>-367342.89</v>
      </c>
      <c r="KN258" s="175">
        <f t="shared" si="739"/>
        <v>-367342.89</v>
      </c>
      <c r="KO258" s="175">
        <f t="shared" si="739"/>
        <v>-367342.89</v>
      </c>
      <c r="KP258" s="175">
        <f>KJ258+KP256</f>
        <v>-367342.89</v>
      </c>
      <c r="KQ258" s="175">
        <f t="shared" si="739"/>
        <v>-367342.89</v>
      </c>
      <c r="KR258" s="175">
        <f t="shared" si="739"/>
        <v>-367342.89</v>
      </c>
      <c r="KS258" s="175">
        <f t="shared" si="739"/>
        <v>-367342.89</v>
      </c>
      <c r="KT258" s="175">
        <f t="shared" si="739"/>
        <v>-367342.89</v>
      </c>
      <c r="KU258" s="175">
        <f t="shared" si="739"/>
        <v>-367342.89</v>
      </c>
      <c r="KV258" s="175">
        <f>KP258+KV256</f>
        <v>-367342.89</v>
      </c>
      <c r="KW258" s="175">
        <f t="shared" si="739"/>
        <v>-367342.89</v>
      </c>
      <c r="KX258" s="175">
        <f t="shared" si="739"/>
        <v>-367342.89</v>
      </c>
      <c r="KY258" s="175">
        <f t="shared" si="739"/>
        <v>-367342.89</v>
      </c>
      <c r="KZ258" s="175">
        <f t="shared" si="739"/>
        <v>-367342.89</v>
      </c>
      <c r="LA258" s="175">
        <f t="shared" si="739"/>
        <v>-367342.89</v>
      </c>
      <c r="LB258" s="175">
        <f>KV258+LB256</f>
        <v>-367342.89</v>
      </c>
      <c r="LC258" s="175">
        <f t="shared" si="739"/>
        <v>-367342.89</v>
      </c>
      <c r="LD258" s="175">
        <f t="shared" si="739"/>
        <v>-367342.89</v>
      </c>
      <c r="LE258" s="175">
        <f t="shared" si="739"/>
        <v>-367342.89</v>
      </c>
      <c r="LF258" s="175">
        <f>LB258+LF256</f>
        <v>-367342.89</v>
      </c>
      <c r="LG258" s="175">
        <f>KD258+LG256</f>
        <v>-367342.89</v>
      </c>
    </row>
    <row r="260" spans="1:322">
      <c r="B260" s="223" t="s">
        <v>180</v>
      </c>
      <c r="C260" s="222">
        <f t="shared" ref="C260:AH260" si="740">+C256+C193+C107+C48</f>
        <v>147290.492</v>
      </c>
      <c r="D260" s="222">
        <f t="shared" si="740"/>
        <v>147290.492</v>
      </c>
      <c r="E260" s="222">
        <f t="shared" si="740"/>
        <v>160199.041</v>
      </c>
      <c r="F260" s="222">
        <f t="shared" si="740"/>
        <v>-80305.252999999997</v>
      </c>
      <c r="G260" s="222">
        <f t="shared" si="740"/>
        <v>-112838.85299999997</v>
      </c>
      <c r="H260" s="222">
        <f t="shared" si="740"/>
        <v>28315.395999999997</v>
      </c>
      <c r="I260" s="222">
        <f t="shared" si="740"/>
        <v>11880.744000000006</v>
      </c>
      <c r="J260" s="222">
        <f t="shared" si="740"/>
        <v>7251.0750000000698</v>
      </c>
      <c r="K260" s="222">
        <f t="shared" si="740"/>
        <v>-34389.987999999998</v>
      </c>
      <c r="L260" s="222">
        <f t="shared" si="740"/>
        <v>-80718.338000000018</v>
      </c>
      <c r="M260" s="222">
        <f t="shared" si="740"/>
        <v>-63460.654000000002</v>
      </c>
      <c r="N260" s="222">
        <f t="shared" si="740"/>
        <v>-8173.1870000000035</v>
      </c>
      <c r="O260" s="222">
        <f t="shared" si="740"/>
        <v>-191205.63799999989</v>
      </c>
      <c r="P260" s="222">
        <f t="shared" si="740"/>
        <v>-16127.542000000001</v>
      </c>
      <c r="Q260" s="222">
        <f t="shared" si="740"/>
        <v>103854.25599999999</v>
      </c>
      <c r="R260" s="222">
        <f t="shared" si="740"/>
        <v>-216288.158</v>
      </c>
      <c r="S260" s="222">
        <f t="shared" si="740"/>
        <v>54793.362000000001</v>
      </c>
      <c r="T260" s="222">
        <f t="shared" si="740"/>
        <v>173331.21300000005</v>
      </c>
      <c r="U260" s="222">
        <f t="shared" si="740"/>
        <v>99563.130999999965</v>
      </c>
      <c r="V260" s="222">
        <f t="shared" si="740"/>
        <v>-146885.24799999993</v>
      </c>
      <c r="W260" s="222">
        <f t="shared" si="740"/>
        <v>-164315.73499999999</v>
      </c>
      <c r="X260" s="222">
        <f t="shared" si="740"/>
        <v>-113512.31899999999</v>
      </c>
      <c r="Y260" s="222">
        <f t="shared" si="740"/>
        <v>-327.85699999999269</v>
      </c>
      <c r="Z260" s="222">
        <f t="shared" si="740"/>
        <v>-320640.81299999997</v>
      </c>
      <c r="AA260" s="222">
        <f t="shared" si="740"/>
        <v>-745681.97199999995</v>
      </c>
      <c r="AB260" s="222">
        <f t="shared" si="740"/>
        <v>-682782.91199999978</v>
      </c>
      <c r="AC260" s="222">
        <f t="shared" si="740"/>
        <v>-16164.902999999962</v>
      </c>
      <c r="AD260" s="222">
        <f t="shared" si="740"/>
        <v>96433.431999999972</v>
      </c>
      <c r="AE260" s="222">
        <f t="shared" si="740"/>
        <v>228465.36199999996</v>
      </c>
      <c r="AF260" s="222">
        <f t="shared" si="740"/>
        <v>465414.53600000002</v>
      </c>
      <c r="AG260" s="222">
        <f t="shared" si="740"/>
        <v>-59643.469999999979</v>
      </c>
      <c r="AH260" s="222">
        <f t="shared" si="740"/>
        <v>714504.95700000017</v>
      </c>
      <c r="AI260" s="222">
        <f t="shared" ref="AI260:BN260" si="741">+AI256+AI193+AI107+AI48</f>
        <v>256232.12100000004</v>
      </c>
      <c r="AJ260" s="222">
        <f t="shared" si="741"/>
        <v>-56740.304000000004</v>
      </c>
      <c r="AK260" s="222">
        <f t="shared" si="741"/>
        <v>25950.597000000002</v>
      </c>
      <c r="AL260" s="222">
        <f t="shared" si="741"/>
        <v>-89912.609999999986</v>
      </c>
      <c r="AM260" s="222">
        <f t="shared" si="741"/>
        <v>-135781.21</v>
      </c>
      <c r="AN260" s="222">
        <f t="shared" si="741"/>
        <v>-297.7009999997681</v>
      </c>
      <c r="AO260" s="222">
        <f t="shared" si="741"/>
        <v>-118043.541</v>
      </c>
      <c r="AP260" s="222">
        <f t="shared" si="741"/>
        <v>-11462.132000000001</v>
      </c>
      <c r="AQ260" s="222">
        <f t="shared" si="741"/>
        <v>132865.35500000001</v>
      </c>
      <c r="AR260" s="222">
        <f t="shared" si="741"/>
        <v>-21939.274999999994</v>
      </c>
      <c r="AS260" s="222">
        <f t="shared" si="741"/>
        <v>-322327.52300000004</v>
      </c>
      <c r="AT260" s="222">
        <f t="shared" si="741"/>
        <v>-340907.11600000015</v>
      </c>
      <c r="AU260" s="222">
        <f t="shared" si="741"/>
        <v>322877.75890000002</v>
      </c>
      <c r="AV260" s="222">
        <f t="shared" si="741"/>
        <v>66595.983999999982</v>
      </c>
      <c r="AW260" s="222">
        <f t="shared" si="741"/>
        <v>56070.144</v>
      </c>
      <c r="AX260" s="222">
        <f t="shared" si="741"/>
        <v>-3289.8320000000022</v>
      </c>
      <c r="AY260" s="222">
        <f t="shared" si="741"/>
        <v>-95431.082000000009</v>
      </c>
      <c r="AZ260" s="222">
        <f t="shared" si="741"/>
        <v>346822.97289999988</v>
      </c>
      <c r="BA260" s="222">
        <f t="shared" si="741"/>
        <v>720123.11290000041</v>
      </c>
      <c r="BB260" s="222">
        <f t="shared" si="741"/>
        <v>-320522.30400000006</v>
      </c>
      <c r="BC260" s="222">
        <f t="shared" si="741"/>
        <v>-1313006.82</v>
      </c>
      <c r="BD260" s="222">
        <f t="shared" si="741"/>
        <v>1202145.8470000001</v>
      </c>
      <c r="BE260" s="222">
        <f t="shared" si="741"/>
        <v>171091.73</v>
      </c>
      <c r="BF260" s="222">
        <f t="shared" si="741"/>
        <v>-1171.1440000000002</v>
      </c>
      <c r="BG260" s="222">
        <f t="shared" si="741"/>
        <v>-261462.69099999976</v>
      </c>
      <c r="BH260" s="222">
        <f t="shared" si="741"/>
        <v>-214823.29000000004</v>
      </c>
      <c r="BI260" s="222">
        <f t="shared" si="741"/>
        <v>980.5460000000021</v>
      </c>
      <c r="BJ260" s="222">
        <f t="shared" si="741"/>
        <v>200264.93699999998</v>
      </c>
      <c r="BK260" s="222">
        <f t="shared" si="741"/>
        <v>242985.34999999998</v>
      </c>
      <c r="BL260" s="222">
        <f t="shared" si="741"/>
        <v>-188046.09499999997</v>
      </c>
      <c r="BM260" s="222">
        <f t="shared" si="741"/>
        <v>41361.448000000019</v>
      </c>
      <c r="BN260" s="222">
        <f t="shared" si="741"/>
        <v>-79601.968999999983</v>
      </c>
      <c r="BO260" s="222">
        <f t="shared" ref="BO260:CU260" si="742">+BO256+BO193+BO107+BO48</f>
        <v>16593.339000000022</v>
      </c>
      <c r="BP260" s="222">
        <f t="shared" si="742"/>
        <v>58064.015999999989</v>
      </c>
      <c r="BQ260" s="222">
        <f t="shared" si="742"/>
        <v>-18140.388000000006</v>
      </c>
      <c r="BR260" s="222">
        <f t="shared" si="742"/>
        <v>-23085.001999999979</v>
      </c>
      <c r="BS260" s="222">
        <f t="shared" si="742"/>
        <v>-204315.742</v>
      </c>
      <c r="BT260" s="222">
        <f t="shared" si="742"/>
        <v>13718.413999999997</v>
      </c>
      <c r="BU260" s="222">
        <f t="shared" si="742"/>
        <v>127783.06099999999</v>
      </c>
      <c r="BV260" s="222">
        <f t="shared" si="742"/>
        <v>-150367.86600000001</v>
      </c>
      <c r="BW260" s="222">
        <f t="shared" si="742"/>
        <v>-105894.16200000001</v>
      </c>
      <c r="BX260" s="222">
        <f t="shared" si="742"/>
        <v>-319076.29499999993</v>
      </c>
      <c r="BY260" s="222">
        <f>+BY256+BY193+BY107+BY48</f>
        <v>27323.330999999998</v>
      </c>
      <c r="BZ260" s="222">
        <f>+BZ256+BZ193+BZ107+BZ48</f>
        <v>-181208.42300000007</v>
      </c>
      <c r="CA260" s="222">
        <f t="shared" si="742"/>
        <v>-153885.092</v>
      </c>
      <c r="CB260" s="222">
        <f t="shared" si="742"/>
        <v>-716147.63199999928</v>
      </c>
      <c r="CC260" s="222">
        <f t="shared" si="742"/>
        <v>-14827.025000000009</v>
      </c>
      <c r="CD260" s="222">
        <f t="shared" si="742"/>
        <v>71876.539999999979</v>
      </c>
      <c r="CE260" s="222">
        <f t="shared" si="742"/>
        <v>-208169.32400000002</v>
      </c>
      <c r="CF260" s="222">
        <f t="shared" si="742"/>
        <v>-151119.80900000004</v>
      </c>
      <c r="CG260" s="222">
        <f t="shared" si="742"/>
        <v>210376.51000000007</v>
      </c>
      <c r="CH260" s="222">
        <f t="shared" si="742"/>
        <v>46582.764999999985</v>
      </c>
      <c r="CI260" s="222">
        <f t="shared" si="742"/>
        <v>225870.65100000001</v>
      </c>
      <c r="CJ260" s="222">
        <f t="shared" si="742"/>
        <v>-135695.14199999999</v>
      </c>
      <c r="CK260" s="222">
        <f t="shared" si="742"/>
        <v>347134.78400000004</v>
      </c>
      <c r="CL260" s="222">
        <f t="shared" si="742"/>
        <v>-49350.799999999996</v>
      </c>
      <c r="CM260" s="222">
        <f t="shared" si="742"/>
        <v>14536.712000000058</v>
      </c>
      <c r="CN260" s="222">
        <f t="shared" si="742"/>
        <v>-206556.92099999997</v>
      </c>
      <c r="CO260" s="222">
        <f t="shared" si="742"/>
        <v>-210819.01699999999</v>
      </c>
      <c r="CP260" s="222">
        <f t="shared" si="742"/>
        <v>56016.83</v>
      </c>
      <c r="CQ260" s="222">
        <f t="shared" si="742"/>
        <v>-396173.19600000017</v>
      </c>
      <c r="CR260" s="222">
        <f t="shared" si="742"/>
        <v>176410.08600000004</v>
      </c>
      <c r="CS260" s="222">
        <f t="shared" si="742"/>
        <v>-178111.399</v>
      </c>
      <c r="CT260" s="222">
        <f t="shared" si="742"/>
        <v>419914.87800000003</v>
      </c>
      <c r="CU260" s="222">
        <f t="shared" si="742"/>
        <v>523.95700000000033</v>
      </c>
      <c r="CV260" s="222">
        <f t="shared" ref="CV260:EA260" si="743">+CV256+CV193+CV107+CV48</f>
        <v>-121552.356</v>
      </c>
      <c r="CW260" s="222">
        <f t="shared" si="743"/>
        <v>297185.16599999991</v>
      </c>
      <c r="CX260" s="222">
        <f t="shared" si="743"/>
        <v>-10773.689000000002</v>
      </c>
      <c r="CY260" s="222">
        <f>+CY256+CY193+CY107+CY48</f>
        <v>93911.553999999989</v>
      </c>
      <c r="CZ260" s="222">
        <f>+CZ256+CZ193+CZ107+CZ48</f>
        <v>35692.546000000002</v>
      </c>
      <c r="DA260" s="222">
        <f t="shared" si="743"/>
        <v>-495430.85899999994</v>
      </c>
      <c r="DB260" s="222">
        <f t="shared" si="743"/>
        <v>-376600.44800000009</v>
      </c>
      <c r="DC260" s="222">
        <f t="shared" si="743"/>
        <v>-279573.50299999863</v>
      </c>
      <c r="DD260" s="222">
        <f t="shared" si="743"/>
        <v>4745.3280000000086</v>
      </c>
      <c r="DE260" s="222">
        <f t="shared" si="743"/>
        <v>-3465.4549999999581</v>
      </c>
      <c r="DF260" s="222">
        <f t="shared" si="743"/>
        <v>296230.14600000001</v>
      </c>
      <c r="DG260" s="222">
        <f t="shared" si="743"/>
        <v>-65013.391000000003</v>
      </c>
      <c r="DH260" s="222">
        <f t="shared" si="743"/>
        <v>-71159.097999999998</v>
      </c>
      <c r="DI260" s="222">
        <f t="shared" si="743"/>
        <v>161337.53000000003</v>
      </c>
      <c r="DJ260" s="222">
        <f t="shared" si="743"/>
        <v>-190499.21899999998</v>
      </c>
      <c r="DK260" s="222">
        <f t="shared" si="743"/>
        <v>-89964.444999999992</v>
      </c>
      <c r="DL260" s="222">
        <f t="shared" si="743"/>
        <v>45225.140999999996</v>
      </c>
      <c r="DM260" s="222">
        <f t="shared" si="743"/>
        <v>-70119.568999999989</v>
      </c>
      <c r="DN260" s="222">
        <f t="shared" si="743"/>
        <v>81743.24000000002</v>
      </c>
      <c r="DO260" s="222">
        <f t="shared" si="743"/>
        <v>-223614.85199999987</v>
      </c>
      <c r="DP260" s="222">
        <f t="shared" si="743"/>
        <v>-33084.76</v>
      </c>
      <c r="DQ260" s="222">
        <f t="shared" si="743"/>
        <v>-36481.349000000017</v>
      </c>
      <c r="DR260" s="222">
        <f t="shared" si="743"/>
        <v>-60236.149000000005</v>
      </c>
      <c r="DS260" s="222">
        <f t="shared" si="743"/>
        <v>-210696.77299999999</v>
      </c>
      <c r="DT260" s="222">
        <f t="shared" si="743"/>
        <v>15514.991999999998</v>
      </c>
      <c r="DU260" s="222">
        <f t="shared" si="743"/>
        <v>-324984.03900000011</v>
      </c>
      <c r="DV260" s="222">
        <f t="shared" si="743"/>
        <v>-88026.510999999999</v>
      </c>
      <c r="DW260" s="222">
        <f t="shared" si="743"/>
        <v>-98561.581000000006</v>
      </c>
      <c r="DX260" s="222">
        <f t="shared" si="743"/>
        <v>-21323.506999999991</v>
      </c>
      <c r="DY260" s="222">
        <f t="shared" si="743"/>
        <v>294655.44099999999</v>
      </c>
      <c r="DZ260" s="222">
        <f t="shared" si="743"/>
        <v>18800.439000000002</v>
      </c>
      <c r="EA260" s="222">
        <f t="shared" si="743"/>
        <v>105544.28099999996</v>
      </c>
      <c r="EB260" s="222">
        <f t="shared" ref="EB260:GK260" si="744">+EB256+EB193+EB107+EB48</f>
        <v>-281717.08000000025</v>
      </c>
      <c r="EC260" s="222">
        <f t="shared" si="744"/>
        <v>-254960.91400000005</v>
      </c>
      <c r="ED260" s="222">
        <f t="shared" si="744"/>
        <v>108089.27800000005</v>
      </c>
      <c r="EE260" s="222">
        <f t="shared" si="744"/>
        <v>-284777.01799999987</v>
      </c>
      <c r="EF260" s="222">
        <f t="shared" si="744"/>
        <v>-1087.5130000000045</v>
      </c>
      <c r="EG260" s="222">
        <f t="shared" si="744"/>
        <v>14127.346000000001</v>
      </c>
      <c r="EH260" s="222">
        <f t="shared" si="744"/>
        <v>-418608.82099999982</v>
      </c>
      <c r="EI260" s="222">
        <f t="shared" si="744"/>
        <v>105882.375</v>
      </c>
      <c r="EJ260" s="222">
        <f t="shared" si="744"/>
        <v>-148424.302</v>
      </c>
      <c r="EK260" s="222">
        <f t="shared" si="744"/>
        <v>89416.047000000006</v>
      </c>
      <c r="EL260" s="222">
        <f t="shared" si="744"/>
        <v>226374.93900000007</v>
      </c>
      <c r="EM260" s="222">
        <f t="shared" si="744"/>
        <v>-78947.79800000001</v>
      </c>
      <c r="EN260" s="222">
        <f t="shared" si="744"/>
        <v>194301.26100000003</v>
      </c>
      <c r="EO260" s="222">
        <f t="shared" si="744"/>
        <v>-183879.29699999999</v>
      </c>
      <c r="EP260" s="222">
        <f t="shared" si="744"/>
        <v>7050.6569999999992</v>
      </c>
      <c r="EQ260" s="222">
        <f t="shared" si="744"/>
        <v>106867.44899999999</v>
      </c>
      <c r="ER260" s="222">
        <f t="shared" si="744"/>
        <v>21034.329000000005</v>
      </c>
      <c r="ES260" s="222">
        <f t="shared" si="744"/>
        <v>-112439.92499999999</v>
      </c>
      <c r="ET260" s="222">
        <f t="shared" si="744"/>
        <v>-161366.78699999995</v>
      </c>
      <c r="EU260" s="222">
        <f t="shared" si="744"/>
        <v>-71327.188000000009</v>
      </c>
      <c r="EV260" s="222">
        <f t="shared" si="744"/>
        <v>49667.428000000007</v>
      </c>
      <c r="EW260" s="222">
        <f t="shared" si="744"/>
        <v>-47482.453000000009</v>
      </c>
      <c r="EX260" s="222">
        <f t="shared" si="744"/>
        <v>-17973.752700000001</v>
      </c>
      <c r="EY260" s="222">
        <f t="shared" si="744"/>
        <v>148284.82399999996</v>
      </c>
      <c r="EZ260" s="222">
        <f t="shared" si="744"/>
        <v>-186758.47</v>
      </c>
      <c r="FA260" s="222">
        <f t="shared" si="744"/>
        <v>-273496.09899999999</v>
      </c>
      <c r="FB260" s="222">
        <f t="shared" si="744"/>
        <v>-399085.71070000011</v>
      </c>
      <c r="FC260" s="222">
        <f t="shared" si="744"/>
        <v>-784760.05769999907</v>
      </c>
      <c r="FD260" s="222">
        <f t="shared" si="744"/>
        <v>-118616.72199999998</v>
      </c>
      <c r="FE260" s="222">
        <f t="shared" si="744"/>
        <v>-136450.99999999997</v>
      </c>
      <c r="FF260" s="222">
        <f t="shared" si="744"/>
        <v>135882.63200000004</v>
      </c>
      <c r="FG260" s="222">
        <f t="shared" si="744"/>
        <v>-119185.08999999988</v>
      </c>
      <c r="FH260" s="222">
        <f t="shared" si="744"/>
        <v>-216791.94200000007</v>
      </c>
      <c r="FI260" s="222">
        <f t="shared" si="744"/>
        <v>428019.06024999998</v>
      </c>
      <c r="FJ260" s="222">
        <f t="shared" si="744"/>
        <v>-270774.93100000004</v>
      </c>
      <c r="FK260" s="222">
        <f t="shared" si="744"/>
        <v>299729.94099999999</v>
      </c>
      <c r="FL260" s="222">
        <f t="shared" si="744"/>
        <v>-86871.178000000014</v>
      </c>
      <c r="FM260" s="222">
        <f t="shared" si="744"/>
        <v>153310.95025000005</v>
      </c>
      <c r="FN260" s="222">
        <f t="shared" si="744"/>
        <v>-255615.16099999999</v>
      </c>
      <c r="FO260" s="222">
        <f t="shared" si="744"/>
        <v>35111.046000000002</v>
      </c>
      <c r="FP260" s="222">
        <f t="shared" si="744"/>
        <v>-228140.16900000005</v>
      </c>
      <c r="FQ260" s="222">
        <f t="shared" si="744"/>
        <v>-25262.952000000001</v>
      </c>
      <c r="FR260" s="222">
        <f t="shared" si="744"/>
        <v>-473907.23599999986</v>
      </c>
      <c r="FS260" s="222">
        <f t="shared" si="744"/>
        <v>-5196.3790000000008</v>
      </c>
      <c r="FT260" s="222">
        <f t="shared" si="744"/>
        <v>50485.267000000007</v>
      </c>
      <c r="FU260" s="222">
        <f t="shared" si="744"/>
        <v>-4665.5319999999992</v>
      </c>
      <c r="FV260" s="222">
        <f t="shared" si="744"/>
        <v>10126.001999999964</v>
      </c>
      <c r="FW260" s="222">
        <f t="shared" si="744"/>
        <v>-161418.41999999995</v>
      </c>
      <c r="FX260" s="222">
        <f t="shared" si="744"/>
        <v>-114321.00399999999</v>
      </c>
      <c r="FY260" s="222">
        <f t="shared" si="744"/>
        <v>-109459.976</v>
      </c>
      <c r="FZ260" s="222">
        <f t="shared" si="744"/>
        <v>-138303.17499999999</v>
      </c>
      <c r="GA260" s="222">
        <f t="shared" si="744"/>
        <v>151504.152</v>
      </c>
      <c r="GB260" s="222">
        <f t="shared" si="744"/>
        <v>-307834.886</v>
      </c>
      <c r="GC260" s="222">
        <f t="shared" si="744"/>
        <v>1977038.0519999999</v>
      </c>
      <c r="GD260" s="222">
        <f t="shared" si="744"/>
        <v>1572944.1670000004</v>
      </c>
      <c r="GE260" s="222">
        <f t="shared" si="744"/>
        <v>1018841.7872499984</v>
      </c>
      <c r="GF260" s="222">
        <f t="shared" si="744"/>
        <v>56491.076000000008</v>
      </c>
      <c r="GG260" s="222">
        <f t="shared" si="744"/>
        <v>58947.171000000017</v>
      </c>
      <c r="GH260" s="222">
        <f t="shared" si="744"/>
        <v>-135081.56500000003</v>
      </c>
      <c r="GI260" s="222">
        <f t="shared" si="744"/>
        <v>-131471.86000000002</v>
      </c>
      <c r="GJ260" s="222">
        <f t="shared" si="744"/>
        <v>31740.704000000027</v>
      </c>
      <c r="GK260" s="222">
        <f t="shared" si="744"/>
        <v>-119374.47399999993</v>
      </c>
      <c r="GL260" s="222">
        <f t="shared" ref="GL260:IT260" si="745">+GL256+GL193+GL107+GL48</f>
        <v>68744.556999999986</v>
      </c>
      <c r="GM260" s="222">
        <f t="shared" si="745"/>
        <v>8842.6159999999509</v>
      </c>
      <c r="GN260" s="222">
        <f t="shared" si="745"/>
        <v>-200461.75</v>
      </c>
      <c r="GO260" s="222">
        <f t="shared" si="745"/>
        <v>-191192.20000000007</v>
      </c>
      <c r="GP260" s="222">
        <f t="shared" si="745"/>
        <v>-314066.77699999994</v>
      </c>
      <c r="GQ260" s="222">
        <f t="shared" si="745"/>
        <v>-107238.88250000001</v>
      </c>
      <c r="GR260" s="222">
        <f t="shared" si="745"/>
        <v>13742.600999999995</v>
      </c>
      <c r="GS260" s="222">
        <f t="shared" si="745"/>
        <v>-184386.86600000004</v>
      </c>
      <c r="GT260" s="222">
        <f t="shared" si="745"/>
        <v>-360753.66100000002</v>
      </c>
      <c r="GU260" s="222">
        <f t="shared" si="745"/>
        <v>295863.69299999997</v>
      </c>
      <c r="GV260" s="222">
        <f t="shared" si="745"/>
        <v>-342773.11550000001</v>
      </c>
      <c r="GW260" s="222">
        <f t="shared" si="745"/>
        <v>42301.231</v>
      </c>
      <c r="GX260" s="222">
        <f t="shared" si="745"/>
        <v>-26325.603999999963</v>
      </c>
      <c r="GY260" s="222">
        <f t="shared" si="745"/>
        <v>1782.8009999999995</v>
      </c>
      <c r="GZ260" s="222">
        <f>+GZ256+GZ193+GZ107+GZ48</f>
        <v>259133.89399999997</v>
      </c>
      <c r="HA260" s="222">
        <f>+HA256+HA193+HA107+HA48</f>
        <v>-87786.592999999993</v>
      </c>
      <c r="HB260" s="222">
        <f t="shared" si="745"/>
        <v>-24764.95299999995</v>
      </c>
      <c r="HC260" s="222">
        <f t="shared" si="745"/>
        <v>164185.42200000005</v>
      </c>
      <c r="HD260" s="222">
        <f t="shared" si="745"/>
        <v>-612028.94450000033</v>
      </c>
      <c r="HE260" s="222">
        <f t="shared" si="745"/>
        <v>-1050693.2860000001</v>
      </c>
      <c r="HF260" s="222">
        <f t="shared" si="745"/>
        <v>161221.52599999998</v>
      </c>
      <c r="HG260" s="222">
        <f t="shared" si="745"/>
        <v>-41977.939999999995</v>
      </c>
      <c r="HH260" s="222">
        <f t="shared" si="745"/>
        <v>-128690.773</v>
      </c>
      <c r="HI260" s="222">
        <f t="shared" si="745"/>
        <v>-1060140.473</v>
      </c>
      <c r="HJ260" s="222">
        <f t="shared" si="745"/>
        <v>78297.635999999999</v>
      </c>
      <c r="HK260" s="222">
        <f t="shared" si="745"/>
        <v>-116775.76999999999</v>
      </c>
      <c r="HL260" s="222">
        <f t="shared" si="745"/>
        <v>39127.255000000005</v>
      </c>
      <c r="HM260" s="222">
        <f t="shared" si="745"/>
        <v>7120.9910000000236</v>
      </c>
      <c r="HN260" s="222">
        <f t="shared" si="745"/>
        <v>-249159.44499999998</v>
      </c>
      <c r="HO260" s="222">
        <f t="shared" si="745"/>
        <v>-241389.33300000007</v>
      </c>
      <c r="HP260" s="222">
        <f t="shared" si="745"/>
        <v>1756668.7719999999</v>
      </c>
      <c r="HQ260" s="222">
        <f t="shared" si="745"/>
        <v>-135517.29300000001</v>
      </c>
      <c r="HR260" s="222">
        <f t="shared" si="745"/>
        <v>-501263.32500000007</v>
      </c>
      <c r="HS260" s="222">
        <f t="shared" si="745"/>
        <v>71737.760999999984</v>
      </c>
      <c r="HT260" s="222">
        <f t="shared" si="745"/>
        <v>-15876.641999999996</v>
      </c>
      <c r="HU260" s="222">
        <f t="shared" si="745"/>
        <v>1175749.273</v>
      </c>
      <c r="HV260" s="222">
        <f t="shared" si="745"/>
        <v>97498.874999999971</v>
      </c>
      <c r="HW260" s="222">
        <f t="shared" si="745"/>
        <v>179350.1399999999</v>
      </c>
      <c r="HX260" s="222">
        <f t="shared" si="745"/>
        <v>97673.882000000012</v>
      </c>
      <c r="HY260" s="222">
        <f t="shared" si="745"/>
        <v>374522.89699999994</v>
      </c>
      <c r="HZ260" s="222">
        <f t="shared" si="745"/>
        <v>22399.257999999987</v>
      </c>
      <c r="IA260" s="222">
        <f>+IA256+IA193+IA107+IA48</f>
        <v>-18219.027999999998</v>
      </c>
      <c r="IB260" s="222">
        <f>+IB256+IB193+IB107+IB48</f>
        <v>-391806.28299999994</v>
      </c>
      <c r="IC260" s="222">
        <f t="shared" si="745"/>
        <v>-387626.05300000001</v>
      </c>
      <c r="ID260" s="222">
        <f t="shared" si="745"/>
        <v>-138883.6890000006</v>
      </c>
      <c r="IE260" s="222">
        <f t="shared" si="745"/>
        <v>-69702.049999999988</v>
      </c>
      <c r="IF260" s="222">
        <f t="shared" si="745"/>
        <v>154123.427</v>
      </c>
      <c r="IG260" s="222">
        <f t="shared" si="745"/>
        <v>84421.377000000008</v>
      </c>
      <c r="IH260" s="222">
        <f t="shared" si="745"/>
        <v>-83865.452000000005</v>
      </c>
      <c r="II260" s="222">
        <f t="shared" si="745"/>
        <v>-329209.46299999993</v>
      </c>
      <c r="IJ260" s="222">
        <f t="shared" si="745"/>
        <v>252395.80699999997</v>
      </c>
      <c r="IK260" s="222">
        <f t="shared" si="745"/>
        <v>-60846.511000000006</v>
      </c>
      <c r="IL260" s="222">
        <f t="shared" si="745"/>
        <v>107229.69199999998</v>
      </c>
      <c r="IM260" s="222">
        <f t="shared" si="745"/>
        <v>-114295.92699999982</v>
      </c>
      <c r="IN260" s="222">
        <f t="shared" si="745"/>
        <v>-195264.56099999996</v>
      </c>
      <c r="IO260" s="222">
        <f t="shared" si="745"/>
        <v>-321299.73</v>
      </c>
      <c r="IP260" s="222">
        <f t="shared" si="745"/>
        <v>320397.64100000006</v>
      </c>
      <c r="IQ260" s="222">
        <f t="shared" si="745"/>
        <v>-196166.64999999985</v>
      </c>
      <c r="IR260" s="222">
        <f t="shared" si="745"/>
        <v>24321.626000000011</v>
      </c>
      <c r="IS260" s="222">
        <f t="shared" si="745"/>
        <v>28773.820999999996</v>
      </c>
      <c r="IT260" s="222">
        <f t="shared" si="745"/>
        <v>-368.35599999999977</v>
      </c>
      <c r="IU260" s="222">
        <f t="shared" ref="IU260:LG260" si="746">+IU256+IU193+IU107+IU48</f>
        <v>-222103.83100000001</v>
      </c>
      <c r="IV260" s="222">
        <f t="shared" si="746"/>
        <v>-7140.2289999999994</v>
      </c>
      <c r="IW260" s="222">
        <f t="shared" si="746"/>
        <v>-176516.96900000004</v>
      </c>
      <c r="IX260" s="222">
        <f t="shared" si="746"/>
        <v>4359.7369999999955</v>
      </c>
      <c r="IY260" s="222">
        <f t="shared" si="746"/>
        <v>109237.93910000002</v>
      </c>
      <c r="IZ260" s="222">
        <f t="shared" si="746"/>
        <v>-36950.078729999957</v>
      </c>
      <c r="JA260" s="222">
        <f t="shared" si="746"/>
        <v>-100066.89400000001</v>
      </c>
      <c r="JB260" s="222">
        <f t="shared" si="746"/>
        <v>-412645.94000000006</v>
      </c>
      <c r="JC260" s="222">
        <f t="shared" si="746"/>
        <v>-436065.23663</v>
      </c>
      <c r="JD260" s="222">
        <f>+JD256+JD193+JD107+JD48</f>
        <v>-838623.40562999947</v>
      </c>
      <c r="JE260" s="222">
        <f t="shared" si="746"/>
        <v>-465089.43799999997</v>
      </c>
      <c r="JF260" s="222">
        <f t="shared" si="746"/>
        <v>172280.01699999999</v>
      </c>
      <c r="JG260" s="222">
        <f t="shared" si="746"/>
        <v>-40373.395000000004</v>
      </c>
      <c r="JH260" s="222">
        <f t="shared" si="746"/>
        <v>4773.3449999999939</v>
      </c>
      <c r="JI260" s="222">
        <f t="shared" si="746"/>
        <v>224366.022</v>
      </c>
      <c r="JJ260" s="222">
        <f t="shared" si="746"/>
        <v>-104043.44900000002</v>
      </c>
      <c r="JK260" s="222">
        <f t="shared" si="746"/>
        <v>0</v>
      </c>
      <c r="JL260" s="222">
        <f t="shared" si="746"/>
        <v>0</v>
      </c>
      <c r="JM260" s="222">
        <f t="shared" si="746"/>
        <v>0</v>
      </c>
      <c r="JN260" s="222">
        <f t="shared" si="746"/>
        <v>0</v>
      </c>
      <c r="JO260" s="222">
        <f t="shared" si="746"/>
        <v>0</v>
      </c>
      <c r="JP260" s="222">
        <f t="shared" si="746"/>
        <v>0</v>
      </c>
      <c r="JQ260" s="222">
        <f t="shared" si="746"/>
        <v>0</v>
      </c>
      <c r="JR260" s="222">
        <f t="shared" si="746"/>
        <v>0</v>
      </c>
      <c r="JS260" s="222">
        <f t="shared" si="746"/>
        <v>0</v>
      </c>
      <c r="JT260" s="222">
        <f t="shared" si="746"/>
        <v>0</v>
      </c>
      <c r="JU260" s="222">
        <f t="shared" si="746"/>
        <v>0</v>
      </c>
      <c r="JV260" s="222">
        <f t="shared" si="746"/>
        <v>0</v>
      </c>
      <c r="JW260" s="222">
        <f t="shared" si="746"/>
        <v>0</v>
      </c>
      <c r="JX260" s="222">
        <f t="shared" si="746"/>
        <v>0</v>
      </c>
      <c r="JY260" s="222">
        <f t="shared" si="746"/>
        <v>0</v>
      </c>
      <c r="JZ260" s="222">
        <f t="shared" si="746"/>
        <v>0</v>
      </c>
      <c r="KA260" s="222"/>
      <c r="KB260" s="222">
        <f t="shared" si="746"/>
        <v>0</v>
      </c>
      <c r="KC260" s="222">
        <f t="shared" si="746"/>
        <v>0</v>
      </c>
      <c r="KD260" s="222">
        <f t="shared" si="746"/>
        <v>-2583039.1129999999</v>
      </c>
      <c r="KE260" s="222">
        <f t="shared" si="746"/>
        <v>0</v>
      </c>
      <c r="KF260" s="222">
        <f t="shared" si="746"/>
        <v>0</v>
      </c>
      <c r="KG260" s="222">
        <f t="shared" si="746"/>
        <v>0</v>
      </c>
      <c r="KH260" s="222">
        <f t="shared" si="746"/>
        <v>0</v>
      </c>
      <c r="KI260" s="222">
        <f t="shared" si="746"/>
        <v>0</v>
      </c>
      <c r="KJ260" s="222">
        <f t="shared" si="746"/>
        <v>0</v>
      </c>
      <c r="KK260" s="222">
        <f t="shared" si="746"/>
        <v>0</v>
      </c>
      <c r="KL260" s="222">
        <f t="shared" si="746"/>
        <v>0</v>
      </c>
      <c r="KM260" s="222">
        <f t="shared" si="746"/>
        <v>0</v>
      </c>
      <c r="KN260" s="222">
        <f t="shared" si="746"/>
        <v>0</v>
      </c>
      <c r="KO260" s="222">
        <f t="shared" si="746"/>
        <v>0</v>
      </c>
      <c r="KP260" s="222">
        <f t="shared" si="746"/>
        <v>0</v>
      </c>
      <c r="KQ260" s="222">
        <f t="shared" si="746"/>
        <v>0</v>
      </c>
      <c r="KR260" s="222">
        <f t="shared" si="746"/>
        <v>0</v>
      </c>
      <c r="KS260" s="222">
        <f t="shared" si="746"/>
        <v>0</v>
      </c>
      <c r="KT260" s="222">
        <f t="shared" si="746"/>
        <v>0</v>
      </c>
      <c r="KU260" s="222">
        <f t="shared" si="746"/>
        <v>0</v>
      </c>
      <c r="KV260" s="222">
        <f t="shared" si="746"/>
        <v>0</v>
      </c>
      <c r="KW260" s="222">
        <f t="shared" si="746"/>
        <v>0</v>
      </c>
      <c r="KX260" s="222">
        <f t="shared" si="746"/>
        <v>0</v>
      </c>
      <c r="KY260" s="222">
        <f t="shared" si="746"/>
        <v>0</v>
      </c>
      <c r="KZ260" s="222">
        <f t="shared" si="746"/>
        <v>0</v>
      </c>
      <c r="LA260" s="222">
        <f t="shared" si="746"/>
        <v>0</v>
      </c>
      <c r="LB260" s="222">
        <f t="shared" si="746"/>
        <v>0</v>
      </c>
      <c r="LC260" s="222">
        <f t="shared" si="746"/>
        <v>0</v>
      </c>
      <c r="LD260" s="222">
        <f t="shared" si="746"/>
        <v>0</v>
      </c>
      <c r="LE260" s="222">
        <f t="shared" si="746"/>
        <v>0</v>
      </c>
      <c r="LF260" s="222">
        <f t="shared" si="746"/>
        <v>0</v>
      </c>
      <c r="LG260" s="222">
        <f t="shared" si="746"/>
        <v>53800.277000000002</v>
      </c>
      <c r="LI260" s="30" t="s">
        <v>293</v>
      </c>
    </row>
    <row r="262" spans="1:322" s="370" customFormat="1">
      <c r="A262" s="371" t="s">
        <v>128</v>
      </c>
      <c r="B262" s="371">
        <v>-48951.521999999997</v>
      </c>
      <c r="C262" s="371">
        <f>B262+C48</f>
        <v>16273.410999999993</v>
      </c>
      <c r="D262" s="371">
        <f>B262+D48</f>
        <v>16273.410999999993</v>
      </c>
      <c r="E262" s="371">
        <f>D262+E48</f>
        <v>182587.18399999998</v>
      </c>
      <c r="F262" s="371">
        <f>E262+F48</f>
        <v>53102.581999999995</v>
      </c>
      <c r="G262" s="371">
        <f>F262+G48</f>
        <v>89185.975999999995</v>
      </c>
      <c r="H262" s="371">
        <f>G262+H48</f>
        <v>135188.05099999998</v>
      </c>
      <c r="I262" s="371">
        <f>H262+I48</f>
        <v>165015.02799999999</v>
      </c>
      <c r="J262" s="371">
        <f>D262+J48</f>
        <v>165015.02799999996</v>
      </c>
      <c r="K262" s="371">
        <f>J262+K48</f>
        <v>194466.91499999998</v>
      </c>
      <c r="L262" s="371">
        <f>K262+L48</f>
        <v>68233.615999999951</v>
      </c>
      <c r="M262" s="371">
        <f>L262+M48</f>
        <v>83792.643999999942</v>
      </c>
      <c r="N262" s="371">
        <f>M262+N48</f>
        <v>93429.242999999944</v>
      </c>
      <c r="O262" s="371">
        <f>J262+O48</f>
        <v>93429.243000000017</v>
      </c>
      <c r="P262" s="371">
        <f>O262+P48</f>
        <v>105038.77200000001</v>
      </c>
      <c r="Q262" s="371">
        <f>P262+Q48</f>
        <v>163633.80800000002</v>
      </c>
      <c r="R262" s="371">
        <f>Q262+R48</f>
        <v>56917.57100000004</v>
      </c>
      <c r="S262" s="371">
        <f>R262+S48</f>
        <v>130244.88200000004</v>
      </c>
      <c r="T262" s="371">
        <f>S262+T48</f>
        <v>444647.22000000009</v>
      </c>
      <c r="U262" s="371">
        <f>O262+U48</f>
        <v>444647.22</v>
      </c>
      <c r="V262" s="371">
        <f t="shared" ref="V262:AA262" si="747">U262+V48</f>
        <v>111692.29600000003</v>
      </c>
      <c r="W262" s="371">
        <f t="shared" si="747"/>
        <v>-54658.170999999973</v>
      </c>
      <c r="X262" s="371">
        <f t="shared" si="747"/>
        <v>-87823.527999999962</v>
      </c>
      <c r="Y262" s="371">
        <f t="shared" si="747"/>
        <v>-113532.54899999996</v>
      </c>
      <c r="Z262" s="371">
        <f t="shared" si="747"/>
        <v>-125178.13699999996</v>
      </c>
      <c r="AA262" s="371">
        <f t="shared" si="747"/>
        <v>-695003.49400000006</v>
      </c>
      <c r="AB262" s="371">
        <f>B262+AB48</f>
        <v>-125178.13699999999</v>
      </c>
      <c r="AC262" s="371">
        <f>AB262+AC48</f>
        <v>-235597.09699999995</v>
      </c>
      <c r="AD262" s="371">
        <f>AC262+AD48</f>
        <v>-115825.68999999997</v>
      </c>
      <c r="AE262" s="371">
        <f>AD262+AE48</f>
        <v>56360.950000000012</v>
      </c>
      <c r="AF262" s="371">
        <f>AE262+AF48</f>
        <v>56282.119000000006</v>
      </c>
      <c r="AG262" s="371">
        <f>AF262+AG48</f>
        <v>78717.877999999997</v>
      </c>
      <c r="AH262" s="371">
        <f>AB262+AH48</f>
        <v>78717.878000000142</v>
      </c>
      <c r="AI262" s="371">
        <f>AH262+AI48</f>
        <v>152966.20200000014</v>
      </c>
      <c r="AJ262" s="371">
        <f>AI262+AJ48</f>
        <v>150382.54000000012</v>
      </c>
      <c r="AK262" s="371">
        <f>AJ262+AK48</f>
        <v>191020.41400000014</v>
      </c>
      <c r="AL262" s="371">
        <f>AK262+AL48</f>
        <v>-74269.944999999861</v>
      </c>
      <c r="AM262" s="371">
        <f>AL262+AM48</f>
        <v>-84206.621999999858</v>
      </c>
      <c r="AN262" s="371">
        <f>AH262+AN48</f>
        <v>-84252.916999999725</v>
      </c>
      <c r="AO262" s="371">
        <f>AN262+AO48</f>
        <v>-117316.93299999973</v>
      </c>
      <c r="AP262" s="371">
        <f>AO262+AP48</f>
        <v>-98055.865999999718</v>
      </c>
      <c r="AQ262" s="371">
        <f>AP262+AQ48</f>
        <v>35129.093000000285</v>
      </c>
      <c r="AR262" s="371">
        <f>AQ262+AR48</f>
        <v>-55537.281999999715</v>
      </c>
      <c r="AS262" s="371">
        <f>AR262+AS48</f>
        <v>120857.58500000028</v>
      </c>
      <c r="AT262" s="371">
        <f>AN262+AT48</f>
        <v>120857.58500000017</v>
      </c>
      <c r="AU262" s="371">
        <f>AT262+AU48</f>
        <v>-152307.82399999982</v>
      </c>
      <c r="AV262" s="371">
        <f>AU262+AV48</f>
        <v>-83330.156999999832</v>
      </c>
      <c r="AW262" s="371">
        <f>AV262+AW48</f>
        <v>-11065.427999999825</v>
      </c>
      <c r="AX262" s="371">
        <f>AW262+AX48</f>
        <v>6418.5530000001709</v>
      </c>
      <c r="AY262" s="371">
        <f>AX262+AY48</f>
        <v>84305.508000000176</v>
      </c>
      <c r="AZ262" s="371">
        <f>AT262+AZ48</f>
        <v>84305.508000000118</v>
      </c>
      <c r="BA262" s="371">
        <f>AB262+BA48</f>
        <v>84305.508000000264</v>
      </c>
      <c r="BB262" s="371">
        <f>BA262+BB48</f>
        <v>-163436.48799999978</v>
      </c>
      <c r="BC262" s="371">
        <f>BB262+BC48</f>
        <v>-142489.01799999981</v>
      </c>
      <c r="BD262" s="371">
        <f>BC262+BD48</f>
        <v>-185973.99199999977</v>
      </c>
      <c r="BE262" s="371">
        <f>BD262+BE48</f>
        <v>-166179.00099999976</v>
      </c>
      <c r="BF262" s="371">
        <f>BE262+BF48</f>
        <v>-146656.52699999977</v>
      </c>
      <c r="BG262" s="371">
        <f>BA262+BG48</f>
        <v>-146656.52699999959</v>
      </c>
      <c r="BH262" s="371">
        <f>BG262+BH48</f>
        <v>-275425.82899999962</v>
      </c>
      <c r="BI262" s="371">
        <f>BH262+BI48</f>
        <v>-118136.98199999964</v>
      </c>
      <c r="BJ262" s="371">
        <f>BI262+BJ48</f>
        <v>61700.556000000332</v>
      </c>
      <c r="BK262" s="371">
        <f>BJ262+BK48</f>
        <v>111676.49400000034</v>
      </c>
      <c r="BL262" s="371">
        <f>BK262+BL48</f>
        <v>-117329.24499999966</v>
      </c>
      <c r="BM262" s="371">
        <f>BG262+BM48</f>
        <v>-117329.24499999959</v>
      </c>
      <c r="BN262" s="371">
        <f>BM262+BN48</f>
        <v>-166503.54399999959</v>
      </c>
      <c r="BO262" s="371">
        <f>BN262+BO48</f>
        <v>-236164.38099999956</v>
      </c>
      <c r="BP262" s="371">
        <f>BO262+BP48</f>
        <v>-68547.725999999559</v>
      </c>
      <c r="BQ262" s="371">
        <f>BP262+BQ48</f>
        <v>-52255.426999999559</v>
      </c>
      <c r="BR262" s="371">
        <f>BM262+BR48</f>
        <v>-52255.426999999589</v>
      </c>
      <c r="BS262" s="371">
        <f>BR262+BS48</f>
        <v>-221045.32199999958</v>
      </c>
      <c r="BT262" s="371">
        <f>BS262+BT48</f>
        <v>-241470.02699999959</v>
      </c>
      <c r="BU262" s="371">
        <f>BT262+BU48</f>
        <v>-51119.94399999961</v>
      </c>
      <c r="BV262" s="371">
        <f>BU262+BV48</f>
        <v>-203099.30799999961</v>
      </c>
      <c r="BW262" s="371">
        <f>BV262+BW48</f>
        <v>-204204.6049999996</v>
      </c>
      <c r="BX262" s="371">
        <f>BR262+BX48</f>
        <v>-204204.60499999954</v>
      </c>
      <c r="BY262" s="371">
        <f>BX262+BY48</f>
        <v>-145677.76599999954</v>
      </c>
      <c r="BZ262" s="371">
        <f>BY262+BZ48</f>
        <v>-418004.79699999961</v>
      </c>
      <c r="CA262" s="371">
        <f>BX262+CA48</f>
        <v>-418004.79699999955</v>
      </c>
      <c r="CB262" s="371">
        <f>BA262+CB48</f>
        <v>-418004.79699999944</v>
      </c>
      <c r="CC262" s="371">
        <f>CB262+CC48</f>
        <v>-344191.44899999944</v>
      </c>
      <c r="CD262" s="371">
        <f>CC262+CD48</f>
        <v>-306799.53799999948</v>
      </c>
      <c r="CE262" s="371">
        <f>CD262+CE48</f>
        <v>-288344.46999999951</v>
      </c>
      <c r="CF262" s="371">
        <f>CB262+CF48</f>
        <v>-288344.46999999951</v>
      </c>
      <c r="CG262" s="371">
        <f>CF262+CG48</f>
        <v>-248007.92099999945</v>
      </c>
      <c r="CH262" s="371">
        <f>CG262+CH48</f>
        <v>-256078.49799999944</v>
      </c>
      <c r="CI262" s="371">
        <f>CH262+CI48</f>
        <v>-190699.29299999942</v>
      </c>
      <c r="CJ262" s="371">
        <f>CI262+CJ48</f>
        <v>-166138.53799999942</v>
      </c>
      <c r="CK262" s="371">
        <f>CF262+CK48</f>
        <v>-166138.53799999948</v>
      </c>
      <c r="CL262" s="371">
        <f>CK262+CL48</f>
        <v>-125169.67899999948</v>
      </c>
      <c r="CM262" s="371">
        <f>CL262+CM48</f>
        <v>-65710.540999999474</v>
      </c>
      <c r="CN262" s="371">
        <f>CM262+CN48</f>
        <v>-260551.65599999946</v>
      </c>
      <c r="CO262" s="371">
        <f>CN262+CO48</f>
        <v>-283359.64499999949</v>
      </c>
      <c r="CP262" s="371">
        <f>CO262+CP48</f>
        <v>-221991.70899999951</v>
      </c>
      <c r="CQ262" s="371">
        <f>CK262+CQ48</f>
        <v>-221991.70899999951</v>
      </c>
      <c r="CR262" s="371">
        <f>CQ262+CR48</f>
        <v>-205183.36399999951</v>
      </c>
      <c r="CS262" s="371">
        <f>CR262+CS48</f>
        <v>-304570.50499999954</v>
      </c>
      <c r="CT262" s="371">
        <f>CS262+CT48</f>
        <v>-185854.97199999951</v>
      </c>
      <c r="CU262" s="371">
        <f>CT262+CU48</f>
        <v>-170150.65699999951</v>
      </c>
      <c r="CV262" s="371">
        <f>CU262+CV48</f>
        <v>-281842.07499999949</v>
      </c>
      <c r="CW262" s="371">
        <f>CQ262+CW48</f>
        <v>-281842.07499999949</v>
      </c>
      <c r="CX262" s="371">
        <f>CW262+CX48</f>
        <v>-277964.24499999947</v>
      </c>
      <c r="CY262" s="371">
        <f>CX262+CY48</f>
        <v>-162295.82599999948</v>
      </c>
      <c r="CZ262" s="371">
        <f>CY262+CZ48</f>
        <v>-125429.38999999948</v>
      </c>
      <c r="DA262" s="371">
        <f>CZ262+DA48</f>
        <v>-392107.79399999947</v>
      </c>
      <c r="DB262" s="371">
        <f>CW262+DB48</f>
        <v>-392107.79399999953</v>
      </c>
      <c r="DC262" s="371">
        <f>CB262+DC48</f>
        <v>-392107.79399999848</v>
      </c>
      <c r="DD262" s="371">
        <f>DC262+DD48</f>
        <v>-399480.26899999846</v>
      </c>
      <c r="DE262" s="371">
        <f>DD262+DE48</f>
        <v>-195831.26499999844</v>
      </c>
      <c r="DF262" s="371">
        <f>DE262+DF48</f>
        <v>-216413.81899999845</v>
      </c>
      <c r="DG262" s="371">
        <f>DF262+DG48</f>
        <v>-263544.87599999842</v>
      </c>
      <c r="DH262" s="371">
        <f>DG262+DH48</f>
        <v>-220627.25599999842</v>
      </c>
      <c r="DI262" s="371">
        <f>DC262+DI48</f>
        <v>-220627.25599999854</v>
      </c>
      <c r="DJ262" s="371">
        <f>DI262+DJ48</f>
        <v>-236264.20999999851</v>
      </c>
      <c r="DK262" s="371">
        <f>DJ262+DK48</f>
        <v>-218400.31199999852</v>
      </c>
      <c r="DL262" s="371">
        <f>DK262+DL48</f>
        <v>-157488.91399999853</v>
      </c>
      <c r="DM262" s="371">
        <f>DL262+DM48</f>
        <v>-142666.15099999853</v>
      </c>
      <c r="DN262" s="371">
        <f>DM262+DN48</f>
        <v>-177800.97599999854</v>
      </c>
      <c r="DO262" s="371">
        <f>DI262+DO48</f>
        <v>-177800.97599999854</v>
      </c>
      <c r="DP262" s="371">
        <f>DO262+DP48</f>
        <v>-182261.67499999853</v>
      </c>
      <c r="DQ262" s="371">
        <f>DP262+DQ48</f>
        <v>-78783.252999998542</v>
      </c>
      <c r="DR262" s="371">
        <f>DQ262+DR48</f>
        <v>-368959.07299999858</v>
      </c>
      <c r="DS262" s="371">
        <f>DR262+DS48</f>
        <v>-349608.50299999857</v>
      </c>
      <c r="DT262" s="371">
        <f>DS262+DT48</f>
        <v>-300718.05399999855</v>
      </c>
      <c r="DU262" s="371">
        <f>DO262+DU48</f>
        <v>-300718.05399999861</v>
      </c>
      <c r="DV262" s="371">
        <f>DU262+DV48</f>
        <v>-268743.81799999857</v>
      </c>
      <c r="DW262" s="371">
        <f>DV262+DW48</f>
        <v>-244133.65599999856</v>
      </c>
      <c r="DX262" s="371">
        <f>DW262+DX48</f>
        <v>-249817.35299999855</v>
      </c>
      <c r="DY262" s="371">
        <f>DX262+DY48</f>
        <v>-227388.74999999854</v>
      </c>
      <c r="DZ262" s="371">
        <f>DY262+DZ48</f>
        <v>-197273.54999999853</v>
      </c>
      <c r="EA262" s="371">
        <f>DU262+EA48</f>
        <v>-197273.54999999862</v>
      </c>
      <c r="EB262" s="371">
        <f>DC262+EB48</f>
        <v>-197273.54999999877</v>
      </c>
      <c r="EC262" s="371">
        <f>EB262+EC48</f>
        <v>-271679.99999999878</v>
      </c>
      <c r="ED262" s="371">
        <f>EC262+ED48</f>
        <v>-169046.21899999876</v>
      </c>
      <c r="EE262" s="371">
        <f>ED262+EE48</f>
        <v>-204337.81399999876</v>
      </c>
      <c r="EF262" s="371">
        <f>EE262+EF48</f>
        <v>-210999.15899999876</v>
      </c>
      <c r="EG262" s="371">
        <f>EF262+EG48</f>
        <v>-185792.34199999875</v>
      </c>
      <c r="EH262" s="371">
        <f>EB262+EH48</f>
        <v>-185792.34199999872</v>
      </c>
      <c r="EI262" s="371">
        <f>EH262+EI48</f>
        <v>-68775.815999998726</v>
      </c>
      <c r="EJ262" s="371">
        <f>EI262+EJ48</f>
        <v>-181006.27999999872</v>
      </c>
      <c r="EK262" s="371">
        <f>EJ262+EK48</f>
        <v>-179081.32899999872</v>
      </c>
      <c r="EL262" s="371">
        <f>EK262+EL48</f>
        <v>-220701.38899999874</v>
      </c>
      <c r="EM262" s="371">
        <f>EL262+EM48</f>
        <v>-163413.21499999875</v>
      </c>
      <c r="EN262" s="371">
        <f>EH262+EN48</f>
        <v>-163413.21499999869</v>
      </c>
      <c r="EO262" s="371">
        <f>EN262+EO48</f>
        <v>-266086.17399999872</v>
      </c>
      <c r="EP262" s="371">
        <f>EO262+EP48</f>
        <v>-277229.6269999987</v>
      </c>
      <c r="EQ262" s="371">
        <f>EP262+EQ48</f>
        <v>-161452.05499999871</v>
      </c>
      <c r="ER262" s="371">
        <f>EQ262+ER48</f>
        <v>-202209.29699999871</v>
      </c>
      <c r="ES262" s="371">
        <f>ER262+ES48</f>
        <v>-188611.18499999872</v>
      </c>
      <c r="ET262" s="371">
        <f>EN262+ET48</f>
        <v>-188611.18499999866</v>
      </c>
      <c r="EU262" s="371">
        <f t="shared" ref="EU262:FA262" si="748">ET262+EU48</f>
        <v>-198101.65599999868</v>
      </c>
      <c r="EV262" s="371">
        <f t="shared" si="748"/>
        <v>-174939.19599999866</v>
      </c>
      <c r="EW262" s="371">
        <f t="shared" si="748"/>
        <v>-105286.77199999867</v>
      </c>
      <c r="EX262" s="371">
        <f t="shared" si="748"/>
        <v>-105892.61999999867</v>
      </c>
      <c r="EY262" s="371">
        <f t="shared" si="748"/>
        <v>-187101.37099999867</v>
      </c>
      <c r="EZ262" s="371">
        <f t="shared" si="748"/>
        <v>-201830.48199999868</v>
      </c>
      <c r="FA262" s="371">
        <f t="shared" si="748"/>
        <v>-248004.34599999868</v>
      </c>
      <c r="FB262" s="371">
        <f>ET262+FB48</f>
        <v>-248004.34599999868</v>
      </c>
      <c r="FC262" s="371">
        <f>EB262+FC48</f>
        <v>-248004.34599999839</v>
      </c>
      <c r="FD262" s="371">
        <f>FD48+FC262</f>
        <v>-357392.13399999833</v>
      </c>
      <c r="FE262" s="371">
        <f>FE48+FD262</f>
        <v>-374217.26799999835</v>
      </c>
      <c r="FF262" s="371">
        <f>FF48+FE262</f>
        <v>-194505.90599999833</v>
      </c>
      <c r="FG262" s="371">
        <f>FG48+FC262</f>
        <v>-194505.90599999836</v>
      </c>
      <c r="FH262" s="371">
        <f>FG262+FH48</f>
        <v>-341312.38599999837</v>
      </c>
      <c r="FI262" s="371">
        <f>FH262+FI48</f>
        <v>-226717.56099999839</v>
      </c>
      <c r="FJ262" s="371">
        <f>FI262+FJ48</f>
        <v>-192020.20599999838</v>
      </c>
      <c r="FK262" s="371">
        <f>FJ262+FK48</f>
        <v>-183345.67499999836</v>
      </c>
      <c r="FL262" s="371">
        <f>FK262+FL48</f>
        <v>-202988.14699999837</v>
      </c>
      <c r="FM262" s="371">
        <f>FM48+FG262</f>
        <v>-202988.14699999828</v>
      </c>
      <c r="FN262" s="371">
        <f>FM262+FN48</f>
        <v>-191044.99799999828</v>
      </c>
      <c r="FO262" s="371">
        <f>FN262+FO48</f>
        <v>-143770.99499999828</v>
      </c>
      <c r="FP262" s="371">
        <f>FO262+FP48</f>
        <v>-244707.87499999831</v>
      </c>
      <c r="FQ262" s="371">
        <f>FP262+FQ48</f>
        <v>-257139.41499999832</v>
      </c>
      <c r="FR262" s="371">
        <f>FR48+FM262</f>
        <v>-257139.41499999826</v>
      </c>
      <c r="FS262" s="371">
        <f>FR262+FS48</f>
        <v>-156530.99099999826</v>
      </c>
      <c r="FT262" s="371">
        <f>FS262+FT48</f>
        <v>-146866.55599999827</v>
      </c>
      <c r="FU262" s="371">
        <f>FT262+FU48</f>
        <v>-139096.85599999825</v>
      </c>
      <c r="FV262" s="371">
        <f>FU262+FV48</f>
        <v>-266675.50799999828</v>
      </c>
      <c r="FW262" s="371">
        <f>FV262+FW48</f>
        <v>-254349.52999999828</v>
      </c>
      <c r="FX262" s="371">
        <f>FX48+FR262</f>
        <v>-258001.47199999829</v>
      </c>
      <c r="FY262" s="371">
        <f>FX262+FY48</f>
        <v>-233120.3839999983</v>
      </c>
      <c r="FZ262" s="371">
        <f>FY262+FZ48</f>
        <v>-214796.05899999832</v>
      </c>
      <c r="GA262" s="371">
        <f>FZ262+GA48</f>
        <v>-172523.09999999835</v>
      </c>
      <c r="GB262" s="371">
        <f>GA262+GB48</f>
        <v>-225806.37299999833</v>
      </c>
      <c r="GC262" s="371">
        <f>GB262+GC48</f>
        <v>-371273.78299999831</v>
      </c>
      <c r="GD262" s="371">
        <f>GD48+FX262</f>
        <v>-371273.78299999831</v>
      </c>
      <c r="GE262" s="371">
        <f>FC262+GE48</f>
        <v>-371273.78299999854</v>
      </c>
      <c r="GF262" s="371">
        <f>GE262+GF48</f>
        <v>-348383.21399999852</v>
      </c>
      <c r="GG262" s="371">
        <f>GF262+GG48</f>
        <v>-266288.55599999853</v>
      </c>
      <c r="GH262" s="371">
        <f>GG262+GH48</f>
        <v>-111426.53599999854</v>
      </c>
      <c r="GI262" s="371">
        <f>GH262+GI48</f>
        <v>-96627.072999998534</v>
      </c>
      <c r="GJ262" s="371">
        <f>GI262+GJ48</f>
        <v>-179484.6019999985</v>
      </c>
      <c r="GK262" s="371">
        <f>GE262+GK48</f>
        <v>-179484.6019999985</v>
      </c>
      <c r="GL262" s="371">
        <f>GK262+GL48</f>
        <v>-91517.826999998506</v>
      </c>
      <c r="GM262" s="371">
        <f>GL262+GM48</f>
        <v>-232017.94399999853</v>
      </c>
      <c r="GN262" s="371">
        <f>GM262+GN48</f>
        <v>-192285.11899999855</v>
      </c>
      <c r="GO262" s="371">
        <f>GN262+GO48</f>
        <v>-111241.25899999856</v>
      </c>
      <c r="GP262" s="371">
        <f>GK262+GP48</f>
        <v>-111241.25899999851</v>
      </c>
      <c r="GQ262" s="371">
        <f>GP262+GQ48</f>
        <v>-440510.47299999854</v>
      </c>
      <c r="GR262" s="371">
        <f>GQ262+GR48</f>
        <v>-481605.34799999854</v>
      </c>
      <c r="GS262" s="371">
        <f>GR262+GS48</f>
        <v>-343837.37599999853</v>
      </c>
      <c r="GT262" s="371">
        <f>GS262+GT48</f>
        <v>-308271.3679999985</v>
      </c>
      <c r="GU262" s="371">
        <f>GT262+GU48</f>
        <v>-259856.89399999849</v>
      </c>
      <c r="GV262" s="371">
        <f>GP262+GV48</f>
        <v>-259856.89399999852</v>
      </c>
      <c r="GW262" s="371">
        <f t="shared" ref="GW262:HB262" si="749">GV262+GW48</f>
        <v>-209626.8789999985</v>
      </c>
      <c r="GX262" s="371">
        <f t="shared" si="749"/>
        <v>-201257.0309999985</v>
      </c>
      <c r="GY262" s="371">
        <f t="shared" si="749"/>
        <v>-167731.78299999851</v>
      </c>
      <c r="GZ262" s="371">
        <f t="shared" si="749"/>
        <v>-96935.003999998517</v>
      </c>
      <c r="HA262" s="371">
        <f t="shared" si="749"/>
        <v>-53176.318999998519</v>
      </c>
      <c r="HB262" s="371">
        <f t="shared" si="749"/>
        <v>-238036.0149999985</v>
      </c>
      <c r="HC262" s="371">
        <f>GV262+HC48</f>
        <v>-238036.01499999847</v>
      </c>
      <c r="HD262" s="371">
        <f>GE262+HD48</f>
        <v>-238036.01499999862</v>
      </c>
      <c r="HE262" s="371">
        <f>HD262+HE48</f>
        <v>-346330.88399999856</v>
      </c>
      <c r="HF262" s="371">
        <f>HE262+HF48</f>
        <v>-177798.70399999857</v>
      </c>
      <c r="HG262" s="371">
        <f>HF262+HG48</f>
        <v>-139650.34499999858</v>
      </c>
      <c r="HH262" s="371">
        <f>HG262+HH48</f>
        <v>-237598.28499999858</v>
      </c>
      <c r="HI262" s="371">
        <f>HD262+HI48</f>
        <v>-237598.28499999864</v>
      </c>
      <c r="HJ262" s="371">
        <f>HI262+HJ48</f>
        <v>-173603.53499999864</v>
      </c>
      <c r="HK262" s="371">
        <f>HJ262+HK48</f>
        <v>-250175.85099999863</v>
      </c>
      <c r="HL262" s="371">
        <f>HK262+HL48</f>
        <v>-186554.24599999862</v>
      </c>
      <c r="HM262" s="371">
        <f>HL262+HM48</f>
        <v>-82662.753999998604</v>
      </c>
      <c r="HN262" s="371">
        <f>HM262+HN48</f>
        <v>-59042.815999998609</v>
      </c>
      <c r="HO262" s="371">
        <f>HI262+HO48</f>
        <v>-59042.815999998624</v>
      </c>
      <c r="HP262" s="371">
        <f>HO262+HP48</f>
        <v>-9831.6799999986179</v>
      </c>
      <c r="HQ262" s="371">
        <f>HP262+HQ48</f>
        <v>-80505.481999998621</v>
      </c>
      <c r="HR262" s="371">
        <f>HQ262+HR48</f>
        <v>-358483.96199999866</v>
      </c>
      <c r="HS262" s="371">
        <f>HR262+HS48</f>
        <v>-253533.78099999868</v>
      </c>
      <c r="HT262" s="371">
        <f>HS262+HT48</f>
        <v>-228583.39399999869</v>
      </c>
      <c r="HU262" s="371">
        <f>HO262+HU48</f>
        <v>-228583.39399999866</v>
      </c>
      <c r="HV262" s="371">
        <f>HU262+HV48</f>
        <v>-159930.11199999868</v>
      </c>
      <c r="HW262" s="371">
        <f>HV262+HW48</f>
        <v>-131993.29899999869</v>
      </c>
      <c r="HX262" s="371">
        <f>HW262+HX48</f>
        <v>-75195.474999998696</v>
      </c>
      <c r="HY262" s="371">
        <f>HU262+HY48</f>
        <v>-75195.474999998667</v>
      </c>
      <c r="HZ262" s="371">
        <f>HY262+HZ48</f>
        <v>-194559.37899999868</v>
      </c>
      <c r="IA262" s="371">
        <f>HZ262+IA48</f>
        <v>-189584.49599999867</v>
      </c>
      <c r="IB262" s="371">
        <f>IA262+IB48</f>
        <v>-365542.87899999868</v>
      </c>
      <c r="IC262" s="371">
        <f>HY262+IC48</f>
        <v>-365542.87899999868</v>
      </c>
      <c r="ID262" s="371">
        <f>HD262+ID48</f>
        <v>-365542.87899999868</v>
      </c>
      <c r="IE262" s="371">
        <f>ID262+IE48</f>
        <v>-427906.59199999867</v>
      </c>
      <c r="IF262" s="371" t="e">
        <f>#REF!+IF48</f>
        <v>#REF!</v>
      </c>
      <c r="IG262" s="371">
        <f>ID262+IG48</f>
        <v>-247928.07099999866</v>
      </c>
      <c r="IH262" s="371">
        <f>IG262+IH48</f>
        <v>-216416.16999999864</v>
      </c>
      <c r="II262" s="371">
        <f>IH262+II48</f>
        <v>-207353.09999999864</v>
      </c>
      <c r="IJ262" s="371">
        <f>II262+IJ48</f>
        <v>-177128.89799999865</v>
      </c>
      <c r="IK262" s="371">
        <f>IJ262+IK48</f>
        <v>-128232.31099999865</v>
      </c>
      <c r="IL262" s="371">
        <f>IK262+IL48</f>
        <v>-17504.317999998661</v>
      </c>
      <c r="IM262" s="371">
        <f>IG262+IM48</f>
        <v>-17504.317999998602</v>
      </c>
      <c r="IN262" s="371">
        <f>IM262+IN48</f>
        <v>-467326.39099999855</v>
      </c>
      <c r="IO262" s="371">
        <f>IN262+IO48</f>
        <v>-407167.99399999855</v>
      </c>
      <c r="IP262" s="371" t="e">
        <f>#REF!+IP48</f>
        <v>#REF!</v>
      </c>
      <c r="IQ262" s="371">
        <f>IM262+IQ48</f>
        <v>-313395.89399999846</v>
      </c>
      <c r="IR262" s="371">
        <f>IQ262+IR48</f>
        <v>-248330.69999999844</v>
      </c>
      <c r="IS262" s="371">
        <f>IR262+IS48</f>
        <v>-166428.79599999846</v>
      </c>
      <c r="IT262" s="371">
        <f>IS262+IT48</f>
        <v>-189773.16699999844</v>
      </c>
      <c r="IU262" s="371">
        <f>IT262+IU48</f>
        <v>-329783.39799999841</v>
      </c>
      <c r="IV262" s="371">
        <f>IU262+IV48</f>
        <v>-292121.70299999841</v>
      </c>
      <c r="IW262" s="371">
        <f>IQ262+IW48</f>
        <v>-292121.70299999841</v>
      </c>
      <c r="IX262" s="371">
        <f>IW262+IX48</f>
        <v>-273711.68099999841</v>
      </c>
      <c r="IY262" s="371">
        <f>IX262+IY48</f>
        <v>-130219.49499999842</v>
      </c>
      <c r="IZ262" s="371">
        <f>IY262+IZ48</f>
        <v>-76279.071999998414</v>
      </c>
      <c r="JA262" s="371">
        <f>IZ262+JA48</f>
        <v>-45734.300999998421</v>
      </c>
      <c r="JB262" s="371">
        <f>JA262+JB48</f>
        <v>-353647.10799999844</v>
      </c>
      <c r="JC262" s="371">
        <f>IW262+JC48</f>
        <v>-353647.10799999838</v>
      </c>
      <c r="JD262" s="371">
        <f>ID262+JD48</f>
        <v>-353647.10799999849</v>
      </c>
      <c r="JE262" s="371">
        <f>JD262+JE48</f>
        <v>-391663.08999999851</v>
      </c>
      <c r="JF262" s="371">
        <f>JE262+JF48</f>
        <v>-180721.70599999852</v>
      </c>
      <c r="JG262" s="371">
        <f>JF262+JG48</f>
        <v>-175194.50799999852</v>
      </c>
      <c r="JH262" s="371">
        <f>JG262+JH48</f>
        <v>-119888.95499999853</v>
      </c>
      <c r="JI262" s="371">
        <f>JH262+JI48</f>
        <v>-97430.544999998529</v>
      </c>
      <c r="JJ262" s="371">
        <f>JD262+JJ48</f>
        <v>-97430.544999998529</v>
      </c>
      <c r="JK262" s="371">
        <f>JJ262+JK48</f>
        <v>-97430.544999998529</v>
      </c>
      <c r="JL262" s="371">
        <f>JK262+JL48</f>
        <v>-97430.544999998529</v>
      </c>
      <c r="JM262" s="371">
        <f>JL262+JM48</f>
        <v>-97430.544999998529</v>
      </c>
      <c r="JN262" s="371">
        <f>JM262+JN48</f>
        <v>-97430.544999998529</v>
      </c>
      <c r="JO262" s="371">
        <f>JN262+JO48</f>
        <v>-97430.544999998529</v>
      </c>
      <c r="JP262" s="371">
        <f>JJ262+JP48</f>
        <v>-97430.544999998529</v>
      </c>
      <c r="JQ262" s="371">
        <f>JP262+JQ48</f>
        <v>-97430.544999998529</v>
      </c>
      <c r="JR262" s="371">
        <f>JQ262+JR48</f>
        <v>-97430.544999998529</v>
      </c>
      <c r="JS262" s="371">
        <f>JR262+JS48</f>
        <v>-97430.544999998529</v>
      </c>
      <c r="JT262" s="371">
        <f>JS262+JT48</f>
        <v>-97430.544999998529</v>
      </c>
      <c r="JU262" s="371">
        <f>JT262+JU48</f>
        <v>-97430.544999998529</v>
      </c>
      <c r="JV262" s="371">
        <f>JP262+JV48</f>
        <v>-97430.544999998529</v>
      </c>
      <c r="JW262" s="371">
        <f>JV262+JW48</f>
        <v>-97430.544999998529</v>
      </c>
      <c r="JX262" s="371">
        <f>JW262+JX48</f>
        <v>-97430.544999998529</v>
      </c>
      <c r="JY262" s="371">
        <f>JX262+JY48</f>
        <v>-97430.544999998529</v>
      </c>
      <c r="JZ262" s="371">
        <f>JY262+JZ48</f>
        <v>-97430.544999998529</v>
      </c>
      <c r="KA262" s="371"/>
      <c r="KB262" s="371">
        <f>JZ262+KB48</f>
        <v>-97430.544999998529</v>
      </c>
      <c r="KC262" s="371">
        <f>JV262+KC48</f>
        <v>-97430.544999998529</v>
      </c>
      <c r="KD262" s="371">
        <f>JD262+KD48</f>
        <v>-97430.544999998529</v>
      </c>
      <c r="KE262" s="371">
        <f>KD262+KE48</f>
        <v>-97430.544999998529</v>
      </c>
      <c r="KF262" s="371">
        <f>KE262+KF48</f>
        <v>-97430.544999998529</v>
      </c>
      <c r="KG262" s="371">
        <f>KF262+KG48</f>
        <v>-97430.544999998529</v>
      </c>
      <c r="KH262" s="371">
        <f>KG262+KH48</f>
        <v>-97430.544999998529</v>
      </c>
      <c r="KI262" s="371">
        <f>KH262+KI48</f>
        <v>-97430.544999998529</v>
      </c>
      <c r="KJ262" s="371">
        <f>KD262+KJ48</f>
        <v>-97430.544999998529</v>
      </c>
      <c r="KK262" s="371">
        <f>KJ262+KK48</f>
        <v>-97430.544999998529</v>
      </c>
      <c r="KL262" s="371">
        <f>KK262+KL48</f>
        <v>-97430.544999998529</v>
      </c>
      <c r="KM262" s="371">
        <f>KL262+KM48</f>
        <v>-97430.544999998529</v>
      </c>
      <c r="KN262" s="371">
        <f>KM262+KN48</f>
        <v>-97430.544999998529</v>
      </c>
      <c r="KO262" s="371">
        <f>KN262+KO48</f>
        <v>-97430.544999998529</v>
      </c>
      <c r="KP262" s="371">
        <f>KJ262+KP48</f>
        <v>-97430.544999998529</v>
      </c>
      <c r="KQ262" s="371">
        <f>KP262+KQ48</f>
        <v>-97430.544999998529</v>
      </c>
      <c r="KR262" s="371">
        <f>KQ262+KR48</f>
        <v>-97430.544999998529</v>
      </c>
      <c r="KS262" s="371">
        <f>KR262+KS48</f>
        <v>-97430.544999998529</v>
      </c>
      <c r="KT262" s="371">
        <f>KS262+KT48</f>
        <v>-97430.544999998529</v>
      </c>
      <c r="KU262" s="371">
        <f>KT262+KU48</f>
        <v>-97430.544999998529</v>
      </c>
      <c r="KV262" s="371">
        <f>KP262+KV48</f>
        <v>-97430.544999998529</v>
      </c>
      <c r="KW262" s="371">
        <f>KV262+KW48</f>
        <v>-97430.544999998529</v>
      </c>
      <c r="KX262" s="371">
        <f>KW262+KX48</f>
        <v>-97430.544999998529</v>
      </c>
      <c r="KY262" s="371">
        <f>KX262+KY48</f>
        <v>-97430.544999998529</v>
      </c>
      <c r="KZ262" s="371">
        <f>KY262+KZ48</f>
        <v>-97430.544999998529</v>
      </c>
      <c r="LA262" s="371">
        <f>KZ262+LA48</f>
        <v>-97430.544999998529</v>
      </c>
      <c r="LB262" s="371">
        <f>KV262+LB48</f>
        <v>-97430.544999998529</v>
      </c>
      <c r="LC262" s="371">
        <f>LB262+LC48</f>
        <v>-97430.544999998529</v>
      </c>
      <c r="LD262" s="371">
        <f>LC262+LD48</f>
        <v>-97430.544999998529</v>
      </c>
      <c r="LE262" s="371">
        <f>LD262+LE48</f>
        <v>-97430.544999998529</v>
      </c>
      <c r="LF262" s="371">
        <f>LB262+LF48</f>
        <v>-97430.544999998529</v>
      </c>
      <c r="LG262" s="371">
        <f>KD262+LG48</f>
        <v>-98591.544999998529</v>
      </c>
      <c r="LI262" s="368">
        <v>200000</v>
      </c>
    </row>
    <row r="263" spans="1:322" s="370" customFormat="1">
      <c r="HD263" s="368"/>
      <c r="HE263" s="368"/>
      <c r="HF263" s="368"/>
      <c r="HG263" s="368"/>
      <c r="HH263" s="368"/>
      <c r="HI263" s="368"/>
      <c r="HJ263" s="368"/>
      <c r="HK263" s="368"/>
      <c r="HL263" s="368"/>
      <c r="HM263" s="368"/>
      <c r="HN263" s="368"/>
      <c r="HO263" s="368"/>
      <c r="HP263" s="368"/>
      <c r="HQ263" s="368"/>
      <c r="HR263" s="368"/>
      <c r="HS263" s="368"/>
      <c r="HT263" s="368"/>
      <c r="HU263" s="368"/>
      <c r="HV263" s="368"/>
      <c r="HW263" s="368"/>
      <c r="HX263" s="368"/>
      <c r="HY263" s="368"/>
      <c r="HZ263" s="368"/>
      <c r="IA263" s="368"/>
      <c r="IB263" s="368"/>
      <c r="IC263" s="368"/>
      <c r="ID263" s="368"/>
      <c r="IE263" s="368"/>
      <c r="IF263" s="368"/>
      <c r="IG263" s="368"/>
      <c r="IH263" s="368"/>
      <c r="II263" s="368"/>
      <c r="IJ263" s="368"/>
      <c r="IK263" s="368"/>
      <c r="IL263" s="368"/>
      <c r="IM263" s="368"/>
      <c r="IN263" s="368"/>
      <c r="IO263" s="368"/>
      <c r="IP263" s="368"/>
      <c r="IQ263" s="368"/>
      <c r="IR263" s="368"/>
      <c r="IS263" s="368"/>
      <c r="IT263" s="368"/>
      <c r="IU263" s="368"/>
      <c r="IV263" s="368"/>
      <c r="IW263" s="368"/>
      <c r="IX263" s="368"/>
      <c r="IY263" s="368"/>
      <c r="IZ263" s="368"/>
      <c r="JA263" s="368"/>
      <c r="JB263" s="368"/>
      <c r="JC263" s="368"/>
      <c r="JD263" s="368"/>
      <c r="JE263" s="368"/>
      <c r="JF263" s="368"/>
      <c r="JG263" s="368"/>
      <c r="JH263" s="368"/>
      <c r="JI263" s="368"/>
      <c r="JJ263" s="368"/>
      <c r="JK263" s="368"/>
      <c r="JL263" s="368"/>
      <c r="JM263" s="368"/>
      <c r="JN263" s="368"/>
      <c r="JO263" s="368"/>
      <c r="JP263" s="368"/>
      <c r="JQ263" s="368"/>
      <c r="JR263" s="368"/>
      <c r="JS263" s="368"/>
      <c r="JT263" s="368"/>
      <c r="JU263" s="368"/>
      <c r="JV263" s="368"/>
      <c r="JW263" s="368"/>
      <c r="JX263" s="368"/>
      <c r="JY263" s="368"/>
      <c r="JZ263" s="368"/>
      <c r="KA263" s="368"/>
      <c r="KB263" s="368"/>
      <c r="KC263" s="368"/>
      <c r="KD263" s="368"/>
      <c r="KE263" s="368"/>
      <c r="KF263" s="368"/>
      <c r="KG263" s="368"/>
      <c r="KH263" s="368"/>
      <c r="KI263" s="368"/>
      <c r="KJ263" s="368"/>
      <c r="KK263" s="368"/>
      <c r="KL263" s="368"/>
      <c r="KM263" s="368"/>
      <c r="KN263" s="368"/>
      <c r="KO263" s="368"/>
      <c r="KP263" s="368"/>
      <c r="KQ263" s="368"/>
      <c r="KR263" s="368"/>
      <c r="KS263" s="368"/>
      <c r="KT263" s="368"/>
      <c r="KU263" s="368"/>
      <c r="KV263" s="368"/>
      <c r="KW263" s="368"/>
      <c r="KX263" s="368"/>
      <c r="KY263" s="368"/>
      <c r="KZ263" s="368"/>
      <c r="LA263" s="368"/>
      <c r="LB263" s="368"/>
      <c r="LC263" s="368"/>
      <c r="LD263" s="368"/>
      <c r="LE263" s="368"/>
      <c r="LF263" s="368"/>
      <c r="LG263" s="368"/>
      <c r="LI263" s="368"/>
    </row>
    <row r="264" spans="1:322" s="370" customFormat="1">
      <c r="A264" s="371" t="s">
        <v>30</v>
      </c>
      <c r="B264" s="371">
        <v>-837460.17</v>
      </c>
      <c r="C264" s="371">
        <f>B264+C107</f>
        <v>-845603.152</v>
      </c>
      <c r="D264" s="371">
        <f>B264+D107</f>
        <v>-845603.152</v>
      </c>
      <c r="E264" s="371">
        <f>D264+E107</f>
        <v>-847186.674</v>
      </c>
      <c r="F264" s="371">
        <f>E264+F107</f>
        <v>-749559.32499999995</v>
      </c>
      <c r="G264" s="371">
        <f>F264+G107</f>
        <v>-883479.2379999999</v>
      </c>
      <c r="H264" s="371">
        <f>G264+H107</f>
        <v>-901151.75699999987</v>
      </c>
      <c r="I264" s="371">
        <f>H264+I107</f>
        <v>-867387.94799999986</v>
      </c>
      <c r="J264" s="371">
        <f>D264+J107</f>
        <v>-867387.94799999986</v>
      </c>
      <c r="K264" s="371">
        <f>J264+K107</f>
        <v>-941455.07999999984</v>
      </c>
      <c r="L264" s="371">
        <f>K264+L107</f>
        <v>-895940.11899999983</v>
      </c>
      <c r="M264" s="371">
        <f>L264+M107</f>
        <v>-910939.08599999978</v>
      </c>
      <c r="N264" s="371">
        <f>M264+N107</f>
        <v>-915919.75499999977</v>
      </c>
      <c r="O264" s="371">
        <f>J264+O107</f>
        <v>-915919.75499999989</v>
      </c>
      <c r="P264" s="371">
        <f>O264+P107</f>
        <v>-949882.51299999992</v>
      </c>
      <c r="Q264" s="371">
        <f>P264+Q107</f>
        <v>-902501.92699999991</v>
      </c>
      <c r="R264" s="371">
        <f>Q264+R107</f>
        <v>-976540.47199999995</v>
      </c>
      <c r="S264" s="371">
        <f>R264+S107</f>
        <v>-991456.75099999993</v>
      </c>
      <c r="T264" s="371">
        <f>S264+T107</f>
        <v>-997356.41299999994</v>
      </c>
      <c r="U264" s="371">
        <f>O264+U107</f>
        <v>-997356.41299999994</v>
      </c>
      <c r="V264" s="371">
        <f t="shared" ref="V264:AA264" si="750">U264+V107</f>
        <v>-949313.02099999995</v>
      </c>
      <c r="W264" s="371">
        <f t="shared" si="750"/>
        <v>-951598.71799999999</v>
      </c>
      <c r="X264" s="371">
        <f t="shared" si="750"/>
        <v>-937606.20900000003</v>
      </c>
      <c r="Y264" s="371">
        <f t="shared" si="750"/>
        <v>-914077.03600000008</v>
      </c>
      <c r="Z264" s="371">
        <f t="shared" si="750"/>
        <v>-1118317.939</v>
      </c>
      <c r="AA264" s="371">
        <f t="shared" si="750"/>
        <v>-1239279.4649999999</v>
      </c>
      <c r="AB264" s="371">
        <f>B264+AB107</f>
        <v>-1118317.9389999998</v>
      </c>
      <c r="AC264" s="371">
        <f>AB264+AC107</f>
        <v>-1128965.1719999998</v>
      </c>
      <c r="AD264" s="371">
        <f>AC264+AD107</f>
        <v>-1139120.5639999998</v>
      </c>
      <c r="AE264" s="371">
        <f>AD264+AE107</f>
        <v>-1193496.0399999998</v>
      </c>
      <c r="AF264" s="371">
        <f>AE264+AF107</f>
        <v>-753925.67399999977</v>
      </c>
      <c r="AG264" s="371">
        <f>AF264+AG107</f>
        <v>-776426.41799999971</v>
      </c>
      <c r="AH264" s="371">
        <f>AB264+AH107</f>
        <v>-776426.41799999971</v>
      </c>
      <c r="AI264" s="371">
        <f>AH264+AI107</f>
        <v>-592998.18099999963</v>
      </c>
      <c r="AJ264" s="371">
        <f>AI264+AJ107</f>
        <v>-870088.99799999967</v>
      </c>
      <c r="AK264" s="371">
        <f>AJ264+AK107</f>
        <v>-880838.22999999963</v>
      </c>
      <c r="AL264" s="371">
        <f>AK264+AL107</f>
        <v>-906029.01099999959</v>
      </c>
      <c r="AM264" s="371">
        <f>AL264+AM107</f>
        <v>-906224.25299999956</v>
      </c>
      <c r="AN264" s="371">
        <f>AH264+AN107</f>
        <v>-906224.25299999968</v>
      </c>
      <c r="AO264" s="371">
        <f>AN264+AO107</f>
        <v>-942339.40499999968</v>
      </c>
      <c r="AP264" s="371">
        <f>AO264+AP107</f>
        <v>-964726.76799999969</v>
      </c>
      <c r="AQ264" s="371">
        <f>AP264+AQ107</f>
        <v>-964234.97499999963</v>
      </c>
      <c r="AR264" s="371">
        <f>AQ264+AR107</f>
        <v>-929036.18699999969</v>
      </c>
      <c r="AS264" s="371">
        <f>AR264+AS107</f>
        <v>-1209123.0369999995</v>
      </c>
      <c r="AT264" s="371">
        <f>AN264+AT107</f>
        <v>-1209123.0369999995</v>
      </c>
      <c r="AU264" s="371">
        <f>AT264+AU107</f>
        <v>-704209.59209999954</v>
      </c>
      <c r="AV264" s="371">
        <f>AU264+AV107</f>
        <v>-704448.39409999957</v>
      </c>
      <c r="AW264" s="371">
        <f>AV264+AW107</f>
        <v>-712141.85609999963</v>
      </c>
      <c r="AX264" s="371">
        <f>AW264+AX107</f>
        <v>-725453.60509999958</v>
      </c>
      <c r="AY264" s="371">
        <f>AX264+AY107</f>
        <v>-758118.09109999961</v>
      </c>
      <c r="AZ264" s="371">
        <f>AT264+AZ107</f>
        <v>-758118.09109999961</v>
      </c>
      <c r="BA264" s="371">
        <f>AB264+BA107</f>
        <v>-758118.09109999961</v>
      </c>
      <c r="BB264" s="371">
        <f>BA264+BB107</f>
        <v>-1343567.9070999995</v>
      </c>
      <c r="BC264" s="371">
        <f>BB264+BC107</f>
        <v>-2006111.1040999996</v>
      </c>
      <c r="BD264" s="371">
        <f>BC264+BD107</f>
        <v>-795638.12009999971</v>
      </c>
      <c r="BE264" s="371">
        <f>BD264+BE107</f>
        <v>-792943.05509999976</v>
      </c>
      <c r="BF264" s="371">
        <f>BE264+BF107</f>
        <v>-797816.54909999971</v>
      </c>
      <c r="BG264" s="371">
        <f>BA264+BG107</f>
        <v>-797816.54909999948</v>
      </c>
      <c r="BH264" s="371">
        <f>BG264+BH107</f>
        <v>-661510.19809999946</v>
      </c>
      <c r="BI264" s="371">
        <f>BH264+BI107</f>
        <v>-1076068.2380999995</v>
      </c>
      <c r="BJ264" s="371">
        <f>BI264+BJ107</f>
        <v>-1050756.0050999995</v>
      </c>
      <c r="BK264" s="371">
        <f>BJ264+BK107</f>
        <v>-846965.4660999995</v>
      </c>
      <c r="BL264" s="371">
        <f>BK264+BL107</f>
        <v>-831266.98909999942</v>
      </c>
      <c r="BM264" s="371">
        <f>BG264+BM107</f>
        <v>-831266.98909999942</v>
      </c>
      <c r="BN264" s="371">
        <f>BM264+BN107</f>
        <v>-892225.78409999935</v>
      </c>
      <c r="BO264" s="371">
        <f>BN264+BO107</f>
        <v>-801031.36809999938</v>
      </c>
      <c r="BP264" s="371">
        <f>BO264+BP107</f>
        <v>-905728.62509999936</v>
      </c>
      <c r="BQ264" s="371">
        <f>BP264+BQ107</f>
        <v>-922268.35509999935</v>
      </c>
      <c r="BR264" s="371">
        <f>BM264+BR107</f>
        <v>-922268.35509999935</v>
      </c>
      <c r="BS264" s="371">
        <f>BR264+BS107</f>
        <v>-952822.54509999929</v>
      </c>
      <c r="BT264" s="371">
        <f>BS264+BT107</f>
        <v>-917888.00309999927</v>
      </c>
      <c r="BU264" s="371">
        <f>BT264+BU107</f>
        <v>-930318.97509999922</v>
      </c>
      <c r="BV264" s="371">
        <f>BU264+BV107</f>
        <v>-920591.29409999924</v>
      </c>
      <c r="BW264" s="371">
        <f>BV264+BW107</f>
        <v>-934473.29409999924</v>
      </c>
      <c r="BX264" s="371">
        <f>BR264+BX107</f>
        <v>-934473.29409999936</v>
      </c>
      <c r="BY264" s="371">
        <f>BX264+BY107</f>
        <v>-942715.28109999932</v>
      </c>
      <c r="BZ264" s="371">
        <f>BY264+BZ107</f>
        <v>-908510.68209999928</v>
      </c>
      <c r="CA264" s="371">
        <f>BX264+CA107</f>
        <v>-908510.68209999939</v>
      </c>
      <c r="CB264" s="371">
        <f>BA264+CB107</f>
        <v>-908510.68209999963</v>
      </c>
      <c r="CC264" s="371">
        <f>CB264+CC107</f>
        <v>-979538.95709999965</v>
      </c>
      <c r="CD264" s="371">
        <f>CC264+CD107</f>
        <v>-936912.67209999962</v>
      </c>
      <c r="CE264" s="371">
        <f>CD264+CE107</f>
        <v>-1094872.2220999997</v>
      </c>
      <c r="CF264" s="371">
        <f>CB264+CF107</f>
        <v>-1094872.2220999997</v>
      </c>
      <c r="CG264" s="371">
        <f>CF264+CG107</f>
        <v>-1067570.6310999996</v>
      </c>
      <c r="CH264" s="371">
        <f>CG264+CH107</f>
        <v>-1052589.9290999996</v>
      </c>
      <c r="CI264" s="371">
        <f>CH264+CI107</f>
        <v>-890889.1300999996</v>
      </c>
      <c r="CJ264" s="371">
        <f>CI264+CJ107</f>
        <v>-1053940.5050999997</v>
      </c>
      <c r="CK264" s="371">
        <f>CF264+CK107</f>
        <v>-1053940.5050999997</v>
      </c>
      <c r="CL264" s="371">
        <f>CK264+CL107</f>
        <v>-1065846.0450999998</v>
      </c>
      <c r="CM264" s="371">
        <f>CL264+CM107</f>
        <v>-1069590.4010999997</v>
      </c>
      <c r="CN264" s="371">
        <f>CM264+CN107</f>
        <v>-1078838.3560999997</v>
      </c>
      <c r="CO264" s="371">
        <f>CN264+CO107</f>
        <v>-1211220.3080999998</v>
      </c>
      <c r="CP264" s="371">
        <f>CO264+CP107</f>
        <v>-1220729.7750999997</v>
      </c>
      <c r="CQ264" s="371">
        <f>CK264+CQ107</f>
        <v>-1220729.7750999997</v>
      </c>
      <c r="CR264" s="371">
        <f>CQ264+CR107</f>
        <v>-1220074.9160999998</v>
      </c>
      <c r="CS264" s="371">
        <f>CR264+CS107</f>
        <v>-1276716.8660999998</v>
      </c>
      <c r="CT264" s="371">
        <f>CS264+CT107</f>
        <v>-1044972.6050999998</v>
      </c>
      <c r="CU264" s="371">
        <f>CT264+CU107</f>
        <v>-1054965.5480999998</v>
      </c>
      <c r="CV264" s="371">
        <f>CU264+CV107</f>
        <v>-1063924.1430999998</v>
      </c>
      <c r="CW264" s="371">
        <f>CQ264+CW107</f>
        <v>-1063924.1431</v>
      </c>
      <c r="CX264" s="371">
        <f>CW264+CX107</f>
        <v>-1072948.2071</v>
      </c>
      <c r="CY264" s="371">
        <f>CX264+CY107</f>
        <v>-1084954.9691000001</v>
      </c>
      <c r="CZ264" s="371">
        <f>CY264+CZ107</f>
        <v>-1085245.3151</v>
      </c>
      <c r="DA264" s="371">
        <f>CZ264+DA107</f>
        <v>-1153240.1391</v>
      </c>
      <c r="DB264" s="371">
        <f>CW264+DB107</f>
        <v>-1153240.1391</v>
      </c>
      <c r="DC264" s="371">
        <f>CB264+DC107</f>
        <v>-1153240.1390999989</v>
      </c>
      <c r="DD264" s="371">
        <f>DC264+DD107</f>
        <v>-1283265.3590999988</v>
      </c>
      <c r="DE264" s="371">
        <f>DD264+DE107</f>
        <v>-1414000.3600999988</v>
      </c>
      <c r="DF264" s="371">
        <f>DE264+DF107</f>
        <v>-1094019.0260999987</v>
      </c>
      <c r="DG264" s="371">
        <f>DF264+DG107</f>
        <v>-1118030.9380999987</v>
      </c>
      <c r="DH264" s="371">
        <f>DG264+DH107</f>
        <v>-1232002.7420999988</v>
      </c>
      <c r="DI264" s="371">
        <f>DC264+DI107</f>
        <v>-1232002.7420999988</v>
      </c>
      <c r="DJ264" s="371">
        <f>DI264+DJ107</f>
        <v>-1370949.1730999989</v>
      </c>
      <c r="DK264" s="371">
        <f>DJ264+DK107</f>
        <v>-1472499.4080999987</v>
      </c>
      <c r="DL264" s="371">
        <f>DK264+DL107</f>
        <v>-1484533.3930999988</v>
      </c>
      <c r="DM264" s="371">
        <f>DL264+DM107</f>
        <v>-1565604.8150999988</v>
      </c>
      <c r="DN264" s="371">
        <f>DM264+DN107</f>
        <v>-1401209.1610999987</v>
      </c>
      <c r="DO264" s="371">
        <f>DI264+DO107</f>
        <v>-1401209.1610999985</v>
      </c>
      <c r="DP264" s="371">
        <f>DO264+DP107</f>
        <v>-1416305.9680999985</v>
      </c>
      <c r="DQ264" s="371">
        <f>DP264+DQ107</f>
        <v>-1354209.7030999986</v>
      </c>
      <c r="DR264" s="371">
        <f>DQ264+DR107</f>
        <v>-1271417.3040999987</v>
      </c>
      <c r="DS264" s="371">
        <f>DR264+DS107</f>
        <v>-1487128.8220999986</v>
      </c>
      <c r="DT264" s="371">
        <f>DS264+DT107</f>
        <v>-1489734.4020999987</v>
      </c>
      <c r="DU264" s="371">
        <f>DO264+DU107</f>
        <v>-1489734.4020999987</v>
      </c>
      <c r="DV264" s="371">
        <f>DU264+DV107</f>
        <v>-1635965.9120999987</v>
      </c>
      <c r="DW264" s="371">
        <f>DV264+DW107</f>
        <v>-1750311.7600999987</v>
      </c>
      <c r="DX264" s="371">
        <f>DW264+DX107</f>
        <v>-1754606.7980999986</v>
      </c>
      <c r="DY264" s="371">
        <f>DX264+DY107</f>
        <v>-1478078.3260999986</v>
      </c>
      <c r="DZ264" s="371">
        <f>DY264+DZ107</f>
        <v>-1478083.0460999985</v>
      </c>
      <c r="EA264" s="371">
        <f>DU264+EA107</f>
        <v>-1478083.0460999988</v>
      </c>
      <c r="EB264" s="371">
        <f>DC264+EB107</f>
        <v>-1478083.0460999988</v>
      </c>
      <c r="EC264" s="371">
        <f>EB264+EC107</f>
        <v>-1556071.0580999989</v>
      </c>
      <c r="ED264" s="371">
        <f>EC264+ED107</f>
        <v>-1655816.1130999988</v>
      </c>
      <c r="EE264" s="371">
        <f>ED264+EE107</f>
        <v>-1820736.8940999988</v>
      </c>
      <c r="EF264" s="371">
        <f>EE264+EF107</f>
        <v>-1834900.2170999988</v>
      </c>
      <c r="EG264" s="371">
        <f>EF264+EG107</f>
        <v>-1840785.141099999</v>
      </c>
      <c r="EH264" s="371">
        <f>EB264+EH107</f>
        <v>-1840785.1410999987</v>
      </c>
      <c r="EI264" s="371">
        <f>EH264+EI107</f>
        <v>-1847011.2920999988</v>
      </c>
      <c r="EJ264" s="371">
        <f>EI264+EJ107</f>
        <v>-1866697.9660999989</v>
      </c>
      <c r="EK264" s="371">
        <f>EJ264+EK107</f>
        <v>-1770391.583099999</v>
      </c>
      <c r="EL264" s="371">
        <f>EK264+EL107</f>
        <v>-1501693.9840999991</v>
      </c>
      <c r="EM264" s="371">
        <f>EL264+EM107</f>
        <v>-1607103.9840999991</v>
      </c>
      <c r="EN264" s="371">
        <f>EH264+EN107</f>
        <v>-1607103.9840999986</v>
      </c>
      <c r="EO264" s="371">
        <f>EN264+EO107</f>
        <v>-1668069.6800999986</v>
      </c>
      <c r="EP264" s="371">
        <f>EO264+EP107</f>
        <v>-1664472.0720999986</v>
      </c>
      <c r="EQ264" s="371">
        <f>EP264+EQ107</f>
        <v>-1672029.4970999986</v>
      </c>
      <c r="ER264" s="371">
        <f>EQ264+ER107</f>
        <v>-1602029.4970999986</v>
      </c>
      <c r="ES264" s="371">
        <f>ER264+ES107</f>
        <v>-1723204.5920999986</v>
      </c>
      <c r="ET264" s="371">
        <f>EN264+ET107</f>
        <v>-1723204.5920999986</v>
      </c>
      <c r="EU264" s="371">
        <f t="shared" ref="EU264:FA264" si="751">ET264+EU107</f>
        <v>-1775481.7140999986</v>
      </c>
      <c r="EV264" s="371">
        <f t="shared" si="751"/>
        <v>-1737583.8110999987</v>
      </c>
      <c r="EW264" s="371">
        <f t="shared" si="751"/>
        <v>-1853554.7110999986</v>
      </c>
      <c r="EX264" s="371">
        <f t="shared" si="751"/>
        <v>-1869129.6147999985</v>
      </c>
      <c r="EY264" s="371">
        <f t="shared" si="751"/>
        <v>-1831491.5737999985</v>
      </c>
      <c r="EZ264" s="371">
        <f t="shared" si="751"/>
        <v>-1872664.2487999985</v>
      </c>
      <c r="FA264" s="371">
        <f t="shared" si="751"/>
        <v>-1959954.7627999985</v>
      </c>
      <c r="FB264" s="371">
        <f>ET264+FB107</f>
        <v>-1959954.7627999985</v>
      </c>
      <c r="FC264" s="371">
        <f>EB264+FC107</f>
        <v>-1959954.7627999983</v>
      </c>
      <c r="FD264" s="371">
        <f>FC264+FD107</f>
        <v>-1911911.6877999983</v>
      </c>
      <c r="FE264" s="371">
        <f>FD264+FE107</f>
        <v>-2077900.3007999982</v>
      </c>
      <c r="FF264" s="371">
        <f>FE264+FF107</f>
        <v>-2096722.0907999983</v>
      </c>
      <c r="FG264" s="371">
        <f>FC264+FG107</f>
        <v>-2096722.0907999983</v>
      </c>
      <c r="FH264" s="371">
        <f>FG264+FH107</f>
        <v>-2121073.4217999983</v>
      </c>
      <c r="FI264" s="371">
        <f>FH264+FI107</f>
        <v>-2122746.1257999982</v>
      </c>
      <c r="FJ264" s="371">
        <f>FI264+FJ107</f>
        <v>-2128218.411799998</v>
      </c>
      <c r="FK264" s="371">
        <f>FJ264+FK107</f>
        <v>-2018316.8487999979</v>
      </c>
      <c r="FL264" s="371">
        <f>FK264+FL107</f>
        <v>-2071392.1307999981</v>
      </c>
      <c r="FM264" s="371">
        <f>FG264+FM107</f>
        <v>-2071392.1307999983</v>
      </c>
      <c r="FN264" s="371">
        <f>FM264+FN107</f>
        <v>-2093910.9847999983</v>
      </c>
      <c r="FO264" s="371">
        <f>FN264+FO107</f>
        <v>-2096703.2947999984</v>
      </c>
      <c r="FP264" s="371">
        <f>FO264+FP107</f>
        <v>-2248750.2057999982</v>
      </c>
      <c r="FQ264" s="371">
        <f>FP264+FQ107</f>
        <v>-2249307.0447999984</v>
      </c>
      <c r="FR264" s="371">
        <f>FM264+FR107</f>
        <v>-2249307.0447999984</v>
      </c>
      <c r="FS264" s="371">
        <f>FR264+FS107</f>
        <v>-2313231.2687999983</v>
      </c>
      <c r="FT264" s="371">
        <f>FS264+FT107</f>
        <v>-2315512.3207999985</v>
      </c>
      <c r="FU264" s="371">
        <f>FT264+FU107</f>
        <v>-2320845.6917999983</v>
      </c>
      <c r="FV264" s="371">
        <f>FU264+FV107</f>
        <v>-2112081.7807999984</v>
      </c>
      <c r="FW264" s="371">
        <f>FV264+FW107</f>
        <v>-2283148.6857999982</v>
      </c>
      <c r="FX264" s="371">
        <f>FR264+FX107</f>
        <v>-2283148.6857999982</v>
      </c>
      <c r="FY264" s="371">
        <f>FX264+FY107</f>
        <v>-2414115.6167999981</v>
      </c>
      <c r="FZ264" s="371">
        <f>FY264+FZ107</f>
        <v>-2568928.5177999982</v>
      </c>
      <c r="GA264" s="371">
        <f>FZ264+GA107</f>
        <v>-2473989.8647999982</v>
      </c>
      <c r="GB264" s="371">
        <f>GA264+GB107</f>
        <v>-2587482.2477999981</v>
      </c>
      <c r="GC264" s="371">
        <f>GB264+GC107</f>
        <v>-508578.77879999811</v>
      </c>
      <c r="GD264" s="371">
        <f>FX264+GD107</f>
        <v>-508578.77879999788</v>
      </c>
      <c r="GE264" s="371">
        <f>FC264+GE107</f>
        <v>-508578.77879999904</v>
      </c>
      <c r="GF264" s="371">
        <f>GE264+GF107</f>
        <v>-600819.983799999</v>
      </c>
      <c r="GG264" s="371">
        <f>GF264+GG107</f>
        <v>-609228.91079999902</v>
      </c>
      <c r="GH264" s="371">
        <f>GG264+GH107</f>
        <v>-871408.89979999908</v>
      </c>
      <c r="GI264" s="371">
        <f>GH264+GI107</f>
        <v>-985391.37779999909</v>
      </c>
      <c r="GJ264" s="371">
        <f>GI264+GJ107</f>
        <v>-962143.18679999909</v>
      </c>
      <c r="GK264" s="371">
        <f>GE264+GK107</f>
        <v>-962143.18679999909</v>
      </c>
      <c r="GL264" s="371">
        <f>GK264+GL107</f>
        <v>-978985.77379999915</v>
      </c>
      <c r="GM264" s="371">
        <f>GL264+GM107</f>
        <v>-835151.93279999914</v>
      </c>
      <c r="GN264" s="371">
        <f>GM264+GN107</f>
        <v>-1095658.7797999992</v>
      </c>
      <c r="GO264" s="371">
        <f>GN264+GO107</f>
        <v>-1361990.6457999991</v>
      </c>
      <c r="GP264" s="371">
        <f>GK264+GP107</f>
        <v>-1361990.6457999991</v>
      </c>
      <c r="GQ264" s="371">
        <f>GP264+GQ107</f>
        <v>-1439117.099799999</v>
      </c>
      <c r="GR264" s="371">
        <f>GQ264+GR107</f>
        <v>-1401486.4027999991</v>
      </c>
      <c r="GS264" s="371">
        <f>GR264+GS107</f>
        <v>-1404092.4927999992</v>
      </c>
      <c r="GT264" s="371">
        <f>GS264+GT107</f>
        <v>-1793459.9007999992</v>
      </c>
      <c r="GU264" s="371">
        <f>GT264+GU107</f>
        <v>-1543664.7317999993</v>
      </c>
      <c r="GV264" s="371">
        <f>GP264+GV107</f>
        <v>-1543664.7317999993</v>
      </c>
      <c r="GW264" s="371">
        <f t="shared" ref="GW264:HB264" si="752">GV264+GW107</f>
        <v>-1547932.2057999992</v>
      </c>
      <c r="GX264" s="371">
        <f t="shared" si="752"/>
        <v>-1578404.7207999991</v>
      </c>
      <c r="GY264" s="371">
        <f t="shared" si="752"/>
        <v>-1606345.7937999992</v>
      </c>
      <c r="GZ264" s="371">
        <f t="shared" si="752"/>
        <v>-1418008.6787999992</v>
      </c>
      <c r="HA264" s="371">
        <f t="shared" si="752"/>
        <v>-1480549.8227999993</v>
      </c>
      <c r="HB264" s="371">
        <f t="shared" si="752"/>
        <v>-1340111.4127999994</v>
      </c>
      <c r="HC264" s="371">
        <f>GV264+HC107</f>
        <v>-1340111.4127999991</v>
      </c>
      <c r="HD264" s="371">
        <f>GE264+HD107</f>
        <v>-1340111.4127999991</v>
      </c>
      <c r="HE264" s="371">
        <f>HD264+HE107</f>
        <v>-2293142.0947999991</v>
      </c>
      <c r="HF264" s="371">
        <f>HE264+HF107</f>
        <v>-2298301.2847999991</v>
      </c>
      <c r="HG264" s="371">
        <f>HF264+HG107</f>
        <v>-2360115.1797999991</v>
      </c>
      <c r="HH264" s="371">
        <f>HG264+HH107</f>
        <v>-2377517.0157999992</v>
      </c>
      <c r="HI264" s="371">
        <f>HD264+HI107</f>
        <v>-2377517.0157999992</v>
      </c>
      <c r="HJ264" s="371">
        <f>HI264+HJ107</f>
        <v>-2350506.653799999</v>
      </c>
      <c r="HK264" s="371">
        <f>HJ264+HK107</f>
        <v>-2386237.0327999992</v>
      </c>
      <c r="HL264" s="371">
        <f>HK264+HL107</f>
        <v>-2401677.7397999992</v>
      </c>
      <c r="HM264" s="371">
        <f>HL264+HM107</f>
        <v>-2497128.8287999993</v>
      </c>
      <c r="HN264" s="371">
        <f>HM264+HN107</f>
        <v>-2762184.0027999994</v>
      </c>
      <c r="HO264" s="371">
        <f>HI264+HO107</f>
        <v>-2762184.0027999994</v>
      </c>
      <c r="HP264" s="371">
        <f>HO264+HP107</f>
        <v>-1000894.6847999995</v>
      </c>
      <c r="HQ264" s="371">
        <f>HP264+HQ107</f>
        <v>-1083759.5637999994</v>
      </c>
      <c r="HR264" s="371">
        <f>HQ264+HR107</f>
        <v>-1391051.1677999995</v>
      </c>
      <c r="HS264" s="371">
        <f>HR264+HS107</f>
        <v>-1411580.3897999995</v>
      </c>
      <c r="HT264" s="371">
        <f>HS264+HT107</f>
        <v>-1416343.0827999995</v>
      </c>
      <c r="HU264" s="371">
        <f>HO264+HU107</f>
        <v>-1416343.0827999995</v>
      </c>
      <c r="HV264" s="371">
        <f>HU264+HV107</f>
        <v>-1426418.8497999995</v>
      </c>
      <c r="HW264" s="371">
        <f>HV264+HW107</f>
        <v>-1255847.1487999996</v>
      </c>
      <c r="HX264" s="371">
        <f>HW264+HX107</f>
        <v>-1259046.2827999997</v>
      </c>
      <c r="HY264" s="371">
        <f>HU264+HY107</f>
        <v>-1259046.2827999997</v>
      </c>
      <c r="HZ264" s="371">
        <f>HY264+HZ107</f>
        <v>-1115285.9367999998</v>
      </c>
      <c r="IA264" s="371">
        <f>HZ264+IA107</f>
        <v>-1138469.8177999998</v>
      </c>
      <c r="IB264" s="371">
        <f>IA264+IB107</f>
        <v>-1264656.5777999999</v>
      </c>
      <c r="IC264" s="371">
        <f>HY264+IC107</f>
        <v>-1264656.5777999996</v>
      </c>
      <c r="ID264" s="371">
        <f>HD264+ID107</f>
        <v>-1264656.5777999996</v>
      </c>
      <c r="IE264" s="371">
        <f>ID264+IE107</f>
        <v>-1345054.1837999995</v>
      </c>
      <c r="IF264" s="371" t="e">
        <f>#REF!+IF107</f>
        <v>#REF!</v>
      </c>
      <c r="IG264" s="371">
        <f>ID264+IG107</f>
        <v>-1363097.5697999997</v>
      </c>
      <c r="IH264" s="371">
        <f>IG264+IH107</f>
        <v>-1427497.4507999998</v>
      </c>
      <c r="II264" s="371">
        <f>IH264+II107</f>
        <v>-1763515.5347999996</v>
      </c>
      <c r="IJ264" s="371">
        <f>II264+IJ107</f>
        <v>-1535084.0377999996</v>
      </c>
      <c r="IK264" s="371">
        <f>IJ264+IK107</f>
        <v>-1574401.7017999997</v>
      </c>
      <c r="IL264" s="371">
        <f>IK264+IL107</f>
        <v>-1576947.7267999996</v>
      </c>
      <c r="IM264" s="371">
        <f>IG264+IM107</f>
        <v>-1576947.7267999996</v>
      </c>
      <c r="IN264" s="371">
        <f>IM264+IN107</f>
        <v>-1384862.3147999996</v>
      </c>
      <c r="IO264" s="371">
        <f>IN264+IO107</f>
        <v>-1450266.4307999995</v>
      </c>
      <c r="IP264" s="371" t="e">
        <f>#REF!+IP107</f>
        <v>#REF!</v>
      </c>
      <c r="IQ264" s="371">
        <f>IM264+IQ107</f>
        <v>-1530975.7607999996</v>
      </c>
      <c r="IR264" s="371">
        <f>IQ264+IR107</f>
        <v>-1539144.5577999996</v>
      </c>
      <c r="IS264" s="371">
        <f>IR264+IS107</f>
        <v>-1572979.4407999995</v>
      </c>
      <c r="IT264" s="371">
        <f>IS264+IT107</f>
        <v>-1536963.3197999995</v>
      </c>
      <c r="IU264" s="371">
        <f>IT264+IU107</f>
        <v>-1617839.9337999995</v>
      </c>
      <c r="IV264" s="371">
        <f>IU264+IV107</f>
        <v>-1624262.8497999995</v>
      </c>
      <c r="IW264" s="371">
        <f>IQ264+IW107</f>
        <v>-1624262.8497999997</v>
      </c>
      <c r="IX264" s="371">
        <f>IW264+IX107</f>
        <v>-1633482.5817999998</v>
      </c>
      <c r="IY264" s="371">
        <f>IX264+IY107</f>
        <v>-1412948.1776999999</v>
      </c>
      <c r="IZ264" s="371">
        <f>IY264+IZ107</f>
        <v>-1741977.4227</v>
      </c>
      <c r="JA264" s="371">
        <f>IZ264+JA107</f>
        <v>-1795260.7327000001</v>
      </c>
      <c r="JB264" s="371">
        <f>JA264+JB107</f>
        <v>-1849825.8067000001</v>
      </c>
      <c r="JC264" s="371">
        <f>IW264+JC107</f>
        <v>-1849825.8066999996</v>
      </c>
      <c r="JD264" s="371">
        <f>ID264+JD107</f>
        <v>-1849825.8066999994</v>
      </c>
      <c r="JE264" s="371">
        <f>JD264+JE107</f>
        <v>-2269401.4176999992</v>
      </c>
      <c r="JF264" s="371">
        <f>JE264+JF107</f>
        <v>-2291920.052699999</v>
      </c>
      <c r="JG264" s="371">
        <f>JF264+JG107</f>
        <v>-2318778.6216999991</v>
      </c>
      <c r="JH264" s="371">
        <f>JG264+JH107</f>
        <v>-2336229.2156999991</v>
      </c>
      <c r="JI264" s="371">
        <f>JH264+JI107</f>
        <v>-2129017.9716999992</v>
      </c>
      <c r="JJ264" s="371">
        <f>JD264+JJ107</f>
        <v>-2129017.9716999992</v>
      </c>
      <c r="JK264" s="371">
        <f>JJ264+JK107</f>
        <v>-2129017.9716999992</v>
      </c>
      <c r="JL264" s="371">
        <f>JK264+JL107</f>
        <v>-2129017.9716999992</v>
      </c>
      <c r="JM264" s="371">
        <f>JL264+JM107</f>
        <v>-2129017.9716999992</v>
      </c>
      <c r="JN264" s="371">
        <f>JM264+JN107</f>
        <v>-2129017.9716999992</v>
      </c>
      <c r="JO264" s="371">
        <f>JN264+JO107</f>
        <v>-2129017.9716999992</v>
      </c>
      <c r="JP264" s="371">
        <f>JJ264+JP107</f>
        <v>-2129017.9716999992</v>
      </c>
      <c r="JQ264" s="371">
        <f>JP264+JQ107</f>
        <v>-2129017.9716999992</v>
      </c>
      <c r="JR264" s="371">
        <f>JQ264+JR107</f>
        <v>-2129017.9716999992</v>
      </c>
      <c r="JS264" s="371">
        <f>JR264+JS107</f>
        <v>-2129017.9716999992</v>
      </c>
      <c r="JT264" s="371">
        <f>JS264+JT107</f>
        <v>-2129017.9716999992</v>
      </c>
      <c r="JU264" s="371">
        <f>JT264+JU107</f>
        <v>-2129017.9716999992</v>
      </c>
      <c r="JV264" s="371">
        <f>JP264+JV107</f>
        <v>-2129017.9716999992</v>
      </c>
      <c r="JW264" s="371">
        <f>JV264+JW107</f>
        <v>-2129017.9716999992</v>
      </c>
      <c r="JX264" s="371">
        <f>JW264+JX107</f>
        <v>-2129017.9716999992</v>
      </c>
      <c r="JY264" s="371">
        <f>JX264+JY107</f>
        <v>-2129017.9716999992</v>
      </c>
      <c r="JZ264" s="371">
        <f>JY264+JZ107</f>
        <v>-2129017.9716999992</v>
      </c>
      <c r="KA264" s="371"/>
      <c r="KB264" s="371">
        <f>JZ264+KB107</f>
        <v>-2129017.9716999992</v>
      </c>
      <c r="KC264" s="371">
        <f>JV264+KC107</f>
        <v>-2129017.9716999992</v>
      </c>
      <c r="KD264" s="371">
        <f>JD264+KD107</f>
        <v>-3960169.0116999997</v>
      </c>
      <c r="KE264" s="371">
        <f>KD264+KE107</f>
        <v>-3960169.0116999997</v>
      </c>
      <c r="KF264" s="371">
        <f>KE264+KF107</f>
        <v>-3960169.0116999997</v>
      </c>
      <c r="KG264" s="371">
        <f>KF264+KG107</f>
        <v>-3960169.0116999997</v>
      </c>
      <c r="KH264" s="371">
        <f>KG264+KH107</f>
        <v>-3960169.0116999997</v>
      </c>
      <c r="KI264" s="371">
        <f>KH264+KI107</f>
        <v>-3960169.0116999997</v>
      </c>
      <c r="KJ264" s="371">
        <f>KD264+KJ107</f>
        <v>-3960169.0116999997</v>
      </c>
      <c r="KK264" s="371">
        <f>KJ264+KK107</f>
        <v>-3960169.0116999997</v>
      </c>
      <c r="KL264" s="371">
        <f>KK264+KL107</f>
        <v>-3960169.0116999997</v>
      </c>
      <c r="KM264" s="371">
        <f>KL264+KM107</f>
        <v>-3960169.0116999997</v>
      </c>
      <c r="KN264" s="371">
        <f>KM264+KN107</f>
        <v>-3960169.0116999997</v>
      </c>
      <c r="KO264" s="371">
        <f>KN264+KO107</f>
        <v>-3960169.0116999997</v>
      </c>
      <c r="KP264" s="371">
        <f>KJ264+KP107</f>
        <v>-3960169.0116999997</v>
      </c>
      <c r="KQ264" s="371">
        <f>KP264+KQ107</f>
        <v>-3960169.0116999997</v>
      </c>
      <c r="KR264" s="371">
        <f>KQ264+KR107</f>
        <v>-3960169.0116999997</v>
      </c>
      <c r="KS264" s="371">
        <f>KR264+KS107</f>
        <v>-3960169.0116999997</v>
      </c>
      <c r="KT264" s="371">
        <f>KS264+KT107</f>
        <v>-3960169.0116999997</v>
      </c>
      <c r="KU264" s="371">
        <f>KT264+KU107</f>
        <v>-3960169.0116999997</v>
      </c>
      <c r="KV264" s="371">
        <f>KP264+KV107</f>
        <v>-3960169.0116999997</v>
      </c>
      <c r="KW264" s="371">
        <f>KV264+KW107</f>
        <v>-3960169.0116999997</v>
      </c>
      <c r="KX264" s="371">
        <f>KW264+KX107</f>
        <v>-3960169.0116999997</v>
      </c>
      <c r="KY264" s="371">
        <f>KX264+KY107</f>
        <v>-3960169.0116999997</v>
      </c>
      <c r="KZ264" s="371">
        <f>KY264+KZ107</f>
        <v>-3960169.0116999997</v>
      </c>
      <c r="LA264" s="371">
        <f>KZ264+LA107</f>
        <v>-3960169.0116999997</v>
      </c>
      <c r="LB264" s="371">
        <f>KV264+LB107</f>
        <v>-3960169.0116999997</v>
      </c>
      <c r="LC264" s="371">
        <f>LB264+LC107</f>
        <v>-3960169.0116999997</v>
      </c>
      <c r="LD264" s="371">
        <f>LC264+LD107</f>
        <v>-3960169.0116999997</v>
      </c>
      <c r="LE264" s="371">
        <f>LD264+LE107</f>
        <v>-3960169.0116999997</v>
      </c>
      <c r="LF264" s="371">
        <f>LB264+LF107</f>
        <v>-3960169.0116999997</v>
      </c>
      <c r="LG264" s="371">
        <f>KD264+LG107</f>
        <v>-4331570.1516999993</v>
      </c>
      <c r="LI264" s="368">
        <v>1250000</v>
      </c>
    </row>
    <row r="265" spans="1:322" s="370" customFormat="1">
      <c r="HD265" s="368"/>
      <c r="HE265" s="368"/>
      <c r="HF265" s="368"/>
      <c r="HG265" s="368"/>
      <c r="HH265" s="368"/>
      <c r="HI265" s="368"/>
      <c r="HJ265" s="368"/>
      <c r="HK265" s="368"/>
      <c r="HL265" s="368"/>
      <c r="HM265" s="368"/>
      <c r="HN265" s="368"/>
      <c r="HO265" s="368"/>
      <c r="HP265" s="368"/>
      <c r="HQ265" s="368"/>
      <c r="HR265" s="368"/>
      <c r="HS265" s="368"/>
      <c r="HT265" s="368"/>
      <c r="HU265" s="368"/>
      <c r="HV265" s="368"/>
      <c r="HW265" s="368"/>
      <c r="HX265" s="368"/>
      <c r="HY265" s="368"/>
      <c r="HZ265" s="368"/>
      <c r="IA265" s="368"/>
      <c r="IB265" s="368"/>
      <c r="IC265" s="368"/>
      <c r="ID265" s="368"/>
      <c r="IE265" s="368"/>
      <c r="IF265" s="368"/>
      <c r="IG265" s="368"/>
      <c r="IH265" s="368"/>
      <c r="II265" s="368"/>
      <c r="IJ265" s="368"/>
      <c r="IK265" s="368"/>
      <c r="IL265" s="368"/>
      <c r="IM265" s="368"/>
      <c r="IN265" s="368"/>
      <c r="IO265" s="368"/>
      <c r="IP265" s="368"/>
      <c r="IQ265" s="368"/>
      <c r="IR265" s="368"/>
      <c r="IS265" s="368"/>
      <c r="IT265" s="368"/>
      <c r="IU265" s="368"/>
      <c r="IV265" s="368"/>
      <c r="IW265" s="368"/>
      <c r="IX265" s="368"/>
      <c r="IY265" s="368"/>
      <c r="IZ265" s="368"/>
      <c r="JA265" s="368"/>
      <c r="JB265" s="368"/>
      <c r="JC265" s="368"/>
      <c r="JD265" s="368"/>
      <c r="JE265" s="368"/>
      <c r="JF265" s="368"/>
      <c r="JG265" s="368"/>
      <c r="JH265" s="368"/>
      <c r="JI265" s="368"/>
      <c r="JJ265" s="368"/>
      <c r="JK265" s="368"/>
      <c r="JL265" s="368"/>
      <c r="JM265" s="368"/>
      <c r="JN265" s="368"/>
      <c r="JO265" s="368"/>
      <c r="JP265" s="368"/>
      <c r="JQ265" s="368"/>
      <c r="JR265" s="368"/>
      <c r="JS265" s="368"/>
      <c r="JT265" s="368"/>
      <c r="JU265" s="368"/>
      <c r="JV265" s="368"/>
      <c r="JW265" s="368"/>
      <c r="JX265" s="368"/>
      <c r="JY265" s="368"/>
      <c r="JZ265" s="368"/>
      <c r="KA265" s="368"/>
      <c r="KB265" s="368"/>
      <c r="KC265" s="368"/>
      <c r="KD265" s="368"/>
      <c r="KE265" s="368"/>
      <c r="KF265" s="368"/>
      <c r="KG265" s="368"/>
      <c r="KH265" s="368"/>
      <c r="KI265" s="368"/>
      <c r="KJ265" s="368"/>
      <c r="KK265" s="368"/>
      <c r="KL265" s="368"/>
      <c r="KM265" s="368"/>
      <c r="KN265" s="368"/>
      <c r="KO265" s="368"/>
      <c r="KP265" s="368"/>
      <c r="KQ265" s="368"/>
      <c r="KR265" s="368"/>
      <c r="KS265" s="368"/>
      <c r="KT265" s="368"/>
      <c r="KU265" s="368"/>
      <c r="KV265" s="368"/>
      <c r="KW265" s="368"/>
      <c r="KX265" s="368"/>
      <c r="KY265" s="368"/>
      <c r="KZ265" s="368"/>
      <c r="LA265" s="368"/>
      <c r="LB265" s="368"/>
      <c r="LC265" s="368"/>
      <c r="LD265" s="368"/>
      <c r="LE265" s="368"/>
      <c r="LF265" s="368"/>
      <c r="LG265" s="368"/>
      <c r="LI265" s="368"/>
    </row>
    <row r="266" spans="1:322" s="370" customFormat="1">
      <c r="A266" s="371" t="s">
        <v>13</v>
      </c>
      <c r="B266" s="371">
        <v>-461207.02600000001</v>
      </c>
      <c r="C266" s="371">
        <f>B266+C193</f>
        <v>-370997.30499999999</v>
      </c>
      <c r="D266" s="371">
        <f>B266+D193</f>
        <v>-370997.30499999999</v>
      </c>
      <c r="E266" s="371">
        <f>D266+E193</f>
        <v>-375528.51500000001</v>
      </c>
      <c r="F266" s="371">
        <f>E266+F193</f>
        <v>-421425.80100000004</v>
      </c>
      <c r="G266" s="371">
        <f>F266+G193</f>
        <v>-436428.13500000001</v>
      </c>
      <c r="H266" s="371">
        <f>G266+H193</f>
        <v>-436442.29499999998</v>
      </c>
      <c r="I266" s="371">
        <f>H266+I193</f>
        <v>-488152.337</v>
      </c>
      <c r="J266" s="371">
        <f>D266+J193</f>
        <v>-488152.337</v>
      </c>
      <c r="K266" s="371">
        <f>J266+K193</f>
        <v>-477927.08</v>
      </c>
      <c r="L266" s="371">
        <f>K266+L193</f>
        <v>-477927.08</v>
      </c>
      <c r="M266" s="371">
        <f>L266+M193</f>
        <v>-541947.79500000004</v>
      </c>
      <c r="N266" s="371">
        <f>M266+N193</f>
        <v>-551148.196</v>
      </c>
      <c r="O266" s="371">
        <f>J266+O193</f>
        <v>-555611.66700000002</v>
      </c>
      <c r="P266" s="371">
        <f>O266+P193</f>
        <v>-549385.98</v>
      </c>
      <c r="Q266" s="371">
        <f>P266+Q193</f>
        <v>-551507.34600000002</v>
      </c>
      <c r="R266" s="371">
        <f>Q266+R193</f>
        <v>-583565.71700000006</v>
      </c>
      <c r="S266" s="371">
        <f>R266+S193</f>
        <v>-587183.3870000001</v>
      </c>
      <c r="T266" s="371">
        <f>S266+T193</f>
        <v>-722354.85000000009</v>
      </c>
      <c r="U266" s="371">
        <f>O266+U193</f>
        <v>-722354.85</v>
      </c>
      <c r="V266" s="371">
        <f t="shared" ref="V266:AA266" si="753">U266+V193</f>
        <v>-584328.56599999999</v>
      </c>
      <c r="W266" s="371">
        <f t="shared" si="753"/>
        <v>-580008.13699999999</v>
      </c>
      <c r="X266" s="371">
        <f t="shared" si="753"/>
        <v>-674347.60800000001</v>
      </c>
      <c r="Y266" s="371">
        <f t="shared" si="753"/>
        <v>-672495.61699999997</v>
      </c>
      <c r="Z266" s="371">
        <f t="shared" si="753"/>
        <v>-805959.73499999999</v>
      </c>
      <c r="AA266" s="371">
        <f t="shared" si="753"/>
        <v>-889564.61999999988</v>
      </c>
      <c r="AB266" s="371">
        <f>B266+AB193</f>
        <v>-805959.73499999987</v>
      </c>
      <c r="AC266" s="371">
        <f>AB266+AC193</f>
        <v>-697031.8879999998</v>
      </c>
      <c r="AD266" s="371">
        <f>AC266+AD193</f>
        <v>-710214.47099999979</v>
      </c>
      <c r="AE266" s="371">
        <f>AD266+AE193</f>
        <v>-599560.27299999981</v>
      </c>
      <c r="AF266" s="371">
        <f>AE266+AF193</f>
        <v>-573637.27199999976</v>
      </c>
      <c r="AG266" s="371">
        <f>AF266+AG193</f>
        <v>-633215.75699999975</v>
      </c>
      <c r="AH266" s="371">
        <f>AB266+AH193</f>
        <v>-633215.75699999998</v>
      </c>
      <c r="AI266" s="371">
        <f>AH266+AI193</f>
        <v>-633160.33699999994</v>
      </c>
      <c r="AJ266" s="371">
        <f>AI266+AJ193</f>
        <v>-410226.16199999995</v>
      </c>
      <c r="AK266" s="371">
        <f>AJ266+AK193</f>
        <v>-414164.20699999994</v>
      </c>
      <c r="AL266" s="371">
        <f>AK266+AL193</f>
        <v>-213595.67699999994</v>
      </c>
      <c r="AM266" s="371">
        <f>AL266+AM193</f>
        <v>-339244.96799999994</v>
      </c>
      <c r="AN266" s="371">
        <f>AH266+AN193</f>
        <v>-339244.96799999994</v>
      </c>
      <c r="AO266" s="371">
        <f>AN266+AO193</f>
        <v>-388109.34099999996</v>
      </c>
      <c r="AP266" s="371">
        <f>AO266+AP193</f>
        <v>-396445.17699999997</v>
      </c>
      <c r="AQ266" s="371">
        <f>AP266+AQ193</f>
        <v>-397256.57399999996</v>
      </c>
      <c r="AR266" s="371">
        <f>AQ266+AR193</f>
        <v>-363728.26199999999</v>
      </c>
      <c r="AS266" s="371">
        <f>AR266+AS193</f>
        <v>-582363.80200000003</v>
      </c>
      <c r="AT266" s="371">
        <f>AN266+AT193</f>
        <v>-582363.80199999991</v>
      </c>
      <c r="AU266" s="371">
        <f>AT266+AU193</f>
        <v>-491234.07899999991</v>
      </c>
      <c r="AV266" s="371">
        <f>AU266+AV193</f>
        <v>-493376.9599999999</v>
      </c>
      <c r="AW266" s="371">
        <f>AV266+AW193</f>
        <v>-501778.08299999993</v>
      </c>
      <c r="AX266" s="371">
        <f>AW266+AX193</f>
        <v>-509240.14699999994</v>
      </c>
      <c r="AY266" s="371">
        <f>AX266+AY193</f>
        <v>-649893.69799999997</v>
      </c>
      <c r="AZ266" s="371">
        <f>AT266+AZ193</f>
        <v>-649893.69799999986</v>
      </c>
      <c r="BA266" s="371">
        <f>AB266+BA193</f>
        <v>-649893.69799999986</v>
      </c>
      <c r="BB266" s="371">
        <f>BA266+BB193</f>
        <v>-145092.6509999999</v>
      </c>
      <c r="BC266" s="371">
        <f>BB266+BC193</f>
        <v>-809336.94199999981</v>
      </c>
      <c r="BD266" s="371">
        <f>BC266+BD193</f>
        <v>-771675.55999999982</v>
      </c>
      <c r="BE266" s="371">
        <f>BD266+BE193</f>
        <v>-623073.88599999982</v>
      </c>
      <c r="BF266" s="371">
        <f>BE266+BF193</f>
        <v>-638894.00999999978</v>
      </c>
      <c r="BG266" s="371">
        <f>BA266+BG193</f>
        <v>-638894.00999999989</v>
      </c>
      <c r="BH266" s="371">
        <f>BG266+BH193</f>
        <v>-858976.04899999988</v>
      </c>
      <c r="BI266" s="371">
        <f>BH266+BI193</f>
        <v>-600726.30999999982</v>
      </c>
      <c r="BJ266" s="371">
        <f>BI266+BJ193</f>
        <v>-605611.14399999985</v>
      </c>
      <c r="BK266" s="371">
        <f>BJ266+BK193</f>
        <v>-616392.27099999983</v>
      </c>
      <c r="BL266" s="371">
        <f>BK266+BL193</f>
        <v>-591131.10399999982</v>
      </c>
      <c r="BM266" s="371">
        <f>BG266+BM193</f>
        <v>-591131.10399999993</v>
      </c>
      <c r="BN266" s="371">
        <f>BM266+BN193</f>
        <v>-560599.97899999993</v>
      </c>
      <c r="BO266" s="371">
        <f>BN266+BO193</f>
        <v>-565540.21899999992</v>
      </c>
      <c r="BP266" s="371">
        <f>BO266+BP193</f>
        <v>-570395.60099999991</v>
      </c>
      <c r="BQ266" s="371">
        <f>BP266+BQ193</f>
        <v>-588222.55799999996</v>
      </c>
      <c r="BR266" s="371">
        <f>BM266+BR193</f>
        <v>-588222.55799999996</v>
      </c>
      <c r="BS266" s="371">
        <f>BR266+BS193</f>
        <v>-593194.21499999997</v>
      </c>
      <c r="BT266" s="371">
        <f>BS266+BT193</f>
        <v>-593985.63799999992</v>
      </c>
      <c r="BU266" s="371">
        <f>BT266+BU193</f>
        <v>-644121.68799999997</v>
      </c>
      <c r="BV266" s="371">
        <f>BU266+BV193</f>
        <v>-652237.87099999993</v>
      </c>
      <c r="BW266" s="371">
        <f>BV266+BW193</f>
        <v>-743144.73599999992</v>
      </c>
      <c r="BX266" s="371">
        <f>BR266+BX193</f>
        <v>-743144.73600000003</v>
      </c>
      <c r="BY266" s="371">
        <f>BX266+BY193</f>
        <v>-766106.25699999998</v>
      </c>
      <c r="BZ266" s="371">
        <f>BY266+BZ193</f>
        <v>-709092.24800000002</v>
      </c>
      <c r="CA266" s="371">
        <f>BX266+CA193</f>
        <v>-709092.24800000002</v>
      </c>
      <c r="CB266" s="371">
        <f>BA266+CB193</f>
        <v>-709092.24799999944</v>
      </c>
      <c r="CC266" s="371">
        <f>CB266+CC193</f>
        <v>-711859.7569999994</v>
      </c>
      <c r="CD266" s="371">
        <f>CC266+CD193</f>
        <v>-720001.41299999936</v>
      </c>
      <c r="CE266" s="371">
        <f>CD266+CE193</f>
        <v>-788666.25499999942</v>
      </c>
      <c r="CF266" s="371">
        <f>CB266+CF193</f>
        <v>-788666.25499999942</v>
      </c>
      <c r="CG266" s="371">
        <f>CF266+CG193</f>
        <v>-641741.37899999949</v>
      </c>
      <c r="CH266" s="371">
        <f>CG266+CH193</f>
        <v>-602068.73899999948</v>
      </c>
      <c r="CI266" s="371">
        <f>CH266+CI193</f>
        <v>-603178.09199999948</v>
      </c>
      <c r="CJ266" s="371">
        <f>CI266+CJ193</f>
        <v>-600382.61399999948</v>
      </c>
      <c r="CK266" s="371">
        <f>CF266+CK193</f>
        <v>-600382.61399999936</v>
      </c>
      <c r="CL266" s="371">
        <f>CK266+CL193</f>
        <v>-668998.84199999936</v>
      </c>
      <c r="CM266" s="371">
        <f>CL266+CM193</f>
        <v>-710176.91199999931</v>
      </c>
      <c r="CN266" s="371">
        <f>CM266+CN193</f>
        <v>-712544.76299999934</v>
      </c>
      <c r="CO266" s="371">
        <f>CN266+CO193</f>
        <v>-768173.83899999934</v>
      </c>
      <c r="CP266" s="371">
        <f>CO266+CP193</f>
        <v>-761167.43899999931</v>
      </c>
      <c r="CQ266" s="371">
        <f>CK266+CQ193</f>
        <v>-761167.43899999943</v>
      </c>
      <c r="CR266" s="371">
        <f>CQ266+CR193</f>
        <v>-602220.55699999945</v>
      </c>
      <c r="CS266" s="371">
        <f>CR266+CS193</f>
        <v>-624302.86499999941</v>
      </c>
      <c r="CT266" s="371">
        <f>CS266+CT193</f>
        <v>-554847.78099999938</v>
      </c>
      <c r="CU266" s="371">
        <f>CT266+CU193</f>
        <v>-560035.19599999941</v>
      </c>
      <c r="CV266" s="371">
        <f>CU266+CV193</f>
        <v>-560937.53899999941</v>
      </c>
      <c r="CW266" s="371">
        <f>CQ266+CW193</f>
        <v>-560937.53899999941</v>
      </c>
      <c r="CX266" s="371">
        <f>CW266+CX193</f>
        <v>-566564.99399999937</v>
      </c>
      <c r="CY266" s="371">
        <f>CX266+CY193</f>
        <v>-576315.09699999937</v>
      </c>
      <c r="CZ266" s="371">
        <f>CY266+CZ193</f>
        <v>-577198.64099999936</v>
      </c>
      <c r="DA266" s="371">
        <f>CZ266+DA193</f>
        <v>-723493.30699999933</v>
      </c>
      <c r="DB266" s="371">
        <f>CW266+DB193</f>
        <v>-723493.30699999945</v>
      </c>
      <c r="DC266" s="371">
        <f>CB266+DC193</f>
        <v>-723493.3069999998</v>
      </c>
      <c r="DD266" s="371">
        <f>DC266+DD193</f>
        <v>-596349.92999999982</v>
      </c>
      <c r="DE266" s="371">
        <f>DD266+DE193</f>
        <v>-672729.3879999998</v>
      </c>
      <c r="DF266" s="371">
        <f>DE266+DF193</f>
        <v>-675898.02199999976</v>
      </c>
      <c r="DG266" s="371">
        <f>DF266+DG193</f>
        <v>-669768.44399999978</v>
      </c>
      <c r="DH266" s="371">
        <f>DG266+DH193</f>
        <v>-669873.35799999977</v>
      </c>
      <c r="DI266" s="371">
        <f>DC266+DI193</f>
        <v>-669873.35799999977</v>
      </c>
      <c r="DJ266" s="371">
        <f>DI266+DJ193</f>
        <v>-705789.19199999981</v>
      </c>
      <c r="DK266" s="371">
        <f>DJ266+DK193</f>
        <v>-712067.29999999981</v>
      </c>
      <c r="DL266" s="371">
        <f>DK266+DL193</f>
        <v>-715719.57199999981</v>
      </c>
      <c r="DM266" s="371">
        <f>DL266+DM193</f>
        <v>-719590.48199999984</v>
      </c>
      <c r="DN266" s="371">
        <f>DM266+DN193</f>
        <v>-767108.07099999988</v>
      </c>
      <c r="DO266" s="371">
        <f>DI266+DO193</f>
        <v>-767108.07099999976</v>
      </c>
      <c r="DP266" s="371">
        <f>DO266+DP193</f>
        <v>-780635.32499999972</v>
      </c>
      <c r="DQ266" s="371">
        <f>DP266+DQ193</f>
        <v>-982691.36099999968</v>
      </c>
      <c r="DR266" s="371">
        <f>DQ266+DR193</f>
        <v>-835544.08899999969</v>
      </c>
      <c r="DS266" s="371">
        <f>DR266+DS193</f>
        <v>-849879.91399999964</v>
      </c>
      <c r="DT266" s="371">
        <f>DS266+DT193</f>
        <v>-880649.79099999962</v>
      </c>
      <c r="DU266" s="371">
        <f>DO266+DU193</f>
        <v>-880649.79099999974</v>
      </c>
      <c r="DV266" s="371">
        <f>DU266+DV193</f>
        <v>-854419.0279999997</v>
      </c>
      <c r="DW266" s="371">
        <f>DV266+DW193</f>
        <v>-863244.92299999972</v>
      </c>
      <c r="DX266" s="371">
        <f>DW266+DX193</f>
        <v>-874589.69499999972</v>
      </c>
      <c r="DY266" s="371">
        <f>DX266+DY193</f>
        <v>-878891.32899999968</v>
      </c>
      <c r="DZ266" s="371">
        <f>DY266+DZ193</f>
        <v>-890201.36999999965</v>
      </c>
      <c r="EA266" s="371">
        <f>DU266+EA193</f>
        <v>-890201.36999999976</v>
      </c>
      <c r="EB266" s="371">
        <f>DC266+EB193</f>
        <v>-890201.36999999988</v>
      </c>
      <c r="EC266" s="371">
        <f>EB266+EC193</f>
        <v>-975815.37699999986</v>
      </c>
      <c r="ED266" s="371">
        <f>EC266+ED193</f>
        <v>-867530.21499999985</v>
      </c>
      <c r="EE266" s="371">
        <f>ED266+EE193</f>
        <v>-952094.85699999973</v>
      </c>
      <c r="EF266" s="371">
        <f>EE266+EF193</f>
        <v>-932357.7019999997</v>
      </c>
      <c r="EG266" s="371">
        <f>EF266+EG193</f>
        <v>-937552.24899999972</v>
      </c>
      <c r="EH266" s="371">
        <f>EB266+EH193</f>
        <v>-937552.24899999984</v>
      </c>
      <c r="EI266" s="371">
        <f>EH266+EI193</f>
        <v>-942460.24899999984</v>
      </c>
      <c r="EJ266" s="371">
        <f>EI266+EJ193</f>
        <v>-958967.41299999983</v>
      </c>
      <c r="EK266" s="371">
        <f>EJ266+EK193</f>
        <v>-967782.69999999984</v>
      </c>
      <c r="EL266" s="371">
        <f>EK266+EL193</f>
        <v>-968485.29999999981</v>
      </c>
      <c r="EM266" s="371">
        <f>EL266+EM193</f>
        <v>-999311.27199999976</v>
      </c>
      <c r="EN266" s="371">
        <f>EH266+EN193</f>
        <v>-999311.27199999988</v>
      </c>
      <c r="EO266" s="371">
        <f>EN266+EO193</f>
        <v>-1019551.9139999999</v>
      </c>
      <c r="EP266" s="371">
        <f>EO266+EP193</f>
        <v>-1004955.4119999999</v>
      </c>
      <c r="EQ266" s="371">
        <f>EP266+EQ193</f>
        <v>-1006308.1099999999</v>
      </c>
      <c r="ER266" s="371">
        <f>EQ266+ER193</f>
        <v>-1014516.5389999999</v>
      </c>
      <c r="ES266" s="371">
        <f>ER266+ES193</f>
        <v>-1019379.4809999999</v>
      </c>
      <c r="ET266" s="371">
        <f>EN266+ET193</f>
        <v>-1019379.4809999999</v>
      </c>
      <c r="EU266" s="371">
        <f t="shared" ref="EU266:FA266" si="754">ET266+EU193</f>
        <v>-1028939.0759999999</v>
      </c>
      <c r="EV266" s="371">
        <f t="shared" si="754"/>
        <v>-1040332.0109999999</v>
      </c>
      <c r="EW266" s="371">
        <f t="shared" si="754"/>
        <v>-1041495.9879999999</v>
      </c>
      <c r="EX266" s="371">
        <f t="shared" si="754"/>
        <v>-1043288.9889999999</v>
      </c>
      <c r="EY266" s="371">
        <f t="shared" si="754"/>
        <v>-851433.45499999996</v>
      </c>
      <c r="EZ266" s="371">
        <f t="shared" si="754"/>
        <v>-982918.35299999989</v>
      </c>
      <c r="FA266" s="371">
        <f t="shared" si="754"/>
        <v>-1120505.7769999998</v>
      </c>
      <c r="FB266" s="371">
        <f>ET266+FB193</f>
        <v>-1120505.777</v>
      </c>
      <c r="FC266" s="371">
        <f>EB266+FC193</f>
        <v>-1120505.7769999998</v>
      </c>
      <c r="FD266" s="371">
        <f>FC266+FD193</f>
        <v>-1180902.1339999998</v>
      </c>
      <c r="FE266" s="371">
        <f>FD266+FE193</f>
        <v>-1134539.3869999999</v>
      </c>
      <c r="FF266" s="371">
        <f>FE266+FF193</f>
        <v>-1159546.3269999998</v>
      </c>
      <c r="FG266" s="371">
        <f>FC266+FG193</f>
        <v>-1159546.3269999998</v>
      </c>
      <c r="FH266" s="371">
        <f>FG266+FH193</f>
        <v>-1201568.9389999998</v>
      </c>
      <c r="FI266" s="371">
        <f>FH266+FI193</f>
        <v>-886471.99974999973</v>
      </c>
      <c r="FJ266" s="371">
        <f>FI266+FJ193</f>
        <v>-1186471.9997499997</v>
      </c>
      <c r="FK266" s="371">
        <f>FJ266+FK193</f>
        <v>-1005318.1527499998</v>
      </c>
      <c r="FL266" s="371">
        <f>FK266+FL193</f>
        <v>-1019471.5767499998</v>
      </c>
      <c r="FM266" s="371">
        <f>FG266+FM193</f>
        <v>-1019471.5767499999</v>
      </c>
      <c r="FN266" s="371">
        <f>FM266+FN193</f>
        <v>-1264511.0327499998</v>
      </c>
      <c r="FO266" s="371">
        <f>FN266+FO193</f>
        <v>-1272143.9017499997</v>
      </c>
      <c r="FP266" s="371">
        <f>FO266+FP193</f>
        <v>-1247300.2797499998</v>
      </c>
      <c r="FQ266" s="371">
        <f>FP266+FQ193</f>
        <v>-1259574.8527499998</v>
      </c>
      <c r="FR266" s="371">
        <f>FM266+FR193</f>
        <v>-1259574.8527499998</v>
      </c>
      <c r="FS266" s="371">
        <f>FR266+FS193</f>
        <v>-1299322.1297499998</v>
      </c>
      <c r="FT266" s="371">
        <f>FS266+FT193</f>
        <v>-1256220.2457499998</v>
      </c>
      <c r="FU266" s="371">
        <f>FT266+FU193</f>
        <v>-1263322.1067499998</v>
      </c>
      <c r="FV266" s="371">
        <f>FU266+FV193</f>
        <v>-1334381.3637499998</v>
      </c>
      <c r="FW266" s="371">
        <f>FV266+FW193</f>
        <v>-1337058.8567499998</v>
      </c>
      <c r="FX266" s="371">
        <f>FR266+FX193</f>
        <v>-1337058.8567499998</v>
      </c>
      <c r="FY266" s="371">
        <f>FX266+FY193</f>
        <v>-1340432.9897499997</v>
      </c>
      <c r="FZ266" s="371">
        <f>FY266+FZ193</f>
        <v>-1342247.5887499996</v>
      </c>
      <c r="GA266" s="371">
        <f>FZ266+GA193</f>
        <v>-1327955.0487499996</v>
      </c>
      <c r="GB266" s="371">
        <f>GA266+GB193</f>
        <v>-1466588.6287499997</v>
      </c>
      <c r="GC266" s="371">
        <f>GB266+GC193</f>
        <v>-1422986.6357499997</v>
      </c>
      <c r="GD266" s="371">
        <f>FX266+GD193</f>
        <v>-1422986.6357499999</v>
      </c>
      <c r="GE266" s="371">
        <f>FC266+GE193</f>
        <v>-1422986.6357500004</v>
      </c>
      <c r="GF266" s="371">
        <f>GE266+GF193</f>
        <v>-1377144.9237500003</v>
      </c>
      <c r="GG266" s="371">
        <f>GF266+GG193</f>
        <v>-1391883.4837500004</v>
      </c>
      <c r="GH266" s="371">
        <f>GG266+GH193</f>
        <v>-1407482.6527500004</v>
      </c>
      <c r="GI266" s="371">
        <f>GH266+GI193</f>
        <v>-1439771.4977500003</v>
      </c>
      <c r="GJ266" s="371">
        <f>GI266+GJ193</f>
        <v>-1348421.4557500004</v>
      </c>
      <c r="GK266" s="371">
        <f>GE266+GK193</f>
        <v>-1348421.4557500004</v>
      </c>
      <c r="GL266" s="371">
        <f>GK266+GL193</f>
        <v>-1350801.0867500005</v>
      </c>
      <c r="GM266" s="371">
        <f>GL266+GM193</f>
        <v>-1345292.1947500005</v>
      </c>
      <c r="GN266" s="371">
        <f>GM266+GN193</f>
        <v>-1320856.1987500004</v>
      </c>
      <c r="GO266" s="371">
        <f>GN266+GO193</f>
        <v>-1326760.3927500003</v>
      </c>
      <c r="GP266" s="371">
        <f>GK266+GP193</f>
        <v>-1326760.3927500003</v>
      </c>
      <c r="GQ266" s="371">
        <f>GP266+GQ193</f>
        <v>-1027603.6072500004</v>
      </c>
      <c r="GR266" s="371">
        <f>GQ266+GR193</f>
        <v>-1010396.8282500004</v>
      </c>
      <c r="GS266" s="371">
        <f>GR266+GS193</f>
        <v>-1327285.5762500004</v>
      </c>
      <c r="GT266" s="371">
        <f>GS266+GT193</f>
        <v>-1334237.8372500003</v>
      </c>
      <c r="GU266" s="371">
        <f>GT266+GU193</f>
        <v>-1336583.7872500003</v>
      </c>
      <c r="GV266" s="371">
        <f>GP266+GV193</f>
        <v>-1336583.7872500003</v>
      </c>
      <c r="GW266" s="371">
        <f t="shared" ref="GW266:HB266" si="755">GV266+GW193</f>
        <v>-1340245.0972500003</v>
      </c>
      <c r="GX266" s="371">
        <f t="shared" si="755"/>
        <v>-1344468.0342500003</v>
      </c>
      <c r="GY266" s="371">
        <f t="shared" si="755"/>
        <v>-1348269.4082500003</v>
      </c>
      <c r="GZ266" s="371">
        <f t="shared" si="755"/>
        <v>-1348269.4082500003</v>
      </c>
      <c r="HA266" s="371">
        <f t="shared" si="755"/>
        <v>-1417273.5422500004</v>
      </c>
      <c r="HB266" s="371">
        <f t="shared" si="755"/>
        <v>-1397617.2092500003</v>
      </c>
      <c r="HC266" s="371">
        <f>GV266+HC193</f>
        <v>-1397772.5632500004</v>
      </c>
      <c r="HD266" s="371">
        <f>GE266+HD193</f>
        <v>-1397772.5632500006</v>
      </c>
      <c r="HE266" s="371">
        <f>HD266+HE193</f>
        <v>-1387056.2412500007</v>
      </c>
      <c r="HF266" s="371">
        <f>HE266+HF193</f>
        <v>-1389207.7052500006</v>
      </c>
      <c r="HG266" s="371">
        <f>HF266+HG193</f>
        <v>-1407520.1092500007</v>
      </c>
      <c r="HH266" s="371">
        <f>HG266+HH193</f>
        <v>-1420861.1062500007</v>
      </c>
      <c r="HI266" s="371">
        <f>HD266+HI193</f>
        <v>-1420861.1062500007</v>
      </c>
      <c r="HJ266" s="371">
        <f>HI266+HJ193</f>
        <v>-1433568.5822500007</v>
      </c>
      <c r="HK266" s="371">
        <f>HJ266+HK193</f>
        <v>-1436306.2842500007</v>
      </c>
      <c r="HL266" s="371">
        <f>HK266+HL193</f>
        <v>-1445359.9272500006</v>
      </c>
      <c r="HM266" s="371">
        <f>HL266+HM193</f>
        <v>-1446679.3392500007</v>
      </c>
      <c r="HN266" s="371">
        <f>HM266+HN193</f>
        <v>-1454403.5482500007</v>
      </c>
      <c r="HO266" s="371">
        <f>HI266+HO193</f>
        <v>-1454403.5482500007</v>
      </c>
      <c r="HP266" s="371">
        <f>HO266+HP193</f>
        <v>-1508235.2302500007</v>
      </c>
      <c r="HQ266" s="371">
        <f>HP266+HQ193</f>
        <v>-1490213.8422500007</v>
      </c>
      <c r="HR266" s="371">
        <f>HQ266+HR193</f>
        <v>-1406207.0832500006</v>
      </c>
      <c r="HS266" s="371">
        <f>HR266+HS193</f>
        <v>-1418890.2812500007</v>
      </c>
      <c r="HT266" s="371">
        <f>HS266+HT193</f>
        <v>-1454954.6172500006</v>
      </c>
      <c r="HU266" s="371">
        <f>HO266+HU193</f>
        <v>-1454954.6172500006</v>
      </c>
      <c r="HV266" s="371">
        <f>HU266+HV193</f>
        <v>-1416033.2572500005</v>
      </c>
      <c r="HW266" s="371">
        <f>HV266+HW193</f>
        <v>-1435191.6312500006</v>
      </c>
      <c r="HX266" s="371">
        <f>HW266+HX193</f>
        <v>-1391116.4392500005</v>
      </c>
      <c r="HY266" s="371">
        <f>HU266+HY193</f>
        <v>-1391116.4392500005</v>
      </c>
      <c r="HZ266" s="371">
        <f>HY266+HZ193</f>
        <v>-1393113.6232500004</v>
      </c>
      <c r="IA266" s="371">
        <f>HZ266+IA193</f>
        <v>-1393123.6532500004</v>
      </c>
      <c r="IB266" s="371">
        <f>IA266+IB193</f>
        <v>-1482784.7932500003</v>
      </c>
      <c r="IC266" s="371">
        <f>HY266+IC193</f>
        <v>-1482784.7932500006</v>
      </c>
      <c r="ID266" s="371">
        <f>HD266+ID193</f>
        <v>-1482784.7932500006</v>
      </c>
      <c r="IE266" s="371">
        <f>ID266+IE193</f>
        <v>-1409724.3442500005</v>
      </c>
      <c r="IF266" s="371" t="e">
        <f>#REF!+IF193</f>
        <v>#REF!</v>
      </c>
      <c r="IG266" s="371">
        <f>ID266+IG193</f>
        <v>-1417536.0522500006</v>
      </c>
      <c r="IH266" s="371">
        <f>IG266+IH193</f>
        <v>-1465634.3082500007</v>
      </c>
      <c r="II266" s="371">
        <f>IH266+II193</f>
        <v>-1467888.7572500007</v>
      </c>
      <c r="IJ266" s="371">
        <f>II266+IJ193</f>
        <v>-1474148.6492500007</v>
      </c>
      <c r="IK266" s="371">
        <f>IJ266+IK193</f>
        <v>-1544574.0832500006</v>
      </c>
      <c r="IL266" s="371">
        <f>IK266+IL193</f>
        <v>-1545526.3592500007</v>
      </c>
      <c r="IM266" s="371">
        <f>IG266+IM193</f>
        <v>-1545526.3592500007</v>
      </c>
      <c r="IN266" s="371">
        <f>IM266+IN193</f>
        <v>-1482894.2592500006</v>
      </c>
      <c r="IO266" s="371">
        <f>IN266+IO193</f>
        <v>-1798948.2702500005</v>
      </c>
      <c r="IP266" s="371" t="e">
        <f>#REF!+IP193</f>
        <v>#REF!</v>
      </c>
      <c r="IQ266" s="371">
        <f>IM266+IQ193</f>
        <v>-1491613.3992500007</v>
      </c>
      <c r="IR266" s="371">
        <f>IQ266+IR193</f>
        <v>-1524188.1702500007</v>
      </c>
      <c r="IS266" s="371">
        <f>IR266+IS193</f>
        <v>-1543481.3702500006</v>
      </c>
      <c r="IT266" s="371">
        <f>IS266+IT193</f>
        <v>-1545999.6112500005</v>
      </c>
      <c r="IU266" s="371">
        <f>IT266+IU193</f>
        <v>-1547216.5972500006</v>
      </c>
      <c r="IV266" s="371">
        <f>IU266+IV193</f>
        <v>-1585595.6052500005</v>
      </c>
      <c r="IW266" s="371">
        <f>IQ266+IW193</f>
        <v>-1585595.6052500007</v>
      </c>
      <c r="IX266" s="371">
        <f>IW266+IX193</f>
        <v>-1590426.1582500008</v>
      </c>
      <c r="IY266" s="371">
        <f>IX266+IY193</f>
        <v>-1845214.8092500009</v>
      </c>
      <c r="IZ266" s="371">
        <f>IY266+IZ193</f>
        <v>-1607076.0659800009</v>
      </c>
      <c r="JA266" s="371">
        <f>IZ266+JA193</f>
        <v>-1684404.4209800009</v>
      </c>
      <c r="JB266" s="371">
        <f>JA266+JB193</f>
        <v>-1734572.4799800008</v>
      </c>
      <c r="JC266" s="371">
        <f>IW266+JC193</f>
        <v>-1734572.4799800008</v>
      </c>
      <c r="JD266" s="371">
        <f>ID266+JD193</f>
        <v>-1734572.4799800003</v>
      </c>
      <c r="JE266" s="371">
        <f>JD266+JE193</f>
        <v>-1742070.3249800003</v>
      </c>
      <c r="JF266" s="371">
        <f>JE266+JF193</f>
        <v>-1758213.0569800003</v>
      </c>
      <c r="JG266" s="371">
        <f>JF266+JG193</f>
        <v>-1777255.0809800003</v>
      </c>
      <c r="JH266" s="371">
        <f>JG266+JH193</f>
        <v>-1810336.6949800004</v>
      </c>
      <c r="JI266" s="371">
        <f>JH266+JI193</f>
        <v>-1815640.3269800004</v>
      </c>
      <c r="JJ266" s="371">
        <f>JD266+JJ193</f>
        <v>-1815640.3269800004</v>
      </c>
      <c r="JK266" s="371">
        <f>JJ266+JK193</f>
        <v>-1815640.3269800004</v>
      </c>
      <c r="JL266" s="371">
        <f>JK266+JL193</f>
        <v>-1815640.3269800004</v>
      </c>
      <c r="JM266" s="371">
        <f>JL266+JM193</f>
        <v>-1815640.3269800004</v>
      </c>
      <c r="JN266" s="371">
        <f>JM266+JN193</f>
        <v>-1815640.3269800004</v>
      </c>
      <c r="JO266" s="371">
        <f>JN266+JO193</f>
        <v>-1815640.3269800004</v>
      </c>
      <c r="JP266" s="371">
        <f>JJ266+JP193</f>
        <v>-1815640.3269800004</v>
      </c>
      <c r="JQ266" s="371">
        <f>JP266+JQ193</f>
        <v>-1815640.3269800004</v>
      </c>
      <c r="JR266" s="371">
        <f>JQ266+JR193</f>
        <v>-1815640.3269800004</v>
      </c>
      <c r="JS266" s="371">
        <f>JR266+JS193</f>
        <v>-1815640.3269800004</v>
      </c>
      <c r="JT266" s="371">
        <f>JS266+JT193</f>
        <v>-1815640.3269800004</v>
      </c>
      <c r="JU266" s="371">
        <f>JT266+JU193</f>
        <v>-1815640.3269800004</v>
      </c>
      <c r="JV266" s="371">
        <f>JP266+JV193</f>
        <v>-1815640.3269800004</v>
      </c>
      <c r="JW266" s="371">
        <f>JV266+JW193</f>
        <v>-1815640.3269800004</v>
      </c>
      <c r="JX266" s="371">
        <f>JW266+JX193</f>
        <v>-1815640.3269800004</v>
      </c>
      <c r="JY266" s="371">
        <f>JX266+JY193</f>
        <v>-1815640.3269800004</v>
      </c>
      <c r="JZ266" s="371">
        <f>JY266+JZ193</f>
        <v>-1815640.3269800004</v>
      </c>
      <c r="KA266" s="371"/>
      <c r="KB266" s="371">
        <f>JZ266+KB193</f>
        <v>-1815640.3269800004</v>
      </c>
      <c r="KC266" s="371">
        <f>JV266+KC193</f>
        <v>-1815640.3269800004</v>
      </c>
      <c r="KD266" s="371">
        <f>JD266+KD193</f>
        <v>-2217234.9509800002</v>
      </c>
      <c r="KE266" s="371">
        <f>KD266+KE193</f>
        <v>-2217234.9509800002</v>
      </c>
      <c r="KF266" s="371">
        <f>KE266+KF193</f>
        <v>-2217234.9509800002</v>
      </c>
      <c r="KG266" s="371">
        <f>KF266+KG193</f>
        <v>-2217234.9509800002</v>
      </c>
      <c r="KH266" s="371">
        <f>KG266+KH193</f>
        <v>-2217234.9509800002</v>
      </c>
      <c r="KI266" s="371">
        <f>KH266+KI193</f>
        <v>-2217234.9509800002</v>
      </c>
      <c r="KJ266" s="371">
        <f>KD266+KJ193</f>
        <v>-2217234.9509800002</v>
      </c>
      <c r="KK266" s="371">
        <f>KJ266+KK193</f>
        <v>-2217234.9509800002</v>
      </c>
      <c r="KL266" s="371">
        <f>KK266+KL193</f>
        <v>-2217234.9509800002</v>
      </c>
      <c r="KM266" s="371">
        <f>KL266+KM193</f>
        <v>-2217234.9509800002</v>
      </c>
      <c r="KN266" s="371">
        <f>KM266+KN193</f>
        <v>-2217234.9509800002</v>
      </c>
      <c r="KO266" s="371">
        <f>KN266+KO193</f>
        <v>-2217234.9509800002</v>
      </c>
      <c r="KP266" s="371">
        <f>KJ266+KP193</f>
        <v>-2217234.9509800002</v>
      </c>
      <c r="KQ266" s="371">
        <f>KP266+KQ193</f>
        <v>-2217234.9509800002</v>
      </c>
      <c r="KR266" s="371">
        <f>KQ266+KR193</f>
        <v>-2217234.9509800002</v>
      </c>
      <c r="KS266" s="371">
        <f>KR266+KS193</f>
        <v>-2217234.9509800002</v>
      </c>
      <c r="KT266" s="371">
        <f>KS266+KT193</f>
        <v>-2217234.9509800002</v>
      </c>
      <c r="KU266" s="371">
        <f>KT266+KU193</f>
        <v>-2217234.9509800002</v>
      </c>
      <c r="KV266" s="371">
        <f>KP266+KV193</f>
        <v>-2217234.9509800002</v>
      </c>
      <c r="KW266" s="371">
        <f>KV266+KW193</f>
        <v>-2217234.9509800002</v>
      </c>
      <c r="KX266" s="371">
        <f>KW266+KX193</f>
        <v>-2217234.9509800002</v>
      </c>
      <c r="KY266" s="371">
        <f>KX266+KY193</f>
        <v>-2217234.9509800002</v>
      </c>
      <c r="KZ266" s="371">
        <f>KY266+KZ193</f>
        <v>-2217234.9509800002</v>
      </c>
      <c r="LA266" s="371">
        <f>KZ266+LA193</f>
        <v>-2217234.9509800002</v>
      </c>
      <c r="LB266" s="371">
        <f>KV266+LB193</f>
        <v>-2217234.9509800002</v>
      </c>
      <c r="LC266" s="371">
        <f>LB266+LC193</f>
        <v>-2217234.9509800002</v>
      </c>
      <c r="LD266" s="371">
        <f>LC266+LD193</f>
        <v>-2217234.9509800002</v>
      </c>
      <c r="LE266" s="371">
        <f>LD266+LE193</f>
        <v>-2217234.9509800002</v>
      </c>
      <c r="LF266" s="371">
        <f>LB266+LF193</f>
        <v>-2217234.9509800002</v>
      </c>
      <c r="LG266" s="371">
        <f>KD266+LG193</f>
        <v>-1790872.5339800003</v>
      </c>
      <c r="LI266" s="368">
        <v>420000</v>
      </c>
    </row>
    <row r="267" spans="1:322" s="370" customFormat="1">
      <c r="HD267" s="368"/>
      <c r="HE267" s="368"/>
      <c r="HF267" s="368"/>
      <c r="HG267" s="368"/>
      <c r="HH267" s="368"/>
      <c r="HI267" s="368"/>
      <c r="HJ267" s="368"/>
      <c r="HK267" s="368"/>
      <c r="HL267" s="368"/>
      <c r="HM267" s="368"/>
      <c r="HN267" s="368"/>
      <c r="HO267" s="368"/>
      <c r="HP267" s="368"/>
      <c r="HQ267" s="368"/>
      <c r="HR267" s="368"/>
      <c r="HS267" s="368"/>
      <c r="HT267" s="368"/>
      <c r="HU267" s="368"/>
      <c r="HV267" s="368"/>
      <c r="HW267" s="368"/>
      <c r="HX267" s="368"/>
      <c r="HY267" s="368"/>
      <c r="HZ267" s="368"/>
      <c r="IA267" s="368"/>
      <c r="IB267" s="368"/>
      <c r="IC267" s="368"/>
      <c r="ID267" s="368"/>
      <c r="IE267" s="368"/>
      <c r="IF267" s="368"/>
      <c r="IG267" s="368"/>
      <c r="IH267" s="368"/>
      <c r="II267" s="368"/>
      <c r="IJ267" s="368"/>
      <c r="IK267" s="368"/>
      <c r="IL267" s="368"/>
      <c r="IM267" s="368"/>
      <c r="IN267" s="368"/>
      <c r="IO267" s="368"/>
      <c r="IP267" s="368"/>
      <c r="IQ267" s="368"/>
      <c r="IR267" s="368"/>
      <c r="IS267" s="368"/>
      <c r="IT267" s="368"/>
      <c r="IU267" s="368"/>
      <c r="IV267" s="368"/>
      <c r="IW267" s="368"/>
      <c r="IX267" s="368"/>
      <c r="IY267" s="368"/>
      <c r="IZ267" s="368"/>
      <c r="JA267" s="368"/>
      <c r="JB267" s="368"/>
      <c r="JC267" s="368"/>
      <c r="JD267" s="368"/>
      <c r="JE267" s="368"/>
      <c r="JF267" s="368"/>
      <c r="JG267" s="368"/>
      <c r="JH267" s="368"/>
      <c r="JI267" s="368"/>
      <c r="JJ267" s="368"/>
      <c r="JK267" s="368"/>
      <c r="JL267" s="368"/>
      <c r="JM267" s="368"/>
      <c r="JN267" s="368"/>
      <c r="JO267" s="368"/>
      <c r="JP267" s="368"/>
      <c r="JQ267" s="368"/>
      <c r="JR267" s="368"/>
      <c r="JS267" s="368"/>
      <c r="JT267" s="368"/>
      <c r="JU267" s="368"/>
      <c r="JV267" s="368"/>
      <c r="JW267" s="368"/>
      <c r="JX267" s="368"/>
      <c r="JY267" s="368"/>
      <c r="JZ267" s="368"/>
      <c r="KA267" s="368"/>
      <c r="KB267" s="368"/>
      <c r="KC267" s="368"/>
      <c r="KD267" s="368"/>
      <c r="KE267" s="368"/>
      <c r="KF267" s="368"/>
      <c r="KG267" s="368"/>
      <c r="KH267" s="368"/>
      <c r="KI267" s="368"/>
      <c r="KJ267" s="368"/>
      <c r="KK267" s="368"/>
      <c r="KL267" s="368"/>
      <c r="KM267" s="368"/>
      <c r="KN267" s="368"/>
      <c r="KO267" s="368"/>
      <c r="KP267" s="368"/>
      <c r="KQ267" s="368"/>
      <c r="KR267" s="368"/>
      <c r="KS267" s="368"/>
      <c r="KT267" s="368"/>
      <c r="KU267" s="368"/>
      <c r="KV267" s="368"/>
      <c r="KW267" s="368"/>
      <c r="KX267" s="368"/>
      <c r="KY267" s="368"/>
      <c r="KZ267" s="368"/>
      <c r="LA267" s="368"/>
      <c r="LB267" s="368"/>
      <c r="LC267" s="368"/>
      <c r="LD267" s="368"/>
      <c r="LE267" s="368"/>
      <c r="LF267" s="368"/>
      <c r="LG267" s="368"/>
      <c r="LI267" s="368"/>
    </row>
    <row r="268" spans="1:322" s="370" customFormat="1">
      <c r="A268" s="371" t="s">
        <v>241</v>
      </c>
      <c r="B268" s="371">
        <v>-115967.243</v>
      </c>
      <c r="C268" s="371">
        <f>B268+C256</f>
        <v>-115968.423</v>
      </c>
      <c r="D268" s="371">
        <f>B268+D256</f>
        <v>-115968.423</v>
      </c>
      <c r="E268" s="371">
        <f t="shared" ref="E268:BO268" si="756">D268+E256</f>
        <v>-115968.423</v>
      </c>
      <c r="F268" s="371">
        <f t="shared" si="756"/>
        <v>-118519.13699999999</v>
      </c>
      <c r="G268" s="371">
        <f t="shared" si="756"/>
        <v>-118519.13699999999</v>
      </c>
      <c r="H268" s="371">
        <f t="shared" si="756"/>
        <v>-118519.13699999999</v>
      </c>
      <c r="I268" s="371">
        <f t="shared" si="756"/>
        <v>-118519.13699999999</v>
      </c>
      <c r="J268" s="371">
        <f>D268+J256</f>
        <v>-118519.13699999999</v>
      </c>
      <c r="K268" s="371">
        <f t="shared" si="756"/>
        <v>-118519.13699999999</v>
      </c>
      <c r="L268" s="371">
        <f>K268+L256</f>
        <v>-118519.13699999999</v>
      </c>
      <c r="M268" s="371">
        <f>L268+M256</f>
        <v>-118519.13699999999</v>
      </c>
      <c r="N268" s="371">
        <f>M268+N256</f>
        <v>-122147.85299999999</v>
      </c>
      <c r="O268" s="371">
        <f>J268+O256</f>
        <v>-122147.85299999999</v>
      </c>
      <c r="P268" s="371">
        <f t="shared" si="756"/>
        <v>-122147.85299999999</v>
      </c>
      <c r="Q268" s="371">
        <f t="shared" si="756"/>
        <v>-122147.85299999999</v>
      </c>
      <c r="R268" s="371">
        <f t="shared" si="756"/>
        <v>-125622.85799999999</v>
      </c>
      <c r="S268" s="371">
        <f t="shared" si="756"/>
        <v>-125622.85799999999</v>
      </c>
      <c r="T268" s="371">
        <f t="shared" si="756"/>
        <v>-125622.85799999999</v>
      </c>
      <c r="U268" s="371">
        <f>O268+U256</f>
        <v>-125622.85799999999</v>
      </c>
      <c r="V268" s="371">
        <f t="shared" si="756"/>
        <v>-125622.85799999999</v>
      </c>
      <c r="W268" s="371">
        <f t="shared" si="756"/>
        <v>-125622.85799999999</v>
      </c>
      <c r="X268" s="371">
        <f t="shared" si="756"/>
        <v>-125622.85799999999</v>
      </c>
      <c r="Y268" s="371">
        <f t="shared" si="756"/>
        <v>-125622.85799999999</v>
      </c>
      <c r="Z268" s="371">
        <f t="shared" si="756"/>
        <v>-96913.061999999991</v>
      </c>
      <c r="AA268" s="371">
        <f t="shared" si="756"/>
        <v>-68203.265999999989</v>
      </c>
      <c r="AB268" s="371">
        <f>B268+AB256</f>
        <v>-96913.062000000005</v>
      </c>
      <c r="AC268" s="371">
        <f t="shared" si="756"/>
        <v>-100939.61900000001</v>
      </c>
      <c r="AD268" s="371">
        <f t="shared" si="756"/>
        <v>-100939.61900000001</v>
      </c>
      <c r="AE268" s="371">
        <f t="shared" si="756"/>
        <v>-100939.61900000001</v>
      </c>
      <c r="AF268" s="371">
        <f t="shared" si="756"/>
        <v>-100939.61900000001</v>
      </c>
      <c r="AG268" s="371">
        <f t="shared" si="756"/>
        <v>-100939.61900000001</v>
      </c>
      <c r="AH268" s="371">
        <f>AB268+AH256</f>
        <v>-100939.61900000001</v>
      </c>
      <c r="AI268" s="371">
        <f t="shared" si="756"/>
        <v>-102439.47900000001</v>
      </c>
      <c r="AJ268" s="371">
        <f t="shared" si="756"/>
        <v>-102439.47900000001</v>
      </c>
      <c r="AK268" s="371">
        <f t="shared" si="756"/>
        <v>-102439.47900000001</v>
      </c>
      <c r="AL268" s="371">
        <f t="shared" si="756"/>
        <v>-102439.47900000001</v>
      </c>
      <c r="AM268" s="371">
        <f t="shared" si="756"/>
        <v>-102439.47900000001</v>
      </c>
      <c r="AN268" s="371">
        <f>AH268+AN256</f>
        <v>-102439.47900000001</v>
      </c>
      <c r="AO268" s="371">
        <f t="shared" si="756"/>
        <v>-102439.47900000001</v>
      </c>
      <c r="AP268" s="371">
        <f t="shared" si="756"/>
        <v>-102439.47900000001</v>
      </c>
      <c r="AQ268" s="371">
        <f t="shared" si="756"/>
        <v>-102439.47900000001</v>
      </c>
      <c r="AR268" s="371">
        <f t="shared" si="756"/>
        <v>-102439.47900000001</v>
      </c>
      <c r="AS268" s="371">
        <f t="shared" si="756"/>
        <v>-102439.47900000001</v>
      </c>
      <c r="AT268" s="371">
        <f>AN268+AT256</f>
        <v>-102439.47900000001</v>
      </c>
      <c r="AU268" s="371">
        <f t="shared" si="756"/>
        <v>-102439.47900000001</v>
      </c>
      <c r="AV268" s="371">
        <f t="shared" si="756"/>
        <v>-102439.47900000001</v>
      </c>
      <c r="AW268" s="371">
        <f t="shared" si="756"/>
        <v>-102539.47900000001</v>
      </c>
      <c r="AX268" s="371">
        <f t="shared" si="756"/>
        <v>-102539.47900000001</v>
      </c>
      <c r="AY268" s="371">
        <f t="shared" si="756"/>
        <v>-102539.47900000001</v>
      </c>
      <c r="AZ268" s="371">
        <f>AT268+AZ256</f>
        <v>-102539.47900000001</v>
      </c>
      <c r="BA268" s="371">
        <f>AB268+BA256</f>
        <v>-102539.47900000001</v>
      </c>
      <c r="BB268" s="371">
        <f t="shared" si="756"/>
        <v>-94671.018000000011</v>
      </c>
      <c r="BC268" s="371">
        <f t="shared" si="756"/>
        <v>-101837.82</v>
      </c>
      <c r="BD268" s="371">
        <f t="shared" si="756"/>
        <v>-104341.36500000001</v>
      </c>
      <c r="BE268" s="371">
        <f t="shared" si="756"/>
        <v>-104341.36500000001</v>
      </c>
      <c r="BF268" s="371">
        <f t="shared" si="756"/>
        <v>-104341.36500000001</v>
      </c>
      <c r="BG268" s="371">
        <f>BA268+BG256</f>
        <v>-104341.36500000001</v>
      </c>
      <c r="BH268" s="371">
        <f t="shared" si="756"/>
        <v>-106619.66500000001</v>
      </c>
      <c r="BI268" s="371">
        <f t="shared" si="756"/>
        <v>-106619.66500000001</v>
      </c>
      <c r="BJ268" s="371">
        <f t="shared" si="756"/>
        <v>-106619.66500000001</v>
      </c>
      <c r="BK268" s="371">
        <f t="shared" si="756"/>
        <v>-106619.66500000001</v>
      </c>
      <c r="BL268" s="371">
        <f t="shared" si="756"/>
        <v>-106619.66500000001</v>
      </c>
      <c r="BM268" s="371">
        <f>BG268+BM256</f>
        <v>-106619.66500000001</v>
      </c>
      <c r="BN268" s="371">
        <f t="shared" si="756"/>
        <v>-106619.66500000001</v>
      </c>
      <c r="BO268" s="371">
        <f t="shared" si="756"/>
        <v>-106619.66500000001</v>
      </c>
      <c r="BP268" s="371">
        <f t="shared" ref="BP268:DZ268" si="757">BO268+BP256</f>
        <v>-106619.66500000001</v>
      </c>
      <c r="BQ268" s="371">
        <f t="shared" si="757"/>
        <v>-106685.66500000001</v>
      </c>
      <c r="BR268" s="371">
        <f>BM268+BR256</f>
        <v>-106685.66500000001</v>
      </c>
      <c r="BS268" s="371">
        <f t="shared" si="757"/>
        <v>-106685.66500000001</v>
      </c>
      <c r="BT268" s="371">
        <f t="shared" si="757"/>
        <v>-106685.66500000001</v>
      </c>
      <c r="BU268" s="371">
        <f t="shared" si="757"/>
        <v>-106685.66500000001</v>
      </c>
      <c r="BV268" s="371">
        <f t="shared" si="757"/>
        <v>-106685.66500000001</v>
      </c>
      <c r="BW268" s="371">
        <f t="shared" si="757"/>
        <v>-106685.66500000001</v>
      </c>
      <c r="BX268" s="371">
        <f>BR268+BX256</f>
        <v>-106685.66500000001</v>
      </c>
      <c r="BY268" s="371">
        <f>BX268+BY256</f>
        <v>-106685.66500000001</v>
      </c>
      <c r="BZ268" s="371">
        <f>BY268+BZ256</f>
        <v>-106785.66500000001</v>
      </c>
      <c r="CA268" s="371">
        <f>BX268+CA256</f>
        <v>-106785.66500000001</v>
      </c>
      <c r="CB268" s="371">
        <f>BA268+CB256</f>
        <v>-106785.66500000001</v>
      </c>
      <c r="CC268" s="371">
        <f t="shared" si="757"/>
        <v>-121630.25400000002</v>
      </c>
      <c r="CD268" s="371">
        <f t="shared" si="757"/>
        <v>-121630.25400000002</v>
      </c>
      <c r="CE268" s="371">
        <f t="shared" si="757"/>
        <v>-121630.25400000002</v>
      </c>
      <c r="CF268" s="371">
        <f>CB268+CF256</f>
        <v>-121630.25400000002</v>
      </c>
      <c r="CG268" s="371">
        <f t="shared" si="757"/>
        <v>-125816.76000000002</v>
      </c>
      <c r="CH268" s="371">
        <f t="shared" si="757"/>
        <v>-125816.76000000002</v>
      </c>
      <c r="CI268" s="371">
        <f t="shared" si="757"/>
        <v>-125916.76000000002</v>
      </c>
      <c r="CJ268" s="371">
        <f t="shared" si="757"/>
        <v>-125916.76000000002</v>
      </c>
      <c r="CK268" s="371">
        <f>CF268+CK256</f>
        <v>-125916.76000000002</v>
      </c>
      <c r="CL268" s="371">
        <f t="shared" si="757"/>
        <v>-135714.65100000001</v>
      </c>
      <c r="CM268" s="371">
        <f t="shared" si="757"/>
        <v>-135714.65100000001</v>
      </c>
      <c r="CN268" s="371">
        <f t="shared" si="757"/>
        <v>-135814.65100000001</v>
      </c>
      <c r="CO268" s="371">
        <f t="shared" si="757"/>
        <v>-135814.65100000001</v>
      </c>
      <c r="CP268" s="371">
        <f t="shared" si="757"/>
        <v>-138662.69</v>
      </c>
      <c r="CQ268" s="371">
        <f>CK268+CQ256</f>
        <v>-138662.69000000003</v>
      </c>
      <c r="CR268" s="371">
        <f t="shared" si="757"/>
        <v>-138662.69000000003</v>
      </c>
      <c r="CS268" s="371">
        <f t="shared" si="757"/>
        <v>-138662.69000000003</v>
      </c>
      <c r="CT268" s="371">
        <f t="shared" si="757"/>
        <v>-138662.69000000003</v>
      </c>
      <c r="CU268" s="371">
        <f t="shared" si="757"/>
        <v>-138662.69000000003</v>
      </c>
      <c r="CV268" s="371">
        <f t="shared" si="757"/>
        <v>-138662.69000000003</v>
      </c>
      <c r="CW268" s="371">
        <f>CQ268+CW256</f>
        <v>-138662.69000000003</v>
      </c>
      <c r="CX268" s="371">
        <f t="shared" si="757"/>
        <v>-138662.69000000003</v>
      </c>
      <c r="CY268" s="371">
        <f>CX268+CY256</f>
        <v>-138662.69000000003</v>
      </c>
      <c r="CZ268" s="371">
        <f>CY268+CZ256</f>
        <v>-138662.69000000003</v>
      </c>
      <c r="DA268" s="371">
        <f t="shared" si="757"/>
        <v>-153125.65500000003</v>
      </c>
      <c r="DB268" s="371">
        <f>CW268+DB256</f>
        <v>-153125.65500000003</v>
      </c>
      <c r="DC268" s="371">
        <f>CB268+DC256</f>
        <v>-153125.65500000003</v>
      </c>
      <c r="DD268" s="371">
        <f t="shared" si="757"/>
        <v>-138126.00900000002</v>
      </c>
      <c r="DE268" s="371">
        <f t="shared" si="757"/>
        <v>-138126.00900000002</v>
      </c>
      <c r="DF268" s="371">
        <f t="shared" si="757"/>
        <v>-138126.00900000002</v>
      </c>
      <c r="DG268" s="371">
        <f t="shared" si="757"/>
        <v>-138126.00900000002</v>
      </c>
      <c r="DH268" s="371">
        <f t="shared" si="757"/>
        <v>-138126.00900000002</v>
      </c>
      <c r="DI268" s="371">
        <f>DC268+DI256</f>
        <v>-138126.00900000002</v>
      </c>
      <c r="DJ268" s="371">
        <f t="shared" si="757"/>
        <v>-138126.00900000002</v>
      </c>
      <c r="DK268" s="371">
        <f t="shared" si="757"/>
        <v>-138126.00900000002</v>
      </c>
      <c r="DL268" s="371">
        <f t="shared" si="757"/>
        <v>-138126.00900000002</v>
      </c>
      <c r="DM268" s="371">
        <f t="shared" si="757"/>
        <v>-138126.00900000002</v>
      </c>
      <c r="DN268" s="371">
        <f t="shared" si="757"/>
        <v>-138126.00900000002</v>
      </c>
      <c r="DO268" s="371">
        <f>DI268+DO256</f>
        <v>-138126.00900000002</v>
      </c>
      <c r="DP268" s="371">
        <f t="shared" si="757"/>
        <v>-138126.00900000002</v>
      </c>
      <c r="DQ268" s="371">
        <f t="shared" si="757"/>
        <v>-138126.00900000002</v>
      </c>
      <c r="DR268" s="371">
        <f t="shared" si="757"/>
        <v>-138126.00900000002</v>
      </c>
      <c r="DS268" s="371">
        <f t="shared" si="757"/>
        <v>-138126.00900000002</v>
      </c>
      <c r="DT268" s="371">
        <f t="shared" si="757"/>
        <v>-138126.00900000002</v>
      </c>
      <c r="DU268" s="371">
        <f>DO268+DU256</f>
        <v>-138126.00900000002</v>
      </c>
      <c r="DV268" s="371">
        <f t="shared" si="757"/>
        <v>-138126.00900000002</v>
      </c>
      <c r="DW268" s="371">
        <f t="shared" si="757"/>
        <v>-138126.00900000002</v>
      </c>
      <c r="DX268" s="371">
        <f t="shared" si="757"/>
        <v>-138126.00900000002</v>
      </c>
      <c r="DY268" s="371">
        <f t="shared" si="757"/>
        <v>-138126.00900000002</v>
      </c>
      <c r="DZ268" s="371">
        <f t="shared" si="757"/>
        <v>-138126.00900000002</v>
      </c>
      <c r="EA268" s="371">
        <f>DU268+EA256</f>
        <v>-138126.00900000002</v>
      </c>
      <c r="EB268" s="371">
        <f>DC268+EB256</f>
        <v>-138126.00900000002</v>
      </c>
      <c r="EC268" s="371">
        <f t="shared" ref="EC268:EM268" si="758">EB268+EC256</f>
        <v>-155078.45400000003</v>
      </c>
      <c r="ED268" s="371">
        <f t="shared" si="758"/>
        <v>-158163.06400000001</v>
      </c>
      <c r="EE268" s="371">
        <f t="shared" si="758"/>
        <v>-158163.06400000001</v>
      </c>
      <c r="EF268" s="371">
        <f t="shared" si="758"/>
        <v>-158163.06400000001</v>
      </c>
      <c r="EG268" s="371">
        <f t="shared" si="758"/>
        <v>-158163.06400000001</v>
      </c>
      <c r="EH268" s="371">
        <f>EB268+EH256</f>
        <v>-158163.06400000001</v>
      </c>
      <c r="EI268" s="371">
        <f t="shared" si="758"/>
        <v>-158163.06400000001</v>
      </c>
      <c r="EJ268" s="371">
        <f t="shared" si="758"/>
        <v>-158163.06400000001</v>
      </c>
      <c r="EK268" s="371">
        <f t="shared" si="758"/>
        <v>-158163.06400000001</v>
      </c>
      <c r="EL268" s="371">
        <f t="shared" si="758"/>
        <v>-158163.06400000001</v>
      </c>
      <c r="EM268" s="371">
        <f t="shared" si="758"/>
        <v>-158163.06400000001</v>
      </c>
      <c r="EN268" s="371">
        <f>EH268+EN256</f>
        <v>-158163.06400000001</v>
      </c>
      <c r="EO268" s="371">
        <f>EN268+EO256</f>
        <v>-158163.06400000001</v>
      </c>
      <c r="EP268" s="371">
        <f>EO268+EP256</f>
        <v>-158163.06400000001</v>
      </c>
      <c r="EQ268" s="371">
        <f>EP268+EQ256</f>
        <v>-158163.06400000001</v>
      </c>
      <c r="ER268" s="371">
        <f>EQ268+ER256</f>
        <v>-158163.06400000001</v>
      </c>
      <c r="ES268" s="371">
        <f>ER268+ES256</f>
        <v>-158163.06400000001</v>
      </c>
      <c r="ET268" s="371">
        <f>EN268+ET256</f>
        <v>-158163.06400000001</v>
      </c>
      <c r="EU268" s="371">
        <f t="shared" ref="EU268:FA268" si="759">ET268+EU256</f>
        <v>-158163.06400000001</v>
      </c>
      <c r="EV268" s="371">
        <f t="shared" si="759"/>
        <v>-158163.06400000001</v>
      </c>
      <c r="EW268" s="371">
        <f t="shared" si="759"/>
        <v>-158163.06400000001</v>
      </c>
      <c r="EX268" s="371">
        <f t="shared" si="759"/>
        <v>-158163.06400000001</v>
      </c>
      <c r="EY268" s="371">
        <f t="shared" si="759"/>
        <v>-158163.06400000001</v>
      </c>
      <c r="EZ268" s="371">
        <f t="shared" si="759"/>
        <v>-157534.85000000003</v>
      </c>
      <c r="FA268" s="371">
        <f t="shared" si="759"/>
        <v>-159979.14700000003</v>
      </c>
      <c r="FB268" s="371">
        <f>ET268+FB256</f>
        <v>-159979.14700000003</v>
      </c>
      <c r="FC268" s="371">
        <f>EB268+FC256</f>
        <v>-159979.14700000003</v>
      </c>
      <c r="FD268" s="371">
        <f>FC268+FD256</f>
        <v>-156854.79900000003</v>
      </c>
      <c r="FE268" s="371">
        <f>FD268+FE256</f>
        <v>-156854.79900000003</v>
      </c>
      <c r="FF268" s="371">
        <f>FE268+FF256</f>
        <v>-156854.79900000003</v>
      </c>
      <c r="FG268" s="371">
        <f>FC268+FG256</f>
        <v>-156854.79900000003</v>
      </c>
      <c r="FH268" s="371">
        <f>FG268+FH256</f>
        <v>-160466.31800000003</v>
      </c>
      <c r="FI268" s="371">
        <f>FH268+FI256</f>
        <v>-160466.31800000003</v>
      </c>
      <c r="FJ268" s="371">
        <f>FI268+FJ256</f>
        <v>-160466.31800000003</v>
      </c>
      <c r="FK268" s="371">
        <f>FJ268+FK256</f>
        <v>-160466.31800000003</v>
      </c>
      <c r="FL268" s="371">
        <f>FK268+FL256</f>
        <v>-160466.31800000003</v>
      </c>
      <c r="FM268" s="371">
        <f>FG268+FM256</f>
        <v>-160466.31800000003</v>
      </c>
      <c r="FN268" s="371">
        <f>FM268+FN256</f>
        <v>-160466.31800000003</v>
      </c>
      <c r="FO268" s="371">
        <f>FN268+FO256</f>
        <v>-162204.09600000002</v>
      </c>
      <c r="FP268" s="371">
        <f>FO268+FP256</f>
        <v>-162204.09600000002</v>
      </c>
      <c r="FQ268" s="371">
        <f>FP268+FQ256</f>
        <v>-162204.09600000002</v>
      </c>
      <c r="FR268" s="371">
        <f>FM268+FR256</f>
        <v>-162204.09600000002</v>
      </c>
      <c r="FS268" s="371">
        <f>FR268+FS256</f>
        <v>-164337.39800000002</v>
      </c>
      <c r="FT268" s="371">
        <f>FS268+FT256</f>
        <v>-164337.39800000002</v>
      </c>
      <c r="FU268" s="371">
        <f>FT268+FU256</f>
        <v>-164337.39800000002</v>
      </c>
      <c r="FV268" s="371">
        <f>FU268+FV256</f>
        <v>-164337.39800000002</v>
      </c>
      <c r="FW268" s="371">
        <f>FV268+FW256</f>
        <v>-164337.39800000002</v>
      </c>
      <c r="FX268" s="371">
        <f>FR268+FX256</f>
        <v>-164337.39800000002</v>
      </c>
      <c r="FY268" s="371">
        <f>FX268+FY256</f>
        <v>-164337.39800000002</v>
      </c>
      <c r="FZ268" s="371">
        <f>FY268+FZ256</f>
        <v>-164337.39800000002</v>
      </c>
      <c r="GA268" s="371">
        <f>FZ268+GA256</f>
        <v>-164337.39800000002</v>
      </c>
      <c r="GB268" s="371">
        <f>GA268+GB256</f>
        <v>-166763.04800000001</v>
      </c>
      <c r="GC268" s="371">
        <f>GB268+GC256</f>
        <v>-166763.04800000001</v>
      </c>
      <c r="GD268" s="371">
        <f>FX268+GD256</f>
        <v>-166763.04800000001</v>
      </c>
      <c r="GE268" s="371">
        <f>FC268+GE256</f>
        <v>-166763.04800000004</v>
      </c>
      <c r="GF268" s="371">
        <f>GE268+GF256</f>
        <v>-86763.048000000039</v>
      </c>
      <c r="GG268" s="371">
        <f>GF268+GG256</f>
        <v>-86763.048000000039</v>
      </c>
      <c r="GH268" s="371">
        <f>GG268+GH256</f>
        <v>-98927.475000000035</v>
      </c>
      <c r="GI268" s="371">
        <f>GH268+GI256</f>
        <v>-98927.475000000035</v>
      </c>
      <c r="GJ268" s="371">
        <f>GI268+GJ256</f>
        <v>-98927.475000000035</v>
      </c>
      <c r="GK268" s="371">
        <f>GE268+GK256</f>
        <v>-98927.475000000035</v>
      </c>
      <c r="GL268" s="371">
        <f>GK268+GL256</f>
        <v>-98927.475000000035</v>
      </c>
      <c r="GM268" s="371">
        <f>GL268+GM256</f>
        <v>-98927.475000000035</v>
      </c>
      <c r="GN268" s="371">
        <f>GM268+GN256</f>
        <v>-103051.19900000004</v>
      </c>
      <c r="GO268" s="371">
        <f>GN268+GO256</f>
        <v>-103051.19900000004</v>
      </c>
      <c r="GP268" s="371">
        <f>GK268+GP256</f>
        <v>-103051.19900000004</v>
      </c>
      <c r="GQ268" s="371">
        <f>GP268+GQ256</f>
        <v>-103051.19900000004</v>
      </c>
      <c r="GR268" s="371">
        <f>GQ268+GR256</f>
        <v>-103051.19900000004</v>
      </c>
      <c r="GS268" s="371">
        <f>GR268+GS256</f>
        <v>-105711.19900000004</v>
      </c>
      <c r="GT268" s="371">
        <f>GS268+GT256</f>
        <v>-105711.19900000004</v>
      </c>
      <c r="GU268" s="371">
        <f>GT268+GU256</f>
        <v>-105711.19900000004</v>
      </c>
      <c r="GV268" s="371">
        <f>GP268+GV256</f>
        <v>-105711.19900000004</v>
      </c>
      <c r="GW268" s="371">
        <f t="shared" ref="GW268:HB268" si="760">GV268+GW256</f>
        <v>-105711.19900000004</v>
      </c>
      <c r="GX268" s="371">
        <f t="shared" si="760"/>
        <v>-105711.19900000004</v>
      </c>
      <c r="GY268" s="371">
        <f t="shared" si="760"/>
        <v>-105711.19900000004</v>
      </c>
      <c r="GZ268" s="371">
        <f t="shared" si="760"/>
        <v>-105711.19900000004</v>
      </c>
      <c r="HA268" s="371">
        <f t="shared" si="760"/>
        <v>-105711.19900000004</v>
      </c>
      <c r="HB268" s="371">
        <f t="shared" si="760"/>
        <v>-105711.19900000004</v>
      </c>
      <c r="HC268" s="371">
        <f>GV268+HC256</f>
        <v>-105711.19900000004</v>
      </c>
      <c r="HD268" s="371">
        <f>GE268+HD256</f>
        <v>-105711.19900000004</v>
      </c>
      <c r="HE268" s="371">
        <f>HD268+HE256</f>
        <v>-105795.25600000004</v>
      </c>
      <c r="HF268" s="371">
        <f>HE268+HF256</f>
        <v>-105795.25600000004</v>
      </c>
      <c r="HG268" s="371">
        <f>HF268+HG256</f>
        <v>-105795.25600000004</v>
      </c>
      <c r="HH268" s="371">
        <f>HG268+HH256</f>
        <v>-105795.25600000004</v>
      </c>
      <c r="HI268" s="371">
        <f>HD268+HI256</f>
        <v>-105795.25600000004</v>
      </c>
      <c r="HJ268" s="371">
        <f>HI268+HJ256</f>
        <v>-105795.25600000004</v>
      </c>
      <c r="HK268" s="371">
        <f>HJ268+HK256</f>
        <v>-107530.62900000004</v>
      </c>
      <c r="HL268" s="371">
        <f>HK268+HL256</f>
        <v>-107530.62900000004</v>
      </c>
      <c r="HM268" s="371">
        <f>HL268+HM256</f>
        <v>-107530.62900000004</v>
      </c>
      <c r="HN268" s="371">
        <f>HM268+HN256</f>
        <v>-107530.62900000004</v>
      </c>
      <c r="HO268" s="371">
        <f>HI268+HO256</f>
        <v>-107530.62900000004</v>
      </c>
      <c r="HP268" s="371">
        <f>HO268+HP256</f>
        <v>-107530.62900000004</v>
      </c>
      <c r="HQ268" s="371">
        <f>HP268+HQ256</f>
        <v>-107530.62900000004</v>
      </c>
      <c r="HR268" s="371">
        <f>HQ268+HR256</f>
        <v>-107530.62900000004</v>
      </c>
      <c r="HS268" s="371">
        <f>HR268+HS256</f>
        <v>-107530.62900000004</v>
      </c>
      <c r="HT268" s="371">
        <f>HS268+HT256</f>
        <v>-107530.62900000004</v>
      </c>
      <c r="HU268" s="371">
        <f>HO268+HU256</f>
        <v>-107530.62900000004</v>
      </c>
      <c r="HV268" s="371">
        <f>HU268+HV256</f>
        <v>-107530.62900000004</v>
      </c>
      <c r="HW268" s="371">
        <f>HV268+HW256</f>
        <v>-107530.62900000004</v>
      </c>
      <c r="HX268" s="371">
        <f>HW268+HX256</f>
        <v>-107530.62900000004</v>
      </c>
      <c r="HY268" s="371">
        <f>HU268+HY256</f>
        <v>-107530.62900000004</v>
      </c>
      <c r="HZ268" s="371">
        <f>HY268+HZ256</f>
        <v>-107530.62900000004</v>
      </c>
      <c r="IA268" s="371">
        <f>HZ268+IA256</f>
        <v>-107530.62900000004</v>
      </c>
      <c r="IB268" s="371">
        <f>IA268+IB256</f>
        <v>-107530.62900000004</v>
      </c>
      <c r="IC268" s="371">
        <f>HY268+IC256</f>
        <v>-107530.62900000004</v>
      </c>
      <c r="ID268" s="371">
        <f>HD268+ID256</f>
        <v>-107530.62900000003</v>
      </c>
      <c r="IE268" s="371">
        <f>ID268+IE256</f>
        <v>-107531.80900000002</v>
      </c>
      <c r="IF268" s="371" t="e">
        <f>#REF!+IF256</f>
        <v>#REF!</v>
      </c>
      <c r="IG268" s="371">
        <f>ID268+IG256</f>
        <v>-107531.80900000002</v>
      </c>
      <c r="IH268" s="371">
        <f>IG268+IH256</f>
        <v>-110411.02500000002</v>
      </c>
      <c r="II268" s="371">
        <f>IH268+II256</f>
        <v>-110411.02500000002</v>
      </c>
      <c r="IJ268" s="371">
        <f>II268+IJ256</f>
        <v>-110411.02500000002</v>
      </c>
      <c r="IK268" s="371">
        <f>IJ268+IK256</f>
        <v>-110411.02500000002</v>
      </c>
      <c r="IL268" s="371">
        <f>IK268+IL256</f>
        <v>-110411.02500000002</v>
      </c>
      <c r="IM268" s="371">
        <f>IG268+IM256</f>
        <v>-110411.02500000002</v>
      </c>
      <c r="IN268" s="371">
        <f>IM268+IN256</f>
        <v>-110571.02500000002</v>
      </c>
      <c r="IO268" s="371">
        <f>IN268+IO256</f>
        <v>-110571.02500000002</v>
      </c>
      <c r="IP268" s="371" t="e">
        <f>#REF!+IP256</f>
        <v>#REF!</v>
      </c>
      <c r="IQ268" s="371">
        <f>IM268+IQ256</f>
        <v>-110571.02500000002</v>
      </c>
      <c r="IR268" s="371">
        <f>IQ268+IR256</f>
        <v>-110571.02500000002</v>
      </c>
      <c r="IS268" s="371">
        <f>IR268+IS256</f>
        <v>-110571.02500000002</v>
      </c>
      <c r="IT268" s="371">
        <f>IS268+IT256</f>
        <v>-121092.89000000003</v>
      </c>
      <c r="IU268" s="371">
        <f>IT268+IU256</f>
        <v>-121092.89000000003</v>
      </c>
      <c r="IV268" s="371">
        <f>IU268+IV256</f>
        <v>-121092.89000000003</v>
      </c>
      <c r="IW268" s="371">
        <f>IQ268+IW256</f>
        <v>-121092.89000000003</v>
      </c>
      <c r="IX268" s="371">
        <f>IW268+IX256</f>
        <v>-121092.89000000003</v>
      </c>
      <c r="IY268" s="371">
        <f>IX268+IY256</f>
        <v>-121092.89000000003</v>
      </c>
      <c r="IZ268" s="371">
        <f>IY268+IZ256</f>
        <v>-121092.89000000003</v>
      </c>
      <c r="JA268" s="371">
        <f>IZ268+JA256</f>
        <v>-121092.89000000003</v>
      </c>
      <c r="JB268" s="371">
        <f>JA268+JB256</f>
        <v>-121092.89000000003</v>
      </c>
      <c r="JC268" s="371">
        <f>IW268+JC256</f>
        <v>-121092.89000000003</v>
      </c>
      <c r="JD268" s="371">
        <f>ID268+JD256</f>
        <v>-121092.89000000003</v>
      </c>
      <c r="JE268" s="371">
        <f>JD268+JE256</f>
        <v>-121092.89000000003</v>
      </c>
      <c r="JF268" s="371">
        <f t="shared" ref="JF268:LE268" si="761">JE268+JF256</f>
        <v>-121092.89000000003</v>
      </c>
      <c r="JG268" s="371">
        <f t="shared" si="761"/>
        <v>-121092.89000000003</v>
      </c>
      <c r="JH268" s="371">
        <f t="shared" si="761"/>
        <v>-121092.89000000003</v>
      </c>
      <c r="JI268" s="371">
        <f t="shared" si="761"/>
        <v>-121092.89000000003</v>
      </c>
      <c r="JJ268" s="371">
        <f>JD268+JJ256</f>
        <v>-121092.89000000003</v>
      </c>
      <c r="JK268" s="371">
        <f t="shared" si="761"/>
        <v>-121092.89000000003</v>
      </c>
      <c r="JL268" s="371">
        <f t="shared" si="761"/>
        <v>-121092.89000000003</v>
      </c>
      <c r="JM268" s="371">
        <f t="shared" si="761"/>
        <v>-121092.89000000003</v>
      </c>
      <c r="JN268" s="371">
        <f t="shared" si="761"/>
        <v>-121092.89000000003</v>
      </c>
      <c r="JO268" s="371">
        <f t="shared" si="761"/>
        <v>-121092.89000000003</v>
      </c>
      <c r="JP268" s="371">
        <f>JJ268+JP256</f>
        <v>-121092.89000000003</v>
      </c>
      <c r="JQ268" s="371">
        <f t="shared" si="761"/>
        <v>-121092.89000000003</v>
      </c>
      <c r="JR268" s="371">
        <f t="shared" si="761"/>
        <v>-121092.89000000003</v>
      </c>
      <c r="JS268" s="371">
        <f t="shared" si="761"/>
        <v>-121092.89000000003</v>
      </c>
      <c r="JT268" s="371">
        <f t="shared" si="761"/>
        <v>-121092.89000000003</v>
      </c>
      <c r="JU268" s="371">
        <f t="shared" si="761"/>
        <v>-121092.89000000003</v>
      </c>
      <c r="JV268" s="371">
        <f>JP268+JV256</f>
        <v>-121092.89000000003</v>
      </c>
      <c r="JW268" s="371">
        <f t="shared" si="761"/>
        <v>-121092.89000000003</v>
      </c>
      <c r="JX268" s="371">
        <f t="shared" si="761"/>
        <v>-121092.89000000003</v>
      </c>
      <c r="JY268" s="371">
        <f t="shared" si="761"/>
        <v>-121092.89000000003</v>
      </c>
      <c r="JZ268" s="371">
        <f t="shared" si="761"/>
        <v>-121092.89000000003</v>
      </c>
      <c r="KA268" s="371"/>
      <c r="KB268" s="371">
        <f>JZ268+KB256</f>
        <v>-121092.89000000003</v>
      </c>
      <c r="KC268" s="371">
        <f>JV268+KC256</f>
        <v>-121092.89000000003</v>
      </c>
      <c r="KD268" s="371">
        <f>JD268+KD256</f>
        <v>-367342.89</v>
      </c>
      <c r="KE268" s="371">
        <f t="shared" si="761"/>
        <v>-367342.89</v>
      </c>
      <c r="KF268" s="371">
        <f t="shared" si="761"/>
        <v>-367342.89</v>
      </c>
      <c r="KG268" s="371">
        <f t="shared" si="761"/>
        <v>-367342.89</v>
      </c>
      <c r="KH268" s="371">
        <f t="shared" si="761"/>
        <v>-367342.89</v>
      </c>
      <c r="KI268" s="371">
        <f t="shared" si="761"/>
        <v>-367342.89</v>
      </c>
      <c r="KJ268" s="371">
        <f>KD268+KJ256</f>
        <v>-367342.89</v>
      </c>
      <c r="KK268" s="371">
        <f t="shared" si="761"/>
        <v>-367342.89</v>
      </c>
      <c r="KL268" s="371">
        <f t="shared" si="761"/>
        <v>-367342.89</v>
      </c>
      <c r="KM268" s="371">
        <f t="shared" si="761"/>
        <v>-367342.89</v>
      </c>
      <c r="KN268" s="371">
        <f t="shared" si="761"/>
        <v>-367342.89</v>
      </c>
      <c r="KO268" s="371">
        <f t="shared" si="761"/>
        <v>-367342.89</v>
      </c>
      <c r="KP268" s="371">
        <f>KJ268+KP256</f>
        <v>-367342.89</v>
      </c>
      <c r="KQ268" s="371">
        <f t="shared" si="761"/>
        <v>-367342.89</v>
      </c>
      <c r="KR268" s="371">
        <f t="shared" si="761"/>
        <v>-367342.89</v>
      </c>
      <c r="KS268" s="371">
        <f t="shared" si="761"/>
        <v>-367342.89</v>
      </c>
      <c r="KT268" s="371">
        <f t="shared" si="761"/>
        <v>-367342.89</v>
      </c>
      <c r="KU268" s="371">
        <f t="shared" si="761"/>
        <v>-367342.89</v>
      </c>
      <c r="KV268" s="371">
        <f>KP268+KV256</f>
        <v>-367342.89</v>
      </c>
      <c r="KW268" s="371">
        <f t="shared" si="761"/>
        <v>-367342.89</v>
      </c>
      <c r="KX268" s="371">
        <f t="shared" si="761"/>
        <v>-367342.89</v>
      </c>
      <c r="KY268" s="371">
        <f t="shared" si="761"/>
        <v>-367342.89</v>
      </c>
      <c r="KZ268" s="371">
        <f t="shared" si="761"/>
        <v>-367342.89</v>
      </c>
      <c r="LA268" s="371">
        <f t="shared" si="761"/>
        <v>-367342.89</v>
      </c>
      <c r="LB268" s="371">
        <f>KV268+LB256</f>
        <v>-367342.89</v>
      </c>
      <c r="LC268" s="371">
        <f t="shared" si="761"/>
        <v>-367342.89</v>
      </c>
      <c r="LD268" s="371">
        <f t="shared" si="761"/>
        <v>-367342.89</v>
      </c>
      <c r="LE268" s="371">
        <f t="shared" si="761"/>
        <v>-367342.89</v>
      </c>
      <c r="LF268" s="371">
        <f>LB268+LF256</f>
        <v>-367342.89</v>
      </c>
      <c r="LG268" s="371">
        <f>KD268+LG256</f>
        <v>-367342.89</v>
      </c>
      <c r="LI268" s="368">
        <v>100000</v>
      </c>
    </row>
    <row r="269" spans="1:322" s="367" customFormat="1">
      <c r="D269" s="370"/>
      <c r="J269" s="368"/>
      <c r="O269" s="368"/>
      <c r="U269" s="368"/>
      <c r="AA269" s="368"/>
      <c r="BA269" s="369"/>
      <c r="BB269" s="369"/>
      <c r="BC269" s="369"/>
      <c r="BD269" s="369"/>
      <c r="BE269" s="369"/>
      <c r="BF269" s="369"/>
      <c r="BG269" s="369"/>
      <c r="BH269" s="369"/>
      <c r="BI269" s="369"/>
      <c r="BJ269" s="369"/>
      <c r="BK269" s="369"/>
      <c r="BL269" s="369"/>
      <c r="BM269" s="369"/>
      <c r="BN269" s="369"/>
      <c r="BO269" s="369"/>
      <c r="BP269" s="369"/>
      <c r="BQ269" s="369"/>
      <c r="BR269" s="369"/>
      <c r="BS269" s="369"/>
      <c r="BT269" s="369"/>
      <c r="BU269" s="369"/>
      <c r="BV269" s="369"/>
      <c r="BW269" s="369"/>
      <c r="BX269" s="369"/>
      <c r="BY269" s="369"/>
      <c r="BZ269" s="369"/>
      <c r="CA269" s="369"/>
      <c r="CB269" s="369"/>
      <c r="CC269" s="369"/>
      <c r="CD269" s="369"/>
      <c r="CE269" s="369"/>
      <c r="CF269" s="369"/>
      <c r="CG269" s="369"/>
      <c r="CH269" s="369"/>
      <c r="CI269" s="369"/>
      <c r="CJ269" s="369"/>
      <c r="CK269" s="369"/>
      <c r="CL269" s="369"/>
      <c r="CM269" s="369"/>
      <c r="CN269" s="369"/>
      <c r="CO269" s="369"/>
      <c r="CP269" s="369"/>
      <c r="CQ269" s="369"/>
      <c r="CR269" s="369"/>
      <c r="CS269" s="369"/>
      <c r="CT269" s="369"/>
      <c r="CU269" s="369"/>
      <c r="CV269" s="369"/>
      <c r="CW269" s="369"/>
      <c r="CX269" s="369"/>
      <c r="CY269" s="369"/>
      <c r="CZ269" s="369"/>
      <c r="DA269" s="369"/>
      <c r="DB269" s="369"/>
      <c r="DC269" s="369"/>
      <c r="DD269" s="369"/>
      <c r="DE269" s="369"/>
      <c r="DF269" s="369"/>
      <c r="DG269" s="369"/>
      <c r="DH269" s="369"/>
      <c r="DI269" s="369"/>
      <c r="DJ269" s="369"/>
      <c r="DK269" s="369"/>
      <c r="DL269" s="369"/>
      <c r="DM269" s="369"/>
      <c r="DN269" s="369"/>
      <c r="DO269" s="369"/>
      <c r="DP269" s="369"/>
      <c r="DQ269" s="369"/>
      <c r="DR269" s="369"/>
      <c r="DS269" s="369"/>
      <c r="DT269" s="369"/>
      <c r="DU269" s="369"/>
      <c r="DV269" s="369"/>
      <c r="DW269" s="369"/>
      <c r="DX269" s="369"/>
      <c r="DY269" s="369"/>
      <c r="DZ269" s="369"/>
      <c r="EA269" s="369"/>
      <c r="EB269" s="369"/>
      <c r="EC269" s="369"/>
      <c r="ED269" s="369"/>
      <c r="EE269" s="369"/>
      <c r="EF269" s="369"/>
      <c r="EG269" s="369"/>
      <c r="EH269" s="369"/>
      <c r="EI269" s="369"/>
      <c r="EJ269" s="369"/>
      <c r="EK269" s="369"/>
      <c r="EL269" s="369"/>
      <c r="EM269" s="369"/>
      <c r="EN269" s="369"/>
      <c r="EO269" s="369"/>
      <c r="EP269" s="369"/>
      <c r="EQ269" s="369"/>
      <c r="ER269" s="369"/>
      <c r="ES269" s="369"/>
      <c r="ET269" s="369"/>
      <c r="EU269" s="369"/>
      <c r="EV269" s="369"/>
      <c r="EW269" s="369"/>
      <c r="EX269" s="369"/>
      <c r="EY269" s="369"/>
      <c r="EZ269" s="369"/>
      <c r="FA269" s="369"/>
      <c r="FB269" s="369"/>
      <c r="FC269" s="369"/>
      <c r="FD269" s="369"/>
      <c r="FE269" s="369"/>
      <c r="FF269" s="369"/>
      <c r="FG269" s="369"/>
      <c r="FH269" s="369"/>
      <c r="FI269" s="369"/>
      <c r="FJ269" s="369"/>
      <c r="FK269" s="369"/>
      <c r="FL269" s="369"/>
      <c r="FM269" s="369"/>
      <c r="FN269" s="369"/>
      <c r="FO269" s="369"/>
      <c r="FP269" s="369"/>
      <c r="FQ269" s="369"/>
      <c r="FR269" s="369"/>
      <c r="FS269" s="369"/>
      <c r="FT269" s="369"/>
      <c r="FU269" s="369"/>
      <c r="FV269" s="369"/>
      <c r="FW269" s="369"/>
      <c r="FX269" s="369"/>
      <c r="FY269" s="369"/>
      <c r="FZ269" s="369"/>
      <c r="GA269" s="369"/>
      <c r="GB269" s="369"/>
      <c r="GC269" s="369"/>
      <c r="GD269" s="369"/>
      <c r="GE269" s="369"/>
      <c r="GF269" s="369"/>
      <c r="GG269" s="369"/>
      <c r="GH269" s="369"/>
      <c r="GI269" s="369"/>
      <c r="GJ269" s="369"/>
      <c r="GK269" s="369"/>
      <c r="GL269" s="369"/>
      <c r="GM269" s="369"/>
      <c r="GN269" s="369"/>
      <c r="GO269" s="369"/>
      <c r="GP269" s="369"/>
      <c r="GQ269" s="369"/>
      <c r="GR269" s="369"/>
      <c r="GS269" s="369"/>
      <c r="GT269" s="369"/>
      <c r="GU269" s="369"/>
      <c r="GV269" s="369"/>
      <c r="GW269" s="369"/>
      <c r="GX269" s="369"/>
      <c r="GY269" s="369"/>
      <c r="GZ269" s="369"/>
      <c r="HA269" s="369"/>
      <c r="HB269" s="369"/>
      <c r="HC269" s="369"/>
      <c r="HD269" s="369"/>
      <c r="HE269" s="369"/>
      <c r="HF269" s="369"/>
      <c r="HG269" s="369"/>
      <c r="HH269" s="369"/>
      <c r="HI269" s="369"/>
      <c r="HJ269" s="369"/>
      <c r="HK269" s="369"/>
      <c r="HL269" s="369"/>
      <c r="HM269" s="369"/>
      <c r="HN269" s="369"/>
      <c r="HO269" s="369"/>
      <c r="HP269" s="369"/>
      <c r="HQ269" s="369"/>
      <c r="HR269" s="369"/>
      <c r="HS269" s="369"/>
      <c r="HT269" s="369"/>
      <c r="HU269" s="369"/>
      <c r="HV269" s="369"/>
      <c r="HW269" s="369"/>
      <c r="HX269" s="369"/>
      <c r="HY269" s="369"/>
      <c r="HZ269" s="369"/>
      <c r="IA269" s="369"/>
      <c r="IB269" s="369"/>
      <c r="IC269" s="369"/>
      <c r="ID269" s="369"/>
      <c r="IE269" s="369"/>
      <c r="IF269" s="369"/>
      <c r="IG269" s="369"/>
      <c r="IH269" s="369"/>
      <c r="II269" s="369"/>
      <c r="IJ269" s="369"/>
      <c r="IK269" s="369"/>
      <c r="IL269" s="369"/>
      <c r="IM269" s="369"/>
      <c r="IN269" s="369"/>
      <c r="IO269" s="369"/>
      <c r="IP269" s="369"/>
      <c r="IQ269" s="369"/>
      <c r="IR269" s="369"/>
      <c r="IS269" s="369"/>
      <c r="IT269" s="369"/>
      <c r="IU269" s="369"/>
      <c r="IV269" s="369"/>
      <c r="IW269" s="369"/>
      <c r="IX269" s="369"/>
      <c r="IY269" s="369"/>
      <c r="IZ269" s="369"/>
      <c r="JA269" s="369"/>
      <c r="JB269" s="369"/>
      <c r="JC269" s="369"/>
      <c r="JD269" s="369"/>
      <c r="JE269" s="369"/>
      <c r="JF269" s="369"/>
      <c r="JG269" s="369"/>
      <c r="JH269" s="369"/>
      <c r="JI269" s="369"/>
      <c r="JJ269" s="369"/>
      <c r="JK269" s="369"/>
      <c r="JL269" s="369"/>
      <c r="JM269" s="369"/>
      <c r="JN269" s="369"/>
      <c r="JO269" s="369"/>
      <c r="JP269" s="369"/>
      <c r="JQ269" s="369"/>
      <c r="JR269" s="369"/>
      <c r="JS269" s="369"/>
      <c r="JT269" s="369"/>
      <c r="JU269" s="369"/>
      <c r="JV269" s="369"/>
      <c r="JW269" s="369"/>
      <c r="JX269" s="369"/>
      <c r="JY269" s="369"/>
      <c r="JZ269" s="369"/>
      <c r="KA269" s="369"/>
      <c r="KB269" s="369"/>
      <c r="KC269" s="369"/>
      <c r="KD269" s="369"/>
      <c r="KE269" s="369"/>
      <c r="KF269" s="369"/>
      <c r="KG269" s="369"/>
      <c r="KH269" s="369"/>
      <c r="KI269" s="369"/>
      <c r="KJ269" s="369"/>
      <c r="KK269" s="369"/>
      <c r="KL269" s="369"/>
      <c r="KM269" s="369"/>
      <c r="KN269" s="369"/>
      <c r="KO269" s="369"/>
      <c r="KP269" s="369"/>
      <c r="KQ269" s="369"/>
      <c r="KR269" s="369"/>
      <c r="KS269" s="369"/>
      <c r="KT269" s="369"/>
      <c r="KU269" s="369"/>
      <c r="KV269" s="369"/>
      <c r="KW269" s="369"/>
      <c r="KX269" s="369"/>
      <c r="KY269" s="369"/>
      <c r="KZ269" s="369"/>
      <c r="LA269" s="369"/>
      <c r="LB269" s="369"/>
      <c r="LC269" s="369"/>
      <c r="LD269" s="369"/>
      <c r="LE269" s="369"/>
      <c r="LF269" s="369"/>
      <c r="LG269" s="369"/>
      <c r="LJ269" s="370"/>
    </row>
    <row r="270" spans="1:322" s="367" customFormat="1">
      <c r="D270" s="368"/>
      <c r="J270" s="368"/>
      <c r="O270" s="368"/>
      <c r="U270" s="368"/>
      <c r="AA270" s="368"/>
      <c r="BA270" s="369"/>
      <c r="BB270" s="369"/>
      <c r="BC270" s="369"/>
      <c r="BD270" s="369"/>
      <c r="BE270" s="369"/>
      <c r="BF270" s="369"/>
      <c r="BG270" s="369"/>
      <c r="BH270" s="369"/>
      <c r="BI270" s="369"/>
      <c r="BJ270" s="369"/>
      <c r="BK270" s="369"/>
      <c r="BL270" s="369"/>
      <c r="BM270" s="369"/>
      <c r="BN270" s="369"/>
      <c r="BO270" s="369"/>
      <c r="BP270" s="369"/>
      <c r="BQ270" s="369"/>
      <c r="BR270" s="369"/>
      <c r="BS270" s="369"/>
      <c r="BT270" s="369"/>
      <c r="BU270" s="369"/>
      <c r="BV270" s="369"/>
      <c r="BW270" s="369"/>
      <c r="BX270" s="369"/>
      <c r="BY270" s="369"/>
      <c r="BZ270" s="369"/>
      <c r="CA270" s="369"/>
      <c r="CB270" s="369"/>
      <c r="CC270" s="369"/>
      <c r="CD270" s="369"/>
      <c r="CE270" s="369"/>
      <c r="CF270" s="369"/>
      <c r="CG270" s="369"/>
      <c r="CH270" s="369"/>
      <c r="CI270" s="369"/>
      <c r="CJ270" s="369"/>
      <c r="CK270" s="369"/>
      <c r="CL270" s="369"/>
      <c r="CM270" s="369"/>
      <c r="CN270" s="369"/>
      <c r="CO270" s="369"/>
      <c r="CP270" s="369"/>
      <c r="CQ270" s="369"/>
      <c r="CR270" s="369"/>
      <c r="CS270" s="369"/>
      <c r="CT270" s="369"/>
      <c r="CU270" s="369"/>
      <c r="CV270" s="369"/>
      <c r="CW270" s="369"/>
      <c r="CX270" s="369"/>
      <c r="CY270" s="369"/>
      <c r="CZ270" s="369"/>
      <c r="DA270" s="369"/>
      <c r="DB270" s="369"/>
      <c r="DC270" s="369"/>
      <c r="DD270" s="369"/>
      <c r="DE270" s="369"/>
      <c r="DF270" s="369"/>
      <c r="DG270" s="369"/>
      <c r="DH270" s="369"/>
      <c r="DI270" s="369"/>
      <c r="DJ270" s="369"/>
      <c r="DK270" s="369"/>
      <c r="DL270" s="369"/>
      <c r="DM270" s="369"/>
      <c r="DN270" s="369"/>
      <c r="DO270" s="369"/>
      <c r="DP270" s="369"/>
      <c r="DQ270" s="369"/>
      <c r="DR270" s="369"/>
      <c r="DS270" s="369"/>
      <c r="DT270" s="369"/>
      <c r="DU270" s="369"/>
      <c r="DV270" s="369"/>
      <c r="DW270" s="369"/>
      <c r="DX270" s="369"/>
      <c r="DY270" s="369"/>
      <c r="DZ270" s="369"/>
      <c r="EA270" s="369"/>
      <c r="EB270" s="369"/>
      <c r="EC270" s="369"/>
      <c r="ED270" s="369"/>
      <c r="EE270" s="369"/>
      <c r="EF270" s="369"/>
      <c r="EG270" s="369"/>
      <c r="EH270" s="369"/>
      <c r="EI270" s="369"/>
      <c r="EJ270" s="369"/>
      <c r="EK270" s="369"/>
      <c r="EL270" s="369"/>
      <c r="EM270" s="369"/>
      <c r="EN270" s="369"/>
      <c r="EO270" s="369"/>
      <c r="EP270" s="369"/>
      <c r="EQ270" s="369"/>
      <c r="ER270" s="369"/>
      <c r="ES270" s="369"/>
      <c r="ET270" s="369"/>
      <c r="EU270" s="369"/>
      <c r="EV270" s="369"/>
      <c r="EW270" s="369"/>
      <c r="EX270" s="369"/>
      <c r="EY270" s="369"/>
      <c r="EZ270" s="369"/>
      <c r="FA270" s="369"/>
      <c r="FB270" s="369"/>
      <c r="FC270" s="369"/>
      <c r="FD270" s="369"/>
      <c r="FE270" s="369"/>
      <c r="FF270" s="369"/>
      <c r="FG270" s="369"/>
      <c r="FH270" s="369"/>
      <c r="FI270" s="369"/>
      <c r="FJ270" s="369"/>
      <c r="FK270" s="369"/>
      <c r="FL270" s="369"/>
      <c r="FM270" s="369"/>
      <c r="FN270" s="369"/>
      <c r="FO270" s="369"/>
      <c r="FP270" s="369"/>
      <c r="FQ270" s="369"/>
      <c r="FR270" s="369"/>
      <c r="FS270" s="369"/>
      <c r="FT270" s="369"/>
      <c r="FU270" s="369"/>
      <c r="FV270" s="369"/>
      <c r="FW270" s="369"/>
      <c r="FX270" s="369"/>
      <c r="FY270" s="369"/>
      <c r="FZ270" s="369"/>
      <c r="GA270" s="369"/>
      <c r="GB270" s="369"/>
      <c r="GC270" s="369"/>
      <c r="GD270" s="369"/>
      <c r="GE270" s="369"/>
      <c r="GF270" s="369"/>
      <c r="GG270" s="369"/>
      <c r="GH270" s="369"/>
      <c r="GI270" s="369"/>
      <c r="GJ270" s="369"/>
      <c r="GK270" s="369"/>
      <c r="GL270" s="369"/>
      <c r="GM270" s="369"/>
      <c r="GN270" s="369"/>
      <c r="GO270" s="369"/>
      <c r="GP270" s="369"/>
      <c r="GQ270" s="369"/>
      <c r="GR270" s="369"/>
      <c r="GS270" s="369"/>
      <c r="GT270" s="369"/>
      <c r="GU270" s="369"/>
      <c r="GV270" s="369"/>
      <c r="GW270" s="369"/>
      <c r="GX270" s="369"/>
      <c r="GY270" s="369"/>
      <c r="GZ270" s="369"/>
      <c r="HA270" s="369"/>
      <c r="HB270" s="369"/>
      <c r="HC270" s="369"/>
      <c r="HD270" s="369"/>
      <c r="HE270" s="369"/>
      <c r="HF270" s="369"/>
      <c r="HG270" s="369"/>
      <c r="HH270" s="369"/>
      <c r="HI270" s="369"/>
      <c r="HJ270" s="369"/>
      <c r="HK270" s="369"/>
      <c r="HL270" s="369"/>
      <c r="HM270" s="369"/>
      <c r="HN270" s="369"/>
      <c r="HO270" s="369"/>
      <c r="HP270" s="369"/>
      <c r="HQ270" s="369"/>
      <c r="HR270" s="369"/>
      <c r="HS270" s="369"/>
      <c r="HT270" s="369"/>
      <c r="HU270" s="369"/>
      <c r="HV270" s="369"/>
      <c r="HW270" s="369"/>
      <c r="HX270" s="369"/>
      <c r="HY270" s="369"/>
      <c r="HZ270" s="369"/>
      <c r="IA270" s="369"/>
      <c r="IB270" s="369"/>
      <c r="IC270" s="369"/>
      <c r="ID270" s="369"/>
      <c r="IE270" s="369"/>
      <c r="IF270" s="369"/>
      <c r="IG270" s="369"/>
      <c r="IH270" s="369"/>
      <c r="II270" s="369"/>
      <c r="IJ270" s="369"/>
      <c r="IK270" s="369"/>
      <c r="IL270" s="369"/>
      <c r="IM270" s="369"/>
      <c r="IN270" s="369"/>
      <c r="IO270" s="369"/>
      <c r="IP270" s="369"/>
      <c r="IQ270" s="369"/>
      <c r="IR270" s="369"/>
      <c r="IS270" s="369"/>
      <c r="IT270" s="369"/>
      <c r="IU270" s="369"/>
      <c r="IV270" s="369"/>
      <c r="IW270" s="369"/>
      <c r="IX270" s="369"/>
      <c r="IY270" s="369"/>
      <c r="IZ270" s="369"/>
      <c r="JA270" s="369"/>
      <c r="JB270" s="369"/>
      <c r="JC270" s="369"/>
      <c r="JD270" s="369"/>
      <c r="JE270" s="369"/>
      <c r="JF270" s="369"/>
      <c r="JG270" s="369"/>
      <c r="JH270" s="369"/>
      <c r="JI270" s="369"/>
      <c r="JJ270" s="369"/>
      <c r="JK270" s="369"/>
      <c r="JL270" s="369"/>
      <c r="JM270" s="369"/>
      <c r="JN270" s="369"/>
      <c r="JO270" s="369"/>
      <c r="JP270" s="369"/>
      <c r="JQ270" s="369"/>
      <c r="JR270" s="369"/>
      <c r="JS270" s="369"/>
      <c r="JT270" s="369"/>
      <c r="JU270" s="369"/>
      <c r="JV270" s="369"/>
      <c r="JW270" s="369"/>
      <c r="JX270" s="369"/>
      <c r="JY270" s="369"/>
      <c r="JZ270" s="369"/>
      <c r="KA270" s="369"/>
      <c r="KB270" s="369"/>
      <c r="KC270" s="369"/>
      <c r="KD270" s="369"/>
      <c r="KE270" s="369"/>
      <c r="KF270" s="369"/>
      <c r="KG270" s="369"/>
      <c r="KH270" s="369"/>
      <c r="KI270" s="369"/>
      <c r="KJ270" s="369"/>
      <c r="KK270" s="369"/>
      <c r="KL270" s="369"/>
      <c r="KM270" s="369"/>
      <c r="KN270" s="369"/>
      <c r="KO270" s="369"/>
      <c r="KP270" s="369"/>
      <c r="KQ270" s="369"/>
      <c r="KR270" s="369"/>
      <c r="KS270" s="369"/>
      <c r="KT270" s="369"/>
      <c r="KU270" s="369"/>
      <c r="KV270" s="369"/>
      <c r="KW270" s="369"/>
      <c r="KX270" s="369"/>
      <c r="KY270" s="369"/>
      <c r="KZ270" s="369"/>
      <c r="LA270" s="369"/>
      <c r="LB270" s="369"/>
      <c r="LC270" s="369"/>
      <c r="LD270" s="369"/>
      <c r="LE270" s="369"/>
      <c r="LF270" s="369"/>
      <c r="LG270" s="369"/>
      <c r="LJ270" s="370"/>
    </row>
    <row r="271" spans="1:322" s="367" customFormat="1">
      <c r="A271" s="970" t="s">
        <v>243</v>
      </c>
      <c r="B271" s="970"/>
      <c r="D271" s="368"/>
      <c r="J271" s="368"/>
      <c r="O271" s="368"/>
      <c r="U271" s="368"/>
      <c r="AA271" s="368"/>
      <c r="BA271" s="369"/>
      <c r="BB271" s="369"/>
      <c r="BC271" s="369"/>
      <c r="BD271" s="369"/>
      <c r="BE271" s="369"/>
      <c r="BF271" s="369"/>
      <c r="BG271" s="369"/>
      <c r="BH271" s="369"/>
      <c r="BI271" s="369"/>
      <c r="BJ271" s="369"/>
      <c r="BK271" s="369"/>
      <c r="BL271" s="369"/>
      <c r="BM271" s="369"/>
      <c r="BN271" s="369"/>
      <c r="BO271" s="369"/>
      <c r="BP271" s="369"/>
      <c r="BQ271" s="369"/>
      <c r="BR271" s="369"/>
      <c r="BS271" s="369"/>
      <c r="BT271" s="369"/>
      <c r="BU271" s="369"/>
      <c r="BV271" s="369"/>
      <c r="BW271" s="369"/>
      <c r="BX271" s="369"/>
      <c r="BY271" s="369"/>
      <c r="BZ271" s="369"/>
      <c r="CA271" s="369"/>
      <c r="CB271" s="369"/>
      <c r="CC271" s="369"/>
      <c r="CD271" s="369"/>
      <c r="CE271" s="369"/>
      <c r="CF271" s="369"/>
      <c r="CG271" s="369"/>
      <c r="CH271" s="369"/>
      <c r="CI271" s="369"/>
      <c r="CJ271" s="369"/>
      <c r="CK271" s="369"/>
      <c r="CL271" s="369"/>
      <c r="CM271" s="369"/>
      <c r="CN271" s="369"/>
      <c r="CO271" s="369"/>
      <c r="CP271" s="369"/>
      <c r="CQ271" s="369"/>
      <c r="CR271" s="369"/>
      <c r="CS271" s="369"/>
      <c r="CT271" s="369"/>
      <c r="CU271" s="369"/>
      <c r="CV271" s="369"/>
      <c r="CW271" s="369"/>
      <c r="CX271" s="369"/>
      <c r="CY271" s="369"/>
      <c r="CZ271" s="369"/>
      <c r="DA271" s="369"/>
      <c r="DB271" s="369"/>
      <c r="DC271" s="369"/>
      <c r="DD271" s="369"/>
      <c r="DE271" s="369"/>
      <c r="DF271" s="369"/>
      <c r="DG271" s="369"/>
      <c r="DH271" s="369"/>
      <c r="DI271" s="369"/>
      <c r="DJ271" s="369"/>
      <c r="DK271" s="369"/>
      <c r="DL271" s="369"/>
      <c r="DM271" s="369"/>
      <c r="DN271" s="369"/>
      <c r="DO271" s="369"/>
      <c r="DP271" s="369"/>
      <c r="DQ271" s="369"/>
      <c r="DR271" s="369"/>
      <c r="DS271" s="369"/>
      <c r="DT271" s="369"/>
      <c r="DU271" s="369"/>
      <c r="DV271" s="369"/>
      <c r="DW271" s="369"/>
      <c r="DX271" s="369"/>
      <c r="DY271" s="369"/>
      <c r="DZ271" s="369"/>
      <c r="EA271" s="369"/>
      <c r="EB271" s="369"/>
      <c r="EC271" s="369"/>
      <c r="ED271" s="369"/>
      <c r="EE271" s="369"/>
      <c r="EF271" s="369"/>
      <c r="EG271" s="369"/>
      <c r="EH271" s="369"/>
      <c r="EI271" s="369"/>
      <c r="EJ271" s="369"/>
      <c r="EK271" s="369"/>
      <c r="EL271" s="369"/>
      <c r="EM271" s="369"/>
      <c r="EN271" s="369"/>
      <c r="EO271" s="369"/>
      <c r="EP271" s="369"/>
      <c r="EQ271" s="369"/>
      <c r="ER271" s="369"/>
      <c r="ES271" s="369"/>
      <c r="ET271" s="369"/>
      <c r="EU271" s="369"/>
      <c r="EV271" s="369"/>
      <c r="EW271" s="369"/>
      <c r="EX271" s="369"/>
      <c r="EY271" s="369"/>
      <c r="EZ271" s="369"/>
      <c r="FA271" s="369"/>
      <c r="FB271" s="369"/>
      <c r="FC271" s="369"/>
      <c r="FD271" s="369"/>
      <c r="FE271" s="369"/>
      <c r="FF271" s="369"/>
      <c r="FG271" s="369"/>
      <c r="FH271" s="369"/>
      <c r="FI271" s="369"/>
      <c r="FJ271" s="369"/>
      <c r="FK271" s="369"/>
      <c r="FL271" s="369"/>
      <c r="FM271" s="369"/>
      <c r="FN271" s="369"/>
      <c r="FO271" s="369"/>
      <c r="FP271" s="369"/>
      <c r="FQ271" s="369"/>
      <c r="FR271" s="369"/>
      <c r="FS271" s="369"/>
      <c r="FT271" s="369"/>
      <c r="FU271" s="369"/>
      <c r="FV271" s="369"/>
      <c r="FW271" s="369"/>
      <c r="FX271" s="369"/>
      <c r="FY271" s="369"/>
      <c r="FZ271" s="369"/>
      <c r="GA271" s="369"/>
      <c r="GB271" s="369"/>
      <c r="GC271" s="369"/>
      <c r="GD271" s="369"/>
      <c r="GE271" s="369"/>
      <c r="GF271" s="369"/>
      <c r="GG271" s="369"/>
      <c r="GH271" s="369"/>
      <c r="GI271" s="369"/>
      <c r="GJ271" s="369"/>
      <c r="GK271" s="369"/>
      <c r="GL271" s="369"/>
      <c r="GM271" s="369"/>
      <c r="GN271" s="369"/>
      <c r="GO271" s="369"/>
      <c r="GP271" s="369"/>
      <c r="GQ271" s="369"/>
      <c r="GR271" s="369"/>
      <c r="GS271" s="369"/>
      <c r="GT271" s="369"/>
      <c r="GU271" s="369"/>
      <c r="GV271" s="369"/>
      <c r="GW271" s="369"/>
      <c r="GX271" s="369"/>
      <c r="GY271" s="369"/>
      <c r="GZ271" s="369"/>
      <c r="HA271" s="369"/>
      <c r="HB271" s="369"/>
      <c r="HC271" s="369"/>
      <c r="HD271" s="369"/>
      <c r="HE271" s="369"/>
      <c r="HF271" s="369"/>
      <c r="HG271" s="369"/>
      <c r="HH271" s="369"/>
      <c r="HI271" s="369"/>
      <c r="HJ271" s="369"/>
      <c r="HK271" s="369"/>
      <c r="HL271" s="369"/>
      <c r="HM271" s="369"/>
      <c r="HN271" s="369"/>
      <c r="HO271" s="369"/>
      <c r="HP271" s="369"/>
      <c r="HQ271" s="369"/>
      <c r="HR271" s="369"/>
      <c r="HS271" s="369"/>
      <c r="HT271" s="369"/>
      <c r="HU271" s="369"/>
      <c r="HV271" s="369"/>
      <c r="HW271" s="369"/>
      <c r="HX271" s="369"/>
      <c r="HY271" s="369"/>
      <c r="HZ271" s="369"/>
      <c r="IA271" s="369"/>
      <c r="IB271" s="369"/>
      <c r="IC271" s="369"/>
      <c r="ID271" s="369"/>
      <c r="IE271" s="369"/>
      <c r="IF271" s="369"/>
      <c r="IG271" s="369"/>
      <c r="IH271" s="369"/>
      <c r="II271" s="369"/>
      <c r="IJ271" s="369"/>
      <c r="IK271" s="369"/>
      <c r="IL271" s="369"/>
      <c r="IM271" s="369"/>
      <c r="IN271" s="369"/>
      <c r="IO271" s="369"/>
      <c r="IP271" s="369"/>
      <c r="IQ271" s="369"/>
      <c r="IR271" s="369"/>
      <c r="IS271" s="369"/>
      <c r="IT271" s="369"/>
      <c r="IU271" s="369"/>
      <c r="IV271" s="369"/>
      <c r="IW271" s="369"/>
      <c r="IX271" s="369"/>
      <c r="IY271" s="369"/>
      <c r="IZ271" s="369"/>
      <c r="JA271" s="369"/>
      <c r="JB271" s="369"/>
      <c r="JC271" s="369"/>
      <c r="JD271" s="369"/>
      <c r="JE271" s="369"/>
      <c r="JF271" s="369"/>
      <c r="JG271" s="369"/>
      <c r="JH271" s="369"/>
      <c r="JI271" s="369"/>
      <c r="JJ271" s="369"/>
      <c r="JK271" s="369"/>
      <c r="JL271" s="369"/>
      <c r="JM271" s="369"/>
      <c r="JN271" s="369"/>
      <c r="JO271" s="369"/>
      <c r="JP271" s="369"/>
      <c r="JQ271" s="369"/>
      <c r="JR271" s="369"/>
      <c r="JS271" s="369"/>
      <c r="JT271" s="369"/>
      <c r="JU271" s="369"/>
      <c r="JV271" s="369"/>
      <c r="JW271" s="369"/>
      <c r="JX271" s="369"/>
      <c r="JY271" s="369"/>
      <c r="JZ271" s="369"/>
      <c r="KA271" s="369"/>
      <c r="KB271" s="369"/>
      <c r="KC271" s="369"/>
      <c r="KD271" s="369"/>
      <c r="KE271" s="369"/>
      <c r="KF271" s="369"/>
      <c r="KG271" s="369"/>
      <c r="KH271" s="369"/>
      <c r="KI271" s="369"/>
      <c r="KJ271" s="369"/>
      <c r="KK271" s="369"/>
      <c r="KL271" s="369"/>
      <c r="KM271" s="369"/>
      <c r="KN271" s="369"/>
      <c r="KO271" s="369"/>
      <c r="KP271" s="369"/>
      <c r="KQ271" s="369"/>
      <c r="KR271" s="369"/>
      <c r="KS271" s="369"/>
      <c r="KT271" s="369"/>
      <c r="KU271" s="369"/>
      <c r="KV271" s="369"/>
      <c r="KW271" s="369"/>
      <c r="KX271" s="369"/>
      <c r="KY271" s="369"/>
      <c r="KZ271" s="369"/>
      <c r="LA271" s="369"/>
      <c r="LB271" s="369"/>
      <c r="LC271" s="369"/>
      <c r="LD271" s="369"/>
      <c r="LE271" s="369"/>
      <c r="LF271" s="369"/>
      <c r="LG271" s="369"/>
      <c r="LJ271" s="370"/>
    </row>
    <row r="272" spans="1:322" s="367" customFormat="1">
      <c r="D272" s="368"/>
      <c r="J272" s="368"/>
      <c r="O272" s="368"/>
      <c r="U272" s="368"/>
      <c r="AA272" s="368"/>
      <c r="BA272" s="369"/>
      <c r="BB272" s="369"/>
      <c r="BC272" s="369"/>
      <c r="BD272" s="369"/>
      <c r="BE272" s="369"/>
      <c r="BF272" s="369"/>
      <c r="BG272" s="369"/>
      <c r="BH272" s="369"/>
      <c r="BI272" s="369"/>
      <c r="BJ272" s="369"/>
      <c r="BK272" s="369"/>
      <c r="BL272" s="369"/>
      <c r="BM272" s="369"/>
      <c r="BN272" s="369"/>
      <c r="BO272" s="369"/>
      <c r="BP272" s="369"/>
      <c r="BQ272" s="369"/>
      <c r="BR272" s="369"/>
      <c r="BS272" s="369"/>
      <c r="BT272" s="369"/>
      <c r="BU272" s="369"/>
      <c r="BV272" s="369"/>
      <c r="BW272" s="369"/>
      <c r="BX272" s="369"/>
      <c r="BY272" s="369"/>
      <c r="BZ272" s="369"/>
      <c r="CA272" s="369"/>
      <c r="CB272" s="369"/>
      <c r="CC272" s="369"/>
      <c r="CD272" s="369"/>
      <c r="CE272" s="369"/>
      <c r="CF272" s="369"/>
      <c r="CG272" s="369"/>
      <c r="CH272" s="369"/>
      <c r="CI272" s="369"/>
      <c r="CJ272" s="369"/>
      <c r="CK272" s="369"/>
      <c r="CL272" s="369"/>
      <c r="CM272" s="369"/>
      <c r="CN272" s="369"/>
      <c r="CO272" s="369"/>
      <c r="CP272" s="369"/>
      <c r="CQ272" s="369"/>
      <c r="CR272" s="369"/>
      <c r="CS272" s="369"/>
      <c r="CT272" s="369"/>
      <c r="CU272" s="369"/>
      <c r="CV272" s="369"/>
      <c r="CW272" s="369"/>
      <c r="CX272" s="369"/>
      <c r="CY272" s="369"/>
      <c r="CZ272" s="369"/>
      <c r="DA272" s="369"/>
      <c r="DB272" s="369"/>
      <c r="DC272" s="369"/>
      <c r="DD272" s="369"/>
      <c r="DE272" s="369"/>
      <c r="DF272" s="369"/>
      <c r="DG272" s="369"/>
      <c r="DH272" s="369"/>
      <c r="DI272" s="369"/>
      <c r="DJ272" s="369"/>
      <c r="DK272" s="369"/>
      <c r="DL272" s="369"/>
      <c r="DM272" s="369"/>
      <c r="DN272" s="369"/>
      <c r="DO272" s="369"/>
      <c r="DP272" s="369"/>
      <c r="DQ272" s="369"/>
      <c r="DR272" s="369"/>
      <c r="DS272" s="369"/>
      <c r="DT272" s="369"/>
      <c r="DU272" s="369"/>
      <c r="DV272" s="369"/>
      <c r="DW272" s="369"/>
      <c r="DX272" s="369"/>
      <c r="DY272" s="369"/>
      <c r="DZ272" s="369"/>
      <c r="EA272" s="369"/>
      <c r="EB272" s="369"/>
      <c r="EC272" s="369"/>
      <c r="ED272" s="369"/>
      <c r="EE272" s="369"/>
      <c r="EF272" s="369"/>
      <c r="EG272" s="369"/>
      <c r="EH272" s="369"/>
      <c r="EI272" s="369"/>
      <c r="EJ272" s="369"/>
      <c r="EK272" s="369"/>
      <c r="EL272" s="369"/>
      <c r="EM272" s="369"/>
      <c r="EN272" s="369"/>
      <c r="EO272" s="369"/>
      <c r="EP272" s="369"/>
      <c r="EQ272" s="369"/>
      <c r="ER272" s="369"/>
      <c r="ES272" s="369"/>
      <c r="ET272" s="369"/>
      <c r="EU272" s="369"/>
      <c r="EV272" s="369"/>
      <c r="EW272" s="369"/>
      <c r="EX272" s="369"/>
      <c r="EY272" s="369"/>
      <c r="EZ272" s="369"/>
      <c r="FA272" s="369"/>
      <c r="FB272" s="369"/>
      <c r="FC272" s="369"/>
      <c r="FD272" s="369"/>
      <c r="FE272" s="369"/>
      <c r="FF272" s="369"/>
      <c r="FG272" s="369"/>
      <c r="FH272" s="369"/>
      <c r="FI272" s="369"/>
      <c r="FJ272" s="369"/>
      <c r="FK272" s="369"/>
      <c r="FL272" s="369"/>
      <c r="FM272" s="369"/>
      <c r="FN272" s="369"/>
      <c r="FO272" s="369"/>
      <c r="FP272" s="369"/>
      <c r="FQ272" s="369"/>
      <c r="FR272" s="369"/>
      <c r="FS272" s="369"/>
      <c r="FT272" s="369"/>
      <c r="FU272" s="369"/>
      <c r="FV272" s="369"/>
      <c r="FW272" s="369"/>
      <c r="FX272" s="369"/>
      <c r="FY272" s="369"/>
      <c r="FZ272" s="369"/>
      <c r="GA272" s="369"/>
      <c r="GB272" s="369"/>
      <c r="GC272" s="369"/>
      <c r="GD272" s="369"/>
      <c r="GE272" s="369"/>
      <c r="GF272" s="369"/>
      <c r="GG272" s="369"/>
      <c r="GH272" s="369"/>
      <c r="GI272" s="369"/>
      <c r="GJ272" s="369"/>
      <c r="GK272" s="369"/>
      <c r="GL272" s="369"/>
      <c r="GM272" s="369"/>
      <c r="GN272" s="369"/>
      <c r="GO272" s="369"/>
      <c r="GP272" s="369"/>
      <c r="GQ272" s="369"/>
      <c r="GR272" s="369"/>
      <c r="GS272" s="369"/>
      <c r="GT272" s="369"/>
      <c r="GU272" s="369"/>
      <c r="GV272" s="369"/>
      <c r="GW272" s="369"/>
      <c r="GX272" s="369"/>
      <c r="GY272" s="369"/>
      <c r="GZ272" s="369"/>
      <c r="HA272" s="369"/>
      <c r="HB272" s="369"/>
      <c r="HC272" s="369"/>
      <c r="HD272" s="369"/>
      <c r="HE272" s="369"/>
      <c r="HF272" s="369"/>
      <c r="HG272" s="369"/>
      <c r="HH272" s="369"/>
      <c r="HI272" s="369"/>
      <c r="HJ272" s="369"/>
      <c r="HK272" s="369"/>
      <c r="HL272" s="369"/>
      <c r="HM272" s="369"/>
      <c r="HN272" s="369"/>
      <c r="HO272" s="369"/>
      <c r="HP272" s="369"/>
      <c r="HQ272" s="369"/>
      <c r="HR272" s="369"/>
      <c r="HS272" s="369"/>
      <c r="HT272" s="369"/>
      <c r="HU272" s="369"/>
      <c r="HV272" s="369"/>
      <c r="HW272" s="369"/>
      <c r="HX272" s="369"/>
      <c r="HY272" s="369"/>
      <c r="HZ272" s="369"/>
      <c r="IA272" s="369"/>
      <c r="IB272" s="369"/>
      <c r="IC272" s="369"/>
      <c r="ID272" s="369"/>
      <c r="IE272" s="369"/>
      <c r="IF272" s="369"/>
      <c r="IG272" s="369"/>
      <c r="IH272" s="369"/>
      <c r="II272" s="369"/>
      <c r="IJ272" s="369"/>
      <c r="IK272" s="369"/>
      <c r="IL272" s="369"/>
      <c r="IM272" s="369"/>
      <c r="IN272" s="369"/>
      <c r="IO272" s="369"/>
      <c r="IP272" s="369"/>
      <c r="IQ272" s="369"/>
      <c r="IR272" s="369"/>
      <c r="IS272" s="369"/>
      <c r="IT272" s="369"/>
      <c r="IU272" s="369"/>
      <c r="IV272" s="369"/>
      <c r="IW272" s="369"/>
      <c r="IX272" s="369"/>
      <c r="IY272" s="369"/>
      <c r="IZ272" s="369"/>
      <c r="JA272" s="369"/>
      <c r="JB272" s="369"/>
      <c r="JC272" s="369"/>
      <c r="JD272" s="369"/>
      <c r="JE272" s="369"/>
      <c r="JF272" s="369"/>
      <c r="JG272" s="369"/>
      <c r="JH272" s="369"/>
      <c r="JI272" s="369"/>
      <c r="JJ272" s="369"/>
      <c r="JK272" s="369"/>
      <c r="JL272" s="369"/>
      <c r="JM272" s="369"/>
      <c r="JN272" s="369"/>
      <c r="JO272" s="369"/>
      <c r="JP272" s="369"/>
      <c r="JQ272" s="369"/>
      <c r="JR272" s="369"/>
      <c r="JS272" s="369"/>
      <c r="JT272" s="369"/>
      <c r="JU272" s="369"/>
      <c r="JV272" s="369"/>
      <c r="JW272" s="369"/>
      <c r="JX272" s="369"/>
      <c r="JY272" s="369"/>
      <c r="JZ272" s="369"/>
      <c r="KA272" s="369"/>
      <c r="KB272" s="369"/>
      <c r="KC272" s="369"/>
      <c r="KD272" s="369"/>
      <c r="KE272" s="369"/>
      <c r="KF272" s="369"/>
      <c r="KG272" s="369"/>
      <c r="KH272" s="369"/>
      <c r="KI272" s="369"/>
      <c r="KJ272" s="369"/>
      <c r="KK272" s="369"/>
      <c r="KL272" s="369"/>
      <c r="KM272" s="369"/>
      <c r="KN272" s="369"/>
      <c r="KO272" s="369"/>
      <c r="KP272" s="369"/>
      <c r="KQ272" s="369"/>
      <c r="KR272" s="369"/>
      <c r="KS272" s="369"/>
      <c r="KT272" s="369"/>
      <c r="KU272" s="369"/>
      <c r="KV272" s="369"/>
      <c r="KW272" s="369"/>
      <c r="KX272" s="369"/>
      <c r="KY272" s="369"/>
      <c r="KZ272" s="369"/>
      <c r="LA272" s="369"/>
      <c r="LB272" s="369"/>
      <c r="LC272" s="369"/>
      <c r="LD272" s="369"/>
      <c r="LE272" s="369"/>
      <c r="LF272" s="369"/>
      <c r="LG272" s="369"/>
      <c r="LJ272" s="370"/>
    </row>
    <row r="273" spans="1:319" s="370" customFormat="1">
      <c r="A273" s="371" t="s">
        <v>30</v>
      </c>
      <c r="B273" s="371">
        <v>169240.23</v>
      </c>
      <c r="C273" s="371">
        <f>B273+C121</f>
        <v>169240.23</v>
      </c>
      <c r="D273" s="371">
        <f>B273+D121</f>
        <v>169240.23</v>
      </c>
      <c r="E273" s="371">
        <f>D273+E121</f>
        <v>169240.23</v>
      </c>
      <c r="F273" s="371">
        <f>E273+F121</f>
        <v>169240.23</v>
      </c>
      <c r="G273" s="371">
        <f>F273+G121</f>
        <v>169240.23</v>
      </c>
      <c r="H273" s="371">
        <f>G273+H121</f>
        <v>169240.23</v>
      </c>
      <c r="I273" s="371">
        <f>H273+I121</f>
        <v>160667.73000000001</v>
      </c>
      <c r="J273" s="371">
        <f>D273+J121</f>
        <v>160667.73000000001</v>
      </c>
      <c r="K273" s="371">
        <f>J273+K121</f>
        <v>160667.73000000001</v>
      </c>
      <c r="L273" s="371">
        <f>K273+L121</f>
        <v>160667.73000000001</v>
      </c>
      <c r="M273" s="371">
        <f>K273+M121</f>
        <v>160662.30000000002</v>
      </c>
      <c r="N273" s="371">
        <f>M273+N121</f>
        <v>147662.30000000002</v>
      </c>
      <c r="O273" s="371">
        <f>J273+O121</f>
        <v>147662.30000000002</v>
      </c>
      <c r="P273" s="371">
        <f>O273+P121</f>
        <v>147662.30000000002</v>
      </c>
      <c r="Q273" s="371">
        <f>P273+Q121</f>
        <v>147662.30000000002</v>
      </c>
      <c r="R273" s="371">
        <f>Q273+R121</f>
        <v>147662.30000000002</v>
      </c>
      <c r="S273" s="371">
        <f>R273+S121</f>
        <v>147662.30000000002</v>
      </c>
      <c r="T273" s="371">
        <f>S273+T121</f>
        <v>147662.30000000002</v>
      </c>
      <c r="U273" s="371">
        <f>O273+U121</f>
        <v>147662.30000000002</v>
      </c>
      <c r="V273" s="371">
        <f>U273+V121</f>
        <v>666087.93000000005</v>
      </c>
      <c r="W273" s="371">
        <f>V273+W121</f>
        <v>666087.93000000005</v>
      </c>
      <c r="X273" s="371">
        <f>W273+X121</f>
        <v>676539.01</v>
      </c>
      <c r="Y273" s="371">
        <f>X273+Y121</f>
        <v>676539.01</v>
      </c>
      <c r="Z273" s="371">
        <f>Y273+Z121</f>
        <v>609782.05000000005</v>
      </c>
      <c r="AA273" s="371">
        <f>U273+AA121</f>
        <v>609782.05000000005</v>
      </c>
      <c r="AB273" s="371">
        <f>B273+AB121</f>
        <v>609782.05000000005</v>
      </c>
      <c r="AC273" s="371">
        <f>AB273+AC121</f>
        <v>609782.05000000005</v>
      </c>
      <c r="AD273" s="371">
        <f>AC273+AD121</f>
        <v>90523.090000000026</v>
      </c>
      <c r="AE273" s="371">
        <f>AD273+AE121</f>
        <v>90523.090000000026</v>
      </c>
      <c r="AF273" s="371">
        <f>AE273+AF121</f>
        <v>98547.090000000026</v>
      </c>
      <c r="AG273" s="371">
        <f>AF273+AG121</f>
        <v>98547.090000000026</v>
      </c>
      <c r="AH273" s="371">
        <f>AB273+AH121</f>
        <v>98547.090000000026</v>
      </c>
      <c r="AI273" s="371">
        <f>AH273+AI121</f>
        <v>98547.090000000026</v>
      </c>
      <c r="AJ273" s="371">
        <f>AI273+AJ121</f>
        <v>98534.090000000026</v>
      </c>
      <c r="AK273" s="371">
        <f>AJ273+AK121</f>
        <v>98534.090000000026</v>
      </c>
      <c r="AL273" s="371">
        <f>AK273+AL121</f>
        <v>98534.090000000026</v>
      </c>
      <c r="AM273" s="371">
        <f>AL273+AM121</f>
        <v>98534.090000000026</v>
      </c>
      <c r="AN273" s="371">
        <f>AH273+AN121</f>
        <v>98534.090000000026</v>
      </c>
      <c r="AO273" s="371">
        <f>AN273+AO121</f>
        <v>98534.090000000026</v>
      </c>
      <c r="AP273" s="371">
        <f>AO273+AP121</f>
        <v>98534.090000000026</v>
      </c>
      <c r="AQ273" s="371">
        <f>AP273+AQ121</f>
        <v>111009.09000000003</v>
      </c>
      <c r="AR273" s="371">
        <f>AQ273+AR121</f>
        <v>111009.09000000003</v>
      </c>
      <c r="AS273" s="371">
        <f>AR273+AS121</f>
        <v>447264.09</v>
      </c>
      <c r="AT273" s="371">
        <f>AN273+AT121</f>
        <v>447264.09</v>
      </c>
      <c r="AU273" s="371">
        <f>AT273+AU121</f>
        <v>297239.09000000003</v>
      </c>
      <c r="AV273" s="371">
        <f>AU273+AV121</f>
        <v>297239.09000000003</v>
      </c>
      <c r="AW273" s="371">
        <f>AV273+AW121</f>
        <v>297227.09000000003</v>
      </c>
      <c r="AX273" s="371">
        <f>AW273+AX121</f>
        <v>290051.60000000003</v>
      </c>
      <c r="AY273" s="371">
        <f>AX273+AY121</f>
        <v>302439.60000000003</v>
      </c>
      <c r="AZ273" s="371">
        <f>AT273+AZ121</f>
        <v>302439.60000000003</v>
      </c>
      <c r="BA273" s="371">
        <f>AB273+BA121</f>
        <v>302439.60000000009</v>
      </c>
      <c r="BB273" s="371">
        <f>BA273+BB121</f>
        <v>302439.60000000009</v>
      </c>
      <c r="BC273" s="371">
        <f>BB273+BC121</f>
        <v>302439.60000000009</v>
      </c>
      <c r="BD273" s="371">
        <f>BC273+BD121</f>
        <v>234039.38000000009</v>
      </c>
      <c r="BE273" s="371">
        <f>BD273+BE121</f>
        <v>402745.38000000012</v>
      </c>
      <c r="BF273" s="371">
        <f>BE273+BF121</f>
        <v>569952.63000000012</v>
      </c>
      <c r="BG273" s="371">
        <f>BA273+BG121</f>
        <v>569952.63000000012</v>
      </c>
      <c r="BH273" s="371">
        <f>BG273+BH121</f>
        <v>569952.63000000012</v>
      </c>
      <c r="BI273" s="371">
        <f>BH273+BI121</f>
        <v>569952.63000000012</v>
      </c>
      <c r="BJ273" s="371">
        <f>BI273+BJ121</f>
        <v>448088.32000000012</v>
      </c>
      <c r="BK273" s="371">
        <f>BJ273+BK121</f>
        <v>148088.32000000012</v>
      </c>
      <c r="BL273" s="371">
        <f>BK273+BL121</f>
        <v>148088.32000000012</v>
      </c>
      <c r="BM273" s="371">
        <f>BG273+BM121</f>
        <v>148088.32000000012</v>
      </c>
      <c r="BN273" s="371">
        <f>BM273+BN121</f>
        <v>148088.32000000012</v>
      </c>
      <c r="BO273" s="371">
        <f>BN273+BO121</f>
        <v>58464.420000000129</v>
      </c>
      <c r="BP273" s="371">
        <f>BO273+BP121</f>
        <v>58464.420000000129</v>
      </c>
      <c r="BQ273" s="371">
        <f>BP273+BQ121</f>
        <v>58464.420000000129</v>
      </c>
      <c r="BR273" s="371">
        <f>BM273+BR121</f>
        <v>58464.420000000129</v>
      </c>
      <c r="BS273" s="371">
        <f>BR273+BS121</f>
        <v>58464.420000000129</v>
      </c>
      <c r="BT273" s="371">
        <f>BS273+BT121</f>
        <v>58464.420000000129</v>
      </c>
      <c r="BU273" s="371">
        <f>BT273+BU121</f>
        <v>58464.420000000129</v>
      </c>
      <c r="BV273" s="371">
        <f>BU273+BV121</f>
        <v>58464.420000000129</v>
      </c>
      <c r="BW273" s="371">
        <f>BV273+BW121</f>
        <v>58464.420000000129</v>
      </c>
      <c r="BX273" s="371">
        <f>BR273+BX121</f>
        <v>58464.420000000129</v>
      </c>
      <c r="BY273" s="371">
        <f>BX273+BY121</f>
        <v>58464.420000000129</v>
      </c>
      <c r="BZ273" s="371">
        <f>BY273+BZ121</f>
        <v>58464.420000000129</v>
      </c>
      <c r="CA273" s="371">
        <f>BX273+CA121</f>
        <v>58464.420000000129</v>
      </c>
      <c r="CB273" s="371">
        <f>BA273+CB121</f>
        <v>58464.420000000158</v>
      </c>
      <c r="CC273" s="371">
        <f>CB273+CC121</f>
        <v>58464.420000000158</v>
      </c>
      <c r="CD273" s="371">
        <f>CC273+CD121</f>
        <v>58458.740000000158</v>
      </c>
      <c r="CE273" s="371">
        <f>CD273+CE121</f>
        <v>83432.740000000165</v>
      </c>
      <c r="CF273" s="371">
        <f>CB273+CF121</f>
        <v>83432.740000000165</v>
      </c>
      <c r="CG273" s="371">
        <f>CF273+CG121</f>
        <v>83432.740000000165</v>
      </c>
      <c r="CH273" s="371">
        <f>CG273+CH121</f>
        <v>83432.740000000165</v>
      </c>
      <c r="CI273" s="371">
        <f>CH273+CI121</f>
        <v>3432.7400000001653</v>
      </c>
      <c r="CJ273" s="371">
        <f>CI273+CJ121</f>
        <v>3432.7400000001653</v>
      </c>
      <c r="CK273" s="371">
        <f>CF273+CK121</f>
        <v>3432.7400000001653</v>
      </c>
      <c r="CL273" s="371">
        <f>CK273+CL121</f>
        <v>3432.7400000001653</v>
      </c>
      <c r="CM273" s="371">
        <f>CL273+CM121</f>
        <v>3432.7400000001653</v>
      </c>
      <c r="CN273" s="371">
        <f>CM273+CN121</f>
        <v>25191.650000000165</v>
      </c>
      <c r="CO273" s="371">
        <f>CN273+CO121</f>
        <v>25191.650000000165</v>
      </c>
      <c r="CP273" s="371">
        <f>CO273+CP121</f>
        <v>25191.650000000165</v>
      </c>
      <c r="CQ273" s="371">
        <f>CK273+CQ121</f>
        <v>25191.650000000165</v>
      </c>
      <c r="CR273" s="371">
        <f>CQ273+CR121</f>
        <v>1934.3300000001655</v>
      </c>
      <c r="CS273" s="371">
        <f>CR273+CS121</f>
        <v>1934.3300000001655</v>
      </c>
      <c r="CT273" s="371">
        <f>CS273+CT121</f>
        <v>1934.3300000001655</v>
      </c>
      <c r="CU273" s="371">
        <f>CT273+CU121</f>
        <v>1934.3300000001655</v>
      </c>
      <c r="CV273" s="371">
        <f>CU273+CV121</f>
        <v>1934.3300000001655</v>
      </c>
      <c r="CW273" s="371">
        <f>CQ273+CW121</f>
        <v>1934.3300000001655</v>
      </c>
      <c r="CX273" s="371">
        <f>CW273+CX121</f>
        <v>1934.3300000001655</v>
      </c>
      <c r="CY273" s="371">
        <f>CX273+CY121</f>
        <v>1934.3300000001655</v>
      </c>
      <c r="CZ273" s="371">
        <f>CY273+CZ121</f>
        <v>1934.3300000001655</v>
      </c>
      <c r="DA273" s="371">
        <f>CZ273+DA121</f>
        <v>1934.3300000001655</v>
      </c>
      <c r="DB273" s="371">
        <f>CW273+DB121</f>
        <v>1934.3300000001655</v>
      </c>
      <c r="DC273" s="371">
        <f>CB273+DC121</f>
        <v>1934.3300000001618</v>
      </c>
      <c r="DD273" s="371">
        <f>DC273+DD121</f>
        <v>1934.3300000001618</v>
      </c>
      <c r="DE273" s="371">
        <f>DD273+DE121</f>
        <v>1934.3300000001618</v>
      </c>
      <c r="DF273" s="371">
        <f>DE273+DF121</f>
        <v>14421.330000000162</v>
      </c>
      <c r="DG273" s="371">
        <f>DF273+DG121</f>
        <v>14421.330000000162</v>
      </c>
      <c r="DH273" s="371">
        <f>DG273+DH121</f>
        <v>14421.330000000162</v>
      </c>
      <c r="DI273" s="371">
        <f>DC273+DI121</f>
        <v>14421.330000000162</v>
      </c>
      <c r="DJ273" s="371">
        <f>DI273+DJ121</f>
        <v>14421.330000000162</v>
      </c>
      <c r="DK273" s="371">
        <f>DJ273+DK121</f>
        <v>14421.330000000162</v>
      </c>
      <c r="DL273" s="371">
        <f>DK273+DL121</f>
        <v>14421.330000000162</v>
      </c>
      <c r="DM273" s="371">
        <f>DL273+DM121</f>
        <v>14421.330000000162</v>
      </c>
      <c r="DN273" s="371">
        <f>DM273+DN121</f>
        <v>14421.330000000162</v>
      </c>
      <c r="DO273" s="371">
        <f>DI273+DO121</f>
        <v>14421.330000000162</v>
      </c>
      <c r="DP273" s="371">
        <f>DO273+DP121</f>
        <v>121516.38000000016</v>
      </c>
      <c r="DQ273" s="371">
        <f>DP273+DQ121</f>
        <v>121516.38000000016</v>
      </c>
      <c r="DR273" s="371">
        <f>DQ273+DR121</f>
        <v>121516.38000000016</v>
      </c>
      <c r="DS273" s="371">
        <f>DR273+DS121</f>
        <v>121516.38000000016</v>
      </c>
      <c r="DT273" s="371">
        <f>DS273+DT121</f>
        <v>133199.86000000016</v>
      </c>
      <c r="DU273" s="371">
        <f>DO273+DU121</f>
        <v>133199.86000000016</v>
      </c>
      <c r="DV273" s="371">
        <f>DU273+DV121</f>
        <v>215561.60000000015</v>
      </c>
      <c r="DW273" s="371">
        <f>DV273+DW121</f>
        <v>215561.60000000015</v>
      </c>
      <c r="DX273" s="371">
        <f>DW273+DX121</f>
        <v>96682.13000000015</v>
      </c>
      <c r="DY273" s="371">
        <f>DX273+DY121</f>
        <v>216823.98000000016</v>
      </c>
      <c r="DZ273" s="371">
        <f>DY273+DZ121</f>
        <v>216823.98000000016</v>
      </c>
      <c r="EA273" s="371">
        <f>DU273+EA121</f>
        <v>216823.98000000019</v>
      </c>
      <c r="EB273" s="371">
        <f>DC273+EB121</f>
        <v>216823.98000000016</v>
      </c>
      <c r="EC273" s="371">
        <f>EB273+EC121</f>
        <v>216823.98000000016</v>
      </c>
      <c r="ED273" s="371">
        <f>EC273+ED121</f>
        <v>133839.34000000014</v>
      </c>
      <c r="EE273" s="371">
        <f>ED273+EE121</f>
        <v>133839.34000000014</v>
      </c>
      <c r="EF273" s="371">
        <f>EE273+EF121</f>
        <v>145920.47000000015</v>
      </c>
      <c r="EG273" s="371">
        <f>EF273+EG121</f>
        <v>145908.47000000015</v>
      </c>
      <c r="EH273" s="371">
        <f>EB273+EH121</f>
        <v>145908.47000000015</v>
      </c>
      <c r="EI273" s="371">
        <f>EH273+EI121</f>
        <v>13335.600000000151</v>
      </c>
      <c r="EJ273" s="371">
        <f>EI273+EJ121</f>
        <v>13335.600000000151</v>
      </c>
      <c r="EK273" s="371">
        <f>EJ273+EK121</f>
        <v>13335.600000000151</v>
      </c>
      <c r="EL273" s="371">
        <f>EK273+EL121</f>
        <v>13335.600000000151</v>
      </c>
      <c r="EM273" s="371">
        <f>EL273+EM121</f>
        <v>13335.600000000151</v>
      </c>
      <c r="EN273" s="371">
        <f>EH273+EN121</f>
        <v>13335.600000000151</v>
      </c>
      <c r="EO273" s="371">
        <f>EN273+EO121</f>
        <v>13335.600000000151</v>
      </c>
      <c r="EP273" s="371">
        <f>EO273+EP121</f>
        <v>13335.600000000151</v>
      </c>
      <c r="EQ273" s="371">
        <f>EP273+EQ121</f>
        <v>13335.600000000151</v>
      </c>
      <c r="ER273" s="371">
        <f>EQ273+ER121</f>
        <v>13335.600000000151</v>
      </c>
      <c r="ES273" s="371">
        <f>ER273+ES121</f>
        <v>13335.600000000151</v>
      </c>
      <c r="ET273" s="371">
        <f>EN273+ET121</f>
        <v>13335.600000000151</v>
      </c>
      <c r="EU273" s="371">
        <f t="shared" ref="EU273:FA273" si="762">ET273+EU121</f>
        <v>13335.600000000151</v>
      </c>
      <c r="EV273" s="371">
        <f t="shared" si="762"/>
        <v>13335.600000000151</v>
      </c>
      <c r="EW273" s="371">
        <f t="shared" si="762"/>
        <v>13335.600000000151</v>
      </c>
      <c r="EX273" s="371">
        <f t="shared" si="762"/>
        <v>13335.600000000151</v>
      </c>
      <c r="EY273" s="371">
        <f t="shared" si="762"/>
        <v>13335.600000000151</v>
      </c>
      <c r="EZ273" s="371">
        <f t="shared" si="762"/>
        <v>13335.600000000151</v>
      </c>
      <c r="FA273" s="371">
        <f t="shared" si="762"/>
        <v>13335.600000000151</v>
      </c>
      <c r="FB273" s="371">
        <f>ET273+FB121</f>
        <v>13335.600000000151</v>
      </c>
      <c r="FC273" s="371">
        <f>EB273+FC121</f>
        <v>13335.600000000151</v>
      </c>
      <c r="FD273" s="371">
        <f>FC273+FD121</f>
        <v>13335.600000000151</v>
      </c>
      <c r="FE273" s="371">
        <f>FD273+FE121</f>
        <v>13335.600000000151</v>
      </c>
      <c r="FF273" s="371">
        <f>FE273+FF121</f>
        <v>13330.030000000152</v>
      </c>
      <c r="FG273" s="371">
        <f>FC273+FG121</f>
        <v>13330.030000000152</v>
      </c>
      <c r="FH273" s="371">
        <f>FG273+FH121</f>
        <v>13330.030000000152</v>
      </c>
      <c r="FI273" s="371">
        <f>FH273+FI121</f>
        <v>13330.030000000152</v>
      </c>
      <c r="FJ273" s="371">
        <f>FI273+FJ121</f>
        <v>13330.030000000152</v>
      </c>
      <c r="FK273" s="371">
        <f>FJ273+FK121</f>
        <v>13330.030000000152</v>
      </c>
      <c r="FL273" s="371">
        <f>FK273+FL121</f>
        <v>13330.030000000152</v>
      </c>
      <c r="FM273" s="371">
        <f>FG273+FM121</f>
        <v>13330.030000000152</v>
      </c>
      <c r="FN273" s="371">
        <f>FM273+FN121</f>
        <v>13330.030000000152</v>
      </c>
      <c r="FO273" s="371">
        <f>FN273+FO121</f>
        <v>13330.030000000152</v>
      </c>
      <c r="FP273" s="371">
        <f>FO273+FP121</f>
        <v>13330.030000000152</v>
      </c>
      <c r="FQ273" s="371">
        <f>FP273+FQ121</f>
        <v>7850.2600000001512</v>
      </c>
      <c r="FR273" s="371">
        <f>FM273+FR121</f>
        <v>7850.2600000001512</v>
      </c>
      <c r="FS273" s="371">
        <f>FR273+FS121</f>
        <v>7850.2600000001512</v>
      </c>
      <c r="FT273" s="371">
        <f>FS273+FT121</f>
        <v>7850.2600000001512</v>
      </c>
      <c r="FU273" s="371">
        <f>FT273+FU121</f>
        <v>7850.2600000001512</v>
      </c>
      <c r="FV273" s="371">
        <f>FU273+FV121</f>
        <v>47509.460000000152</v>
      </c>
      <c r="FW273" s="371">
        <f>FV273+FW121</f>
        <v>47509.460000000152</v>
      </c>
      <c r="FX273" s="371">
        <f>FR273+FX121</f>
        <v>47509.460000000152</v>
      </c>
      <c r="FY273" s="371">
        <f>FX273+FY121</f>
        <v>47509.460000000152</v>
      </c>
      <c r="FZ273" s="371">
        <f>FY273+FZ121</f>
        <v>19504.500000000153</v>
      </c>
      <c r="GA273" s="371">
        <f>FZ273+GA121</f>
        <v>19484.500000000153</v>
      </c>
      <c r="GB273" s="371">
        <f>GA273+GB121</f>
        <v>1644.0000000001528</v>
      </c>
      <c r="GC273" s="371">
        <f>GB273+GC121</f>
        <v>1644.0000000001528</v>
      </c>
      <c r="GD273" s="371">
        <f>FX273+GD121</f>
        <v>1644.0000000001528</v>
      </c>
      <c r="GE273" s="371">
        <f>FC273+GE121</f>
        <v>1644.0000000001528</v>
      </c>
      <c r="GF273" s="371">
        <f>GE273+GF121</f>
        <v>1644.0000000001528</v>
      </c>
      <c r="GG273" s="371">
        <f>GF273+GG121</f>
        <v>1644.0000000001528</v>
      </c>
      <c r="GH273" s="371">
        <f>GG273+GH121</f>
        <v>1644.0000000001528</v>
      </c>
      <c r="GI273" s="371">
        <f>GH273+GI121</f>
        <v>1644.0000000001528</v>
      </c>
      <c r="GJ273" s="371">
        <f>GI273+GJ121</f>
        <v>1644.0000000001528</v>
      </c>
      <c r="GK273" s="371">
        <f>GE273+GK121</f>
        <v>1644.0000000001528</v>
      </c>
      <c r="GL273" s="371">
        <f>GK273+GL121</f>
        <v>1644.0000000001528</v>
      </c>
      <c r="GM273" s="371">
        <f>GL273+GM121</f>
        <v>1644.0000000001528</v>
      </c>
      <c r="GN273" s="371">
        <f>GM273+GN121</f>
        <v>166341.76000000015</v>
      </c>
      <c r="GO273" s="371">
        <f>GN273+GO121</f>
        <v>166341.76000000015</v>
      </c>
      <c r="GP273" s="371">
        <f>GK273+GP121</f>
        <v>166341.76000000015</v>
      </c>
      <c r="GQ273" s="371">
        <f>GP273+GQ121</f>
        <v>166341.76000000015</v>
      </c>
      <c r="GR273" s="371">
        <f>GQ273+GR121</f>
        <v>166341.76000000015</v>
      </c>
      <c r="GS273" s="371">
        <f>GR273+GS121</f>
        <v>166341.76000000015</v>
      </c>
      <c r="GT273" s="371">
        <f>GS273+GT121</f>
        <v>166341.76000000015</v>
      </c>
      <c r="GU273" s="371">
        <f>GT273+GU121</f>
        <v>371914.24000000017</v>
      </c>
      <c r="GV273" s="371">
        <f>GP273+GV121</f>
        <v>371914.24000000017</v>
      </c>
      <c r="GW273" s="371">
        <f t="shared" ref="GW273:HB273" si="763">GV273+GW121</f>
        <v>320465.65400000016</v>
      </c>
      <c r="GX273" s="371">
        <f t="shared" si="763"/>
        <v>320465.65400000016</v>
      </c>
      <c r="GY273" s="371">
        <f t="shared" si="763"/>
        <v>320465.65400000016</v>
      </c>
      <c r="GZ273" s="371">
        <f t="shared" si="763"/>
        <v>146237.58400000015</v>
      </c>
      <c r="HA273" s="371">
        <f t="shared" si="763"/>
        <v>146237.58400000015</v>
      </c>
      <c r="HB273" s="371">
        <f t="shared" si="763"/>
        <v>68434.864000000161</v>
      </c>
      <c r="HC273" s="371">
        <f>GV273+HC121</f>
        <v>68434.864000000176</v>
      </c>
      <c r="HD273" s="371">
        <f>GE273+HD121</f>
        <v>68434.864000000147</v>
      </c>
      <c r="HE273" s="371">
        <f>HD273+HE121</f>
        <v>68434.864000000147</v>
      </c>
      <c r="HF273" s="371">
        <f>HE273+HF121</f>
        <v>68434.864000000147</v>
      </c>
      <c r="HG273" s="371">
        <f>HF273+HG121</f>
        <v>68434.864000000147</v>
      </c>
      <c r="HH273" s="371">
        <f>HG273+HH121</f>
        <v>68434.864000000147</v>
      </c>
      <c r="HI273" s="371">
        <f>HD273+HI121</f>
        <v>68434.864000000147</v>
      </c>
      <c r="HJ273" s="371">
        <f>HI273+HJ121</f>
        <v>33559.904000000148</v>
      </c>
      <c r="HK273" s="371">
        <f>HJ273+HK121</f>
        <v>33559.904000000148</v>
      </c>
      <c r="HL273" s="371">
        <f>HK273+HL121</f>
        <v>33559.904000000148</v>
      </c>
      <c r="HM273" s="371">
        <f>HL273+HM121</f>
        <v>45345.834320272115</v>
      </c>
      <c r="HN273" s="371">
        <f>HM273+HN121</f>
        <v>45345.834320272115</v>
      </c>
      <c r="HO273" s="371">
        <f>HI273+HO121</f>
        <v>45345.834320272115</v>
      </c>
      <c r="HP273" s="371">
        <f>HO273+HP121</f>
        <v>45345.834320272115</v>
      </c>
      <c r="HQ273" s="371">
        <f>HP273+HQ121</f>
        <v>45345.834320272115</v>
      </c>
      <c r="HR273" s="371">
        <f>HQ273+HR121</f>
        <v>45345.834320272115</v>
      </c>
      <c r="HS273" s="371">
        <f>HR273+HS121</f>
        <v>45345.834320272115</v>
      </c>
      <c r="HT273" s="371">
        <f>HS273+HT121</f>
        <v>45345.834320272115</v>
      </c>
      <c r="HU273" s="371">
        <f>HO273+HU121</f>
        <v>45345.834320272115</v>
      </c>
      <c r="HV273" s="371">
        <f>HU273+HV121</f>
        <v>45345.834320272115</v>
      </c>
      <c r="HW273" s="371">
        <f>HV273+HW121</f>
        <v>45345.834320272115</v>
      </c>
      <c r="HX273" s="371">
        <f>HW273+HX121</f>
        <v>45345.834320272115</v>
      </c>
      <c r="HY273" s="371">
        <f>HU273+HY121</f>
        <v>45345.834320272115</v>
      </c>
      <c r="HZ273" s="371">
        <f>HY273+HZ121</f>
        <v>45345.834320272115</v>
      </c>
      <c r="IA273" s="371">
        <f>HZ273+IA121</f>
        <v>45345.834320272115</v>
      </c>
      <c r="IB273" s="371">
        <f>IA273+IB121</f>
        <v>111946.04432027211</v>
      </c>
      <c r="IC273" s="371">
        <f>HY273+IC121</f>
        <v>111946.04432027211</v>
      </c>
      <c r="ID273" s="371">
        <f>HD273+ID121</f>
        <v>111946.04432027211</v>
      </c>
      <c r="IE273" s="371">
        <f>ID273+IE121</f>
        <v>790.96432027211995</v>
      </c>
      <c r="IF273" s="371" t="e">
        <f>#REF!+IF121</f>
        <v>#REF!</v>
      </c>
      <c r="IG273" s="371">
        <f>ID273+IG121</f>
        <v>785.49432027211878</v>
      </c>
      <c r="IH273" s="371">
        <f>IG273+IH121</f>
        <v>785.49432027211878</v>
      </c>
      <c r="II273" s="371">
        <f>IH273+II121</f>
        <v>330123.00432027213</v>
      </c>
      <c r="IJ273" s="371">
        <f>II273+IJ121</f>
        <v>180098.00432027213</v>
      </c>
      <c r="IK273" s="371">
        <f>IJ273+IK121</f>
        <v>180098.00432027213</v>
      </c>
      <c r="IL273" s="371">
        <f>IK273+IL121</f>
        <v>180098.00432027213</v>
      </c>
      <c r="IM273" s="371">
        <f>IG273+IM121</f>
        <v>180098.00432027213</v>
      </c>
      <c r="IN273" s="371">
        <f>IM273+IN121</f>
        <v>180098.00432027213</v>
      </c>
      <c r="IO273" s="371">
        <f>IN273+IO121</f>
        <v>180098.00432027213</v>
      </c>
      <c r="IP273" s="371" t="e">
        <f>#REF!+IP121</f>
        <v>#REF!</v>
      </c>
      <c r="IQ273" s="371">
        <f>IM273+IQ121</f>
        <v>180098.00432027213</v>
      </c>
      <c r="IR273" s="371">
        <f>IQ273+IR121</f>
        <v>65476.894320272142</v>
      </c>
      <c r="IS273" s="371">
        <f>IR273+IS121</f>
        <v>65476.894320272142</v>
      </c>
      <c r="IT273" s="371">
        <f>IS273+IT121</f>
        <v>65476.894320272142</v>
      </c>
      <c r="IU273" s="371">
        <f>IT273+IU121</f>
        <v>65476.894320272142</v>
      </c>
      <c r="IV273" s="371">
        <f>IU273+IV121</f>
        <v>65476.894320272142</v>
      </c>
      <c r="IW273" s="371">
        <f>IQ273+IW121</f>
        <v>65476.894320272142</v>
      </c>
      <c r="IX273" s="371">
        <f>IW273+IX121</f>
        <v>65476.894320272142</v>
      </c>
      <c r="IY273" s="371">
        <f>IX273+IY121</f>
        <v>87440.894320272142</v>
      </c>
      <c r="IZ273" s="371">
        <f>IY273+IZ121</f>
        <v>87440.894320272142</v>
      </c>
      <c r="JA273" s="371">
        <f>IZ273+JA121</f>
        <v>2992.3443202721392</v>
      </c>
      <c r="JB273" s="371">
        <f>JA273+JB121</f>
        <v>2992.3443202721392</v>
      </c>
      <c r="JC273" s="371">
        <f>IW273+JC121</f>
        <v>2992.3443202721392</v>
      </c>
      <c r="JD273" s="371">
        <f>ID273+JD121</f>
        <v>2992.3443202722119</v>
      </c>
      <c r="JE273" s="371">
        <f>JD273+JE121</f>
        <v>2992.3443202722119</v>
      </c>
      <c r="JF273" s="371">
        <f>JE273+JF121</f>
        <v>2992.3443202722119</v>
      </c>
      <c r="JG273" s="371">
        <f>JF273+JG121</f>
        <v>67506.284320272214</v>
      </c>
      <c r="JH273" s="371">
        <f>JG273+JH121</f>
        <v>67506.284320272214</v>
      </c>
      <c r="JI273" s="371">
        <f>JH273+JI121</f>
        <v>67506.284320272214</v>
      </c>
      <c r="JJ273" s="371">
        <f>JD273+JJ121</f>
        <v>67506.284320272214</v>
      </c>
      <c r="JK273" s="371">
        <f>JJ273+JK121</f>
        <v>67506.284320272214</v>
      </c>
      <c r="JL273" s="371">
        <f>JK273+JL121</f>
        <v>67506.284320272214</v>
      </c>
      <c r="JM273" s="371">
        <f>JL273+JM121</f>
        <v>67506.284320272214</v>
      </c>
      <c r="JN273" s="371">
        <f>JM273+JN121</f>
        <v>67506.284320272214</v>
      </c>
      <c r="JO273" s="371">
        <f>JN273+JO121</f>
        <v>67506.284320272214</v>
      </c>
      <c r="JP273" s="371">
        <f>JJ273+JP121</f>
        <v>67506.284320272214</v>
      </c>
      <c r="JQ273" s="371">
        <f>JP273+JQ121</f>
        <v>67506.284320272214</v>
      </c>
      <c r="JR273" s="371">
        <f>JQ273+JR121</f>
        <v>67506.284320272214</v>
      </c>
      <c r="JS273" s="371">
        <f>JR273+JS121</f>
        <v>67506.284320272214</v>
      </c>
      <c r="JT273" s="371">
        <f>JS273+JT121</f>
        <v>67506.284320272214</v>
      </c>
      <c r="JU273" s="371">
        <f>JT273+JU121</f>
        <v>67506.284320272214</v>
      </c>
      <c r="JV273" s="371">
        <f>JP273+JV121</f>
        <v>67506.284320272214</v>
      </c>
      <c r="JW273" s="371">
        <f>JV273+JW121</f>
        <v>67506.284320272214</v>
      </c>
      <c r="JX273" s="371">
        <f>JW273+JX121</f>
        <v>67506.284320272214</v>
      </c>
      <c r="JY273" s="371">
        <f>JX273+JY121</f>
        <v>67506.284320272214</v>
      </c>
      <c r="JZ273" s="371">
        <f>JY273+JZ121</f>
        <v>67506.284320272214</v>
      </c>
      <c r="KA273" s="371"/>
      <c r="KB273" s="371">
        <f>JZ273+KB121</f>
        <v>67506.284320272214</v>
      </c>
      <c r="KC273" s="371">
        <f>JV273+KC121</f>
        <v>67506.284320272214</v>
      </c>
      <c r="KD273" s="371" t="e">
        <f>JD273+KD121</f>
        <v>#REF!</v>
      </c>
      <c r="KE273" s="371" t="e">
        <f>KD273+KE121</f>
        <v>#REF!</v>
      </c>
      <c r="KF273" s="371" t="e">
        <f>KE273+KF121</f>
        <v>#REF!</v>
      </c>
      <c r="KG273" s="371" t="e">
        <f>KF273+KG121</f>
        <v>#REF!</v>
      </c>
      <c r="KH273" s="371" t="e">
        <f>KG273+KH121</f>
        <v>#REF!</v>
      </c>
      <c r="KI273" s="371" t="e">
        <f>KH273+KI121</f>
        <v>#REF!</v>
      </c>
      <c r="KJ273" s="371" t="e">
        <f>KD273+KJ121</f>
        <v>#REF!</v>
      </c>
      <c r="KK273" s="371" t="e">
        <f>KJ273+KK121</f>
        <v>#REF!</v>
      </c>
      <c r="KL273" s="371" t="e">
        <f>KK273+KL121</f>
        <v>#REF!</v>
      </c>
      <c r="KM273" s="371" t="e">
        <f>KL273+KM121</f>
        <v>#REF!</v>
      </c>
      <c r="KN273" s="371" t="e">
        <f>KM273+KN121</f>
        <v>#REF!</v>
      </c>
      <c r="KO273" s="371" t="e">
        <f>KN273+KO121</f>
        <v>#REF!</v>
      </c>
      <c r="KP273" s="371" t="e">
        <f>KJ273+KP121</f>
        <v>#REF!</v>
      </c>
      <c r="KQ273" s="371" t="e">
        <f>KP273+KQ121</f>
        <v>#REF!</v>
      </c>
      <c r="KR273" s="371" t="e">
        <f>KQ273+KR121</f>
        <v>#REF!</v>
      </c>
      <c r="KS273" s="371" t="e">
        <f>KR273+KS121</f>
        <v>#REF!</v>
      </c>
      <c r="KT273" s="371" t="e">
        <f>KS273+KT121</f>
        <v>#REF!</v>
      </c>
      <c r="KU273" s="371" t="e">
        <f>KT273+KU121</f>
        <v>#REF!</v>
      </c>
      <c r="KV273" s="371" t="e">
        <f>KP273+KV121</f>
        <v>#REF!</v>
      </c>
      <c r="KW273" s="371" t="e">
        <f>KV273+KW121</f>
        <v>#REF!</v>
      </c>
      <c r="KX273" s="371" t="e">
        <f>KW273+KX121</f>
        <v>#REF!</v>
      </c>
      <c r="KY273" s="371" t="e">
        <f>KX273+KY121</f>
        <v>#REF!</v>
      </c>
      <c r="KZ273" s="371" t="e">
        <f>KY273+KZ121</f>
        <v>#REF!</v>
      </c>
      <c r="LA273" s="371" t="e">
        <f>KZ273+LA121</f>
        <v>#REF!</v>
      </c>
      <c r="LB273" s="371" t="e">
        <f>KV273+LB121</f>
        <v>#REF!</v>
      </c>
      <c r="LC273" s="371" t="e">
        <f>LB273+LC121</f>
        <v>#REF!</v>
      </c>
      <c r="LD273" s="371" t="e">
        <f>LC273+LD121</f>
        <v>#REF!</v>
      </c>
      <c r="LE273" s="371" t="e">
        <f>LD273+LE121</f>
        <v>#REF!</v>
      </c>
      <c r="LF273" s="371" t="e">
        <f>LB273+LF121</f>
        <v>#REF!</v>
      </c>
      <c r="LG273" s="371" t="e">
        <f>KD273+LG121</f>
        <v>#REF!</v>
      </c>
    </row>
    <row r="274" spans="1:319" s="370" customFormat="1">
      <c r="HD274" s="368"/>
      <c r="HE274" s="368"/>
      <c r="HF274" s="368"/>
      <c r="HG274" s="368"/>
      <c r="HH274" s="368"/>
      <c r="HI274" s="368"/>
      <c r="HJ274" s="368"/>
      <c r="HK274" s="368"/>
      <c r="HL274" s="368"/>
      <c r="HM274" s="368"/>
      <c r="HN274" s="368"/>
      <c r="HO274" s="368"/>
      <c r="HP274" s="368"/>
      <c r="HQ274" s="368"/>
      <c r="HR274" s="368"/>
      <c r="HS274" s="368"/>
      <c r="HT274" s="368"/>
      <c r="HU274" s="368"/>
      <c r="HV274" s="368"/>
      <c r="HW274" s="368"/>
      <c r="HX274" s="368"/>
      <c r="HY274" s="368"/>
      <c r="HZ274" s="368"/>
      <c r="IA274" s="368"/>
      <c r="IB274" s="368"/>
      <c r="IC274" s="368"/>
      <c r="ID274" s="368"/>
      <c r="IE274" s="368"/>
      <c r="IF274" s="368"/>
      <c r="IG274" s="368"/>
      <c r="IH274" s="368"/>
      <c r="II274" s="368"/>
      <c r="IJ274" s="368"/>
      <c r="IK274" s="368"/>
      <c r="IL274" s="368"/>
      <c r="IM274" s="368"/>
      <c r="IN274" s="368"/>
      <c r="IO274" s="368"/>
      <c r="IP274" s="368"/>
      <c r="IQ274" s="368"/>
      <c r="IR274" s="368"/>
      <c r="IS274" s="368"/>
      <c r="IT274" s="368"/>
      <c r="IU274" s="368"/>
      <c r="IV274" s="368"/>
      <c r="IW274" s="368"/>
      <c r="IX274" s="368"/>
      <c r="IY274" s="368"/>
      <c r="IZ274" s="368"/>
      <c r="JA274" s="368"/>
      <c r="JB274" s="368"/>
      <c r="JC274" s="368"/>
      <c r="JD274" s="368"/>
      <c r="JE274" s="368"/>
      <c r="JF274" s="368"/>
      <c r="JG274" s="368"/>
      <c r="JH274" s="368"/>
      <c r="JI274" s="368"/>
      <c r="JJ274" s="368"/>
      <c r="JK274" s="368"/>
      <c r="JL274" s="368"/>
      <c r="JM274" s="368"/>
      <c r="JN274" s="368"/>
      <c r="JO274" s="368"/>
      <c r="JP274" s="368"/>
      <c r="JQ274" s="368"/>
      <c r="JR274" s="368"/>
      <c r="JS274" s="368"/>
      <c r="JT274" s="368"/>
      <c r="JU274" s="368"/>
      <c r="JV274" s="368"/>
      <c r="JW274" s="368"/>
      <c r="JX274" s="368"/>
      <c r="JY274" s="368"/>
      <c r="JZ274" s="368"/>
      <c r="KA274" s="368"/>
      <c r="KB274" s="368"/>
      <c r="KC274" s="368"/>
      <c r="KD274" s="368"/>
      <c r="KE274" s="368"/>
      <c r="KF274" s="368"/>
      <c r="KG274" s="368"/>
      <c r="KH274" s="368"/>
      <c r="KI274" s="368"/>
      <c r="KJ274" s="368"/>
      <c r="KK274" s="368"/>
      <c r="KL274" s="368"/>
      <c r="KM274" s="368"/>
      <c r="KN274" s="368"/>
      <c r="KO274" s="368"/>
      <c r="KP274" s="368"/>
      <c r="KQ274" s="368"/>
      <c r="KR274" s="368"/>
      <c r="KS274" s="368"/>
      <c r="KT274" s="368"/>
      <c r="KU274" s="368"/>
      <c r="KV274" s="368"/>
      <c r="KW274" s="368"/>
      <c r="KX274" s="368"/>
      <c r="KY274" s="368"/>
      <c r="KZ274" s="368"/>
      <c r="LA274" s="368"/>
      <c r="LB274" s="368"/>
      <c r="LC274" s="368"/>
      <c r="LD274" s="368"/>
      <c r="LE274" s="368"/>
      <c r="LF274" s="368"/>
      <c r="LG274" s="368"/>
    </row>
    <row r="275" spans="1:319" s="370" customFormat="1">
      <c r="A275" s="371" t="s">
        <v>13</v>
      </c>
      <c r="B275" s="371">
        <v>19268.98</v>
      </c>
      <c r="C275" s="371">
        <f>B275+C207</f>
        <v>19268.98</v>
      </c>
      <c r="D275" s="371">
        <f>B275+D207</f>
        <v>19268.98</v>
      </c>
      <c r="E275" s="371">
        <f>D275+E207</f>
        <v>19268.98</v>
      </c>
      <c r="F275" s="371">
        <f>E275+F207</f>
        <v>19268.98</v>
      </c>
      <c r="G275" s="371">
        <f>F275+G207</f>
        <v>19268.98</v>
      </c>
      <c r="H275" s="371">
        <f>G275+H207</f>
        <v>19268.98</v>
      </c>
      <c r="I275" s="371">
        <f>H275+I207</f>
        <v>19243.98</v>
      </c>
      <c r="J275" s="371">
        <f>D275+J207</f>
        <v>19243.98</v>
      </c>
      <c r="K275" s="371">
        <f>J275+K207</f>
        <v>19243.98</v>
      </c>
      <c r="L275" s="371">
        <f>K275+L207</f>
        <v>19243.98</v>
      </c>
      <c r="M275" s="371">
        <f>K275+M207</f>
        <v>19238.55</v>
      </c>
      <c r="N275" s="371">
        <f>M275+N207</f>
        <v>19238.55</v>
      </c>
      <c r="O275" s="371">
        <f>J275+O207</f>
        <v>19238.55</v>
      </c>
      <c r="P275" s="371">
        <f>O275+P207</f>
        <v>19238.55</v>
      </c>
      <c r="Q275" s="371">
        <f>P275+Q207</f>
        <v>19238.55</v>
      </c>
      <c r="R275" s="371">
        <f>Q275+R207</f>
        <v>8011.2099999999991</v>
      </c>
      <c r="S275" s="371">
        <f>R275+S207</f>
        <v>8011.2099999999991</v>
      </c>
      <c r="T275" s="371">
        <f>S275+T207</f>
        <v>8011.2099999999991</v>
      </c>
      <c r="U275" s="371">
        <f>O275+U207</f>
        <v>8011.2099999999991</v>
      </c>
      <c r="V275" s="371">
        <f>U275+V207</f>
        <v>8011.2099999999991</v>
      </c>
      <c r="W275" s="371">
        <f>V275+W207</f>
        <v>8011.2099999999991</v>
      </c>
      <c r="X275" s="371">
        <f>W275+X207</f>
        <v>-218.79000000000087</v>
      </c>
      <c r="Y275" s="371">
        <f>X275+Y207</f>
        <v>-218.79000000000087</v>
      </c>
      <c r="Z275" s="371">
        <f>Y275+Z207</f>
        <v>-218.79000000000087</v>
      </c>
      <c r="AA275" s="371">
        <f>U275+AA207</f>
        <v>-218.79000000000087</v>
      </c>
      <c r="AB275" s="371">
        <f>B275+AB207</f>
        <v>-218.79000000000087</v>
      </c>
      <c r="AC275" s="371">
        <f>AB275+AC207</f>
        <v>-218.79000000000087</v>
      </c>
      <c r="AD275" s="371">
        <f>AC275+AD207</f>
        <v>-218.79000000000087</v>
      </c>
      <c r="AE275" s="371">
        <f>AD275+AE207</f>
        <v>-218.79000000000087</v>
      </c>
      <c r="AF275" s="371">
        <f>AE275+AF207</f>
        <v>-218.79000000000087</v>
      </c>
      <c r="AG275" s="371">
        <f>AF275+AG207</f>
        <v>-218.79000000000087</v>
      </c>
      <c r="AH275" s="371">
        <f>AB275+AH207</f>
        <v>-218.79000000000087</v>
      </c>
      <c r="AI275" s="371">
        <f>AH275+AI207</f>
        <v>-218.79000000000087</v>
      </c>
      <c r="AJ275" s="371">
        <f>AI275+AJ207</f>
        <v>-218.79000000000087</v>
      </c>
      <c r="AK275" s="371">
        <f>AJ275+AK207</f>
        <v>-218.79000000000087</v>
      </c>
      <c r="AL275" s="371">
        <f>AK275+AL207</f>
        <v>-218.79000000000087</v>
      </c>
      <c r="AM275" s="371">
        <f>AL275+AM207</f>
        <v>-218.79000000000087</v>
      </c>
      <c r="AN275" s="371">
        <f>AH275+AN207</f>
        <v>-218.79000000000087</v>
      </c>
      <c r="AO275" s="371">
        <f>AN275+AO207</f>
        <v>-218.79000000000087</v>
      </c>
      <c r="AP275" s="371">
        <f>AO275+AP207</f>
        <v>-218.79000000000087</v>
      </c>
      <c r="AQ275" s="371">
        <f>AP275+AQ207</f>
        <v>-218.79000000000087</v>
      </c>
      <c r="AR275" s="371">
        <f>AQ275+AR207</f>
        <v>-218.79000000000087</v>
      </c>
      <c r="AS275" s="371">
        <f>AR275+AS207</f>
        <v>-218.79000000000087</v>
      </c>
      <c r="AT275" s="371">
        <f>AN275+AT207</f>
        <v>-218.79000000000087</v>
      </c>
      <c r="AU275" s="371">
        <f>AT275+AU207</f>
        <v>-218.79000000000087</v>
      </c>
      <c r="AV275" s="371">
        <f>AU275+AV207</f>
        <v>-218.79000000000087</v>
      </c>
      <c r="AW275" s="371">
        <f>AV275+AW207</f>
        <v>-218.79000000000087</v>
      </c>
      <c r="AX275" s="371">
        <f>AW275+AX207</f>
        <v>-218.79000000000087</v>
      </c>
      <c r="AY275" s="371">
        <f>AX275+AY207</f>
        <v>-218.79000000000087</v>
      </c>
      <c r="AZ275" s="371">
        <f>AT275+AZ207</f>
        <v>-218.79000000000087</v>
      </c>
      <c r="BA275" s="371">
        <f>AB275+BA207</f>
        <v>-218.79000000000087</v>
      </c>
      <c r="BB275" s="371">
        <f>BA275+BB207</f>
        <v>-218.79000000000087</v>
      </c>
      <c r="BC275" s="371">
        <f>BB275+BC207</f>
        <v>-218.79000000000087</v>
      </c>
      <c r="BD275" s="371">
        <f>BC275+BD207</f>
        <v>-218.79000000000087</v>
      </c>
      <c r="BE275" s="371">
        <f>BD275+BE207</f>
        <v>-218.79000000000087</v>
      </c>
      <c r="BF275" s="371">
        <f>BE275+BF207</f>
        <v>659.93999999999915</v>
      </c>
      <c r="BG275" s="371">
        <f>BA275+BG207</f>
        <v>659.93999999999915</v>
      </c>
      <c r="BH275" s="371">
        <f>BG275+BH207</f>
        <v>659.93999999999915</v>
      </c>
      <c r="BI275" s="371">
        <f>BH275+BI207</f>
        <v>659.93999999999915</v>
      </c>
      <c r="BJ275" s="371">
        <f>BI275+BJ207</f>
        <v>659.93999999999915</v>
      </c>
      <c r="BK275" s="371">
        <f>BJ275+BK207</f>
        <v>659.93999999999915</v>
      </c>
      <c r="BL275" s="371">
        <f>BK275+BL207</f>
        <v>659.93999999999915</v>
      </c>
      <c r="BM275" s="371">
        <f>BG275+BM207</f>
        <v>659.93999999999915</v>
      </c>
      <c r="BN275" s="371">
        <f>BM275+BN207</f>
        <v>659.93999999999915</v>
      </c>
      <c r="BO275" s="371">
        <f>BN275+BO207</f>
        <v>659.93999999999915</v>
      </c>
      <c r="BP275" s="371">
        <f>BO275+BP207</f>
        <v>659.93999999999915</v>
      </c>
      <c r="BQ275" s="371">
        <f>BP275+BQ207</f>
        <v>659.93999999999915</v>
      </c>
      <c r="BR275" s="371">
        <f>BM275+BR207</f>
        <v>659.93999999999915</v>
      </c>
      <c r="BS275" s="371">
        <f>BR275+BS207</f>
        <v>659.93999999999915</v>
      </c>
      <c r="BT275" s="371">
        <f>BS275+BT207</f>
        <v>659.93999999999915</v>
      </c>
      <c r="BU275" s="371">
        <f>BT275+BU207</f>
        <v>659.93999999999915</v>
      </c>
      <c r="BV275" s="371">
        <f>BU275+BV207</f>
        <v>659.93999999999915</v>
      </c>
      <c r="BW275" s="371">
        <f>BV275+BW207</f>
        <v>659.93999999999915</v>
      </c>
      <c r="BX275" s="371">
        <f>BR275+BX207</f>
        <v>659.93999999999915</v>
      </c>
      <c r="BY275" s="371">
        <f>BX275+BY207</f>
        <v>659.93999999999915</v>
      </c>
      <c r="BZ275" s="371">
        <f>BY275+BZ207</f>
        <v>659.93999999999915</v>
      </c>
      <c r="CA275" s="371">
        <f>BX275+CA207</f>
        <v>659.93999999999915</v>
      </c>
      <c r="CB275" s="371">
        <f>BA275+CB207</f>
        <v>659.93999999999915</v>
      </c>
      <c r="CC275" s="371">
        <f>CB275+CC207</f>
        <v>659.93999999999915</v>
      </c>
      <c r="CD275" s="371">
        <f>CC275+CD207</f>
        <v>654.2599999999992</v>
      </c>
      <c r="CE275" s="371">
        <f>CD275+CE207</f>
        <v>654.2599999999992</v>
      </c>
      <c r="CF275" s="371">
        <f>CB275+CF207</f>
        <v>654.2599999999992</v>
      </c>
      <c r="CG275" s="371">
        <f>CF275+CG207</f>
        <v>654.2599999999992</v>
      </c>
      <c r="CH275" s="371">
        <f>CG275+CH207</f>
        <v>654.2599999999992</v>
      </c>
      <c r="CI275" s="371">
        <f>CH275+CI207</f>
        <v>654.2599999999992</v>
      </c>
      <c r="CJ275" s="371">
        <f>CI275+CJ207</f>
        <v>654.2599999999992</v>
      </c>
      <c r="CK275" s="371">
        <f>CF275+CK207</f>
        <v>654.2599999999992</v>
      </c>
      <c r="CL275" s="371">
        <f>CK275+CL207</f>
        <v>654.2599999999992</v>
      </c>
      <c r="CM275" s="371">
        <f>CL275+CM207</f>
        <v>654.2599999999992</v>
      </c>
      <c r="CN275" s="371">
        <f>CM275+CN207</f>
        <v>654.2599999999992</v>
      </c>
      <c r="CO275" s="371">
        <f>CN275+CO207</f>
        <v>654.2599999999992</v>
      </c>
      <c r="CP275" s="371">
        <f>CO275+CP207</f>
        <v>654.2599999999992</v>
      </c>
      <c r="CQ275" s="371">
        <f>CK275+CQ207</f>
        <v>654.2599999999992</v>
      </c>
      <c r="CR275" s="371">
        <f>CQ275+CR207</f>
        <v>654.2599999999992</v>
      </c>
      <c r="CS275" s="371">
        <f>CR275+CS207</f>
        <v>654.2599999999992</v>
      </c>
      <c r="CT275" s="371">
        <f>CS275+CT207</f>
        <v>654.2599999999992</v>
      </c>
      <c r="CU275" s="371">
        <f>CT275+CU207</f>
        <v>654.2599999999992</v>
      </c>
      <c r="CV275" s="371">
        <f>CU275+CV207</f>
        <v>654.2599999999992</v>
      </c>
      <c r="CW275" s="371">
        <f>CQ275+CW207</f>
        <v>654.2599999999992</v>
      </c>
      <c r="CX275" s="371">
        <f>CW275+CX207</f>
        <v>654.2599999999992</v>
      </c>
      <c r="CY275" s="371">
        <f>CX275+CY207</f>
        <v>654.2599999999992</v>
      </c>
      <c r="CZ275" s="371">
        <f>CY275+CZ207</f>
        <v>654.2599999999992</v>
      </c>
      <c r="DA275" s="371">
        <f>CZ275+DA207</f>
        <v>654.2599999999992</v>
      </c>
      <c r="DB275" s="371">
        <f>CW275+DB207</f>
        <v>654.2599999999992</v>
      </c>
      <c r="DC275" s="371">
        <f>CB275+DC207</f>
        <v>654.2599999999992</v>
      </c>
      <c r="DD275" s="371">
        <f>DC275+DD207</f>
        <v>654.2599999999992</v>
      </c>
      <c r="DE275" s="371">
        <f>DD275+DE207</f>
        <v>654.2599999999992</v>
      </c>
      <c r="DF275" s="371">
        <f>DE275+DF207</f>
        <v>654.2599999999992</v>
      </c>
      <c r="DG275" s="371">
        <f>DF275+DG207</f>
        <v>654.2599999999992</v>
      </c>
      <c r="DH275" s="371">
        <f>DG275+DH207</f>
        <v>654.2599999999992</v>
      </c>
      <c r="DI275" s="371">
        <f>DC275+DI207</f>
        <v>654.2599999999992</v>
      </c>
      <c r="DJ275" s="371">
        <f>DI275+DJ207</f>
        <v>654.2599999999992</v>
      </c>
      <c r="DK275" s="371">
        <f>DJ275+DK207</f>
        <v>654.2599999999992</v>
      </c>
      <c r="DL275" s="371">
        <f>DK275+DL207</f>
        <v>654.2599999999992</v>
      </c>
      <c r="DM275" s="371">
        <f>DL275+DM207</f>
        <v>654.2599999999992</v>
      </c>
      <c r="DN275" s="371">
        <f>DM275+DN207</f>
        <v>654.2599999999992</v>
      </c>
      <c r="DO275" s="371">
        <f>DI275+DO207</f>
        <v>654.2599999999992</v>
      </c>
      <c r="DP275" s="371">
        <f>DO275+DP207</f>
        <v>654.2599999999992</v>
      </c>
      <c r="DQ275" s="371">
        <f>DP275+DQ207</f>
        <v>654.2599999999992</v>
      </c>
      <c r="DR275" s="371">
        <f ca="1">DQ275+DR207</f>
        <v>31890.32</v>
      </c>
      <c r="DS275" s="371">
        <f ca="1">DR275+DS207</f>
        <v>31890.32</v>
      </c>
      <c r="DT275" s="371">
        <f ca="1">DS275+DT207</f>
        <v>31890.32</v>
      </c>
      <c r="DU275" s="371">
        <f>DO275+DU207</f>
        <v>31890.32</v>
      </c>
      <c r="DV275" s="371">
        <f>DU275+DV207</f>
        <v>31890.32</v>
      </c>
      <c r="DW275" s="371">
        <f>DV275+DW207</f>
        <v>31890.32</v>
      </c>
      <c r="DX275" s="371">
        <f>DW275+DX207</f>
        <v>1651.7999999999993</v>
      </c>
      <c r="DY275" s="371">
        <f>DX275+DY207</f>
        <v>1651.7999999999993</v>
      </c>
      <c r="DZ275" s="371">
        <f>DY275+DZ207</f>
        <v>1651.7999999999993</v>
      </c>
      <c r="EA275" s="371">
        <f>DU275+EA207</f>
        <v>1651.7999999999993</v>
      </c>
      <c r="EB275" s="371">
        <f>DC275+EB207</f>
        <v>1651.8000000000002</v>
      </c>
      <c r="EC275" s="371">
        <f>EB275+EC207</f>
        <v>1651.8000000000002</v>
      </c>
      <c r="ED275" s="371">
        <f>EC275+ED207</f>
        <v>1651.8000000000002</v>
      </c>
      <c r="EE275" s="371">
        <f>ED275+EE207</f>
        <v>1651.8000000000002</v>
      </c>
      <c r="EF275" s="371">
        <f>EE275+EF207</f>
        <v>1651.8000000000002</v>
      </c>
      <c r="EG275" s="371">
        <f>EF275+EG207</f>
        <v>1651.8000000000002</v>
      </c>
      <c r="EH275" s="371">
        <f>EB275+EH207</f>
        <v>1651.8000000000002</v>
      </c>
      <c r="EI275" s="371">
        <f>EH275+EI207</f>
        <v>1651.8000000000002</v>
      </c>
      <c r="EJ275" s="371">
        <f>EI275+EJ207</f>
        <v>1651.8000000000002</v>
      </c>
      <c r="EK275" s="371">
        <f>EJ275+EK207</f>
        <v>1651.8000000000002</v>
      </c>
      <c r="EL275" s="371">
        <f>EK275+EL207</f>
        <v>1651.8000000000002</v>
      </c>
      <c r="EM275" s="371">
        <f>EL275+EM207</f>
        <v>1651.8000000000002</v>
      </c>
      <c r="EN275" s="371">
        <f>EH275+EN207</f>
        <v>1651.8000000000002</v>
      </c>
      <c r="EO275" s="371">
        <f>EN275+EO207</f>
        <v>1651.8000000000002</v>
      </c>
      <c r="EP275" s="371">
        <f>EO275+EP207</f>
        <v>1651.8000000000002</v>
      </c>
      <c r="EQ275" s="371">
        <f>EP275+EQ207</f>
        <v>1651.8000000000002</v>
      </c>
      <c r="ER275" s="371">
        <f>EQ275+ER207</f>
        <v>1651.8000000000002</v>
      </c>
      <c r="ES275" s="371">
        <f>ER275+ES207</f>
        <v>1651.8000000000002</v>
      </c>
      <c r="ET275" s="371">
        <f>EN275+ET207</f>
        <v>1651.8000000000002</v>
      </c>
      <c r="EU275" s="371">
        <f t="shared" ref="EU275:FA275" si="764">ET275+EU207</f>
        <v>1651.8000000000002</v>
      </c>
      <c r="EV275" s="371">
        <f t="shared" si="764"/>
        <v>1651.8000000000002</v>
      </c>
      <c r="EW275" s="371">
        <f t="shared" si="764"/>
        <v>1651.8000000000002</v>
      </c>
      <c r="EX275" s="371">
        <f t="shared" si="764"/>
        <v>1651.8000000000002</v>
      </c>
      <c r="EY275" s="371">
        <f t="shared" si="764"/>
        <v>1651.8000000000002</v>
      </c>
      <c r="EZ275" s="371">
        <f t="shared" si="764"/>
        <v>1651.8000000000002</v>
      </c>
      <c r="FA275" s="371">
        <f t="shared" si="764"/>
        <v>1651.8000000000002</v>
      </c>
      <c r="FB275" s="371">
        <f>ET275+FB207</f>
        <v>1651.8000000000002</v>
      </c>
      <c r="FC275" s="371">
        <f>EB275+FC207</f>
        <v>1651.8000000000002</v>
      </c>
      <c r="FD275" s="371">
        <f>FC275+FD207</f>
        <v>1651.8000000000002</v>
      </c>
      <c r="FE275" s="371">
        <f>FD275+FE207</f>
        <v>1651.8000000000002</v>
      </c>
      <c r="FF275" s="371">
        <f>FE275+FF207</f>
        <v>1646.2300000000002</v>
      </c>
      <c r="FG275" s="371">
        <f>FC275+FG207</f>
        <v>1646.2300000000002</v>
      </c>
      <c r="FH275" s="371">
        <f>FG275+FH207</f>
        <v>1646.2300000000002</v>
      </c>
      <c r="FI275" s="371">
        <f>FH275+FI207</f>
        <v>42241.629188092018</v>
      </c>
      <c r="FJ275" s="371">
        <f>FI275+FJ207</f>
        <v>42241.629188092018</v>
      </c>
      <c r="FK275" s="371">
        <f>FJ275+FK207</f>
        <v>42241.629188092018</v>
      </c>
      <c r="FL275" s="371">
        <f>FK275+FL207</f>
        <v>459.64918809202209</v>
      </c>
      <c r="FM275" s="371">
        <f>FG275+FM207</f>
        <v>459.64918809201913</v>
      </c>
      <c r="FN275" s="371">
        <f>FM275+FN207</f>
        <v>459.64918809201913</v>
      </c>
      <c r="FO275" s="371">
        <f>FN275+FO207</f>
        <v>459.64918809201913</v>
      </c>
      <c r="FP275" s="371">
        <f>FO275+FP207</f>
        <v>459.64918809201913</v>
      </c>
      <c r="FQ275" s="371">
        <f>FP275+FQ207</f>
        <v>459.64918809201913</v>
      </c>
      <c r="FR275" s="371">
        <f>FM275+FR207</f>
        <v>459.64918809201913</v>
      </c>
      <c r="FS275" s="371">
        <f>FR275+FS207</f>
        <v>459.64918809201913</v>
      </c>
      <c r="FT275" s="371">
        <f>FS275+FT207</f>
        <v>459.64918809201913</v>
      </c>
      <c r="FU275" s="371">
        <f>FT275+FU207</f>
        <v>459.64918809201913</v>
      </c>
      <c r="FV275" s="371">
        <f>FU275+FV207</f>
        <v>459.64918809201913</v>
      </c>
      <c r="FW275" s="371">
        <f>FV275+FW207</f>
        <v>459.64918809201913</v>
      </c>
      <c r="FX275" s="371">
        <f>FR275+FX207</f>
        <v>459.64918809201913</v>
      </c>
      <c r="FY275" s="371">
        <f>FX275+FY207</f>
        <v>459.64918809201913</v>
      </c>
      <c r="FZ275" s="371">
        <f>FY275+FZ207</f>
        <v>459.64918809201913</v>
      </c>
      <c r="GA275" s="371">
        <f>FZ275+GA207</f>
        <v>459.64918809201913</v>
      </c>
      <c r="GB275" s="371">
        <f>GA275+GB207</f>
        <v>459.64918809201913</v>
      </c>
      <c r="GC275" s="371">
        <f>GB275+GC207</f>
        <v>459.64918809201913</v>
      </c>
      <c r="GD275" s="371">
        <f>FX275+GD207</f>
        <v>459.64918809201913</v>
      </c>
      <c r="GE275" s="371">
        <f>FC275+GE207</f>
        <v>459.64918809201913</v>
      </c>
      <c r="GF275" s="371">
        <f>GE275+GF207</f>
        <v>459.64918809201913</v>
      </c>
      <c r="GG275" s="371">
        <f>GF275+GG207</f>
        <v>459.64918809201913</v>
      </c>
      <c r="GH275" s="371">
        <f>GG275+GH207</f>
        <v>459.64918809201913</v>
      </c>
      <c r="GI275" s="371">
        <f>GH275+GI207</f>
        <v>459.64918809201913</v>
      </c>
      <c r="GJ275" s="371">
        <f>GI275+GJ207</f>
        <v>459.64918809201913</v>
      </c>
      <c r="GK275" s="371">
        <f>GE275+GK207</f>
        <v>459.64918809201913</v>
      </c>
      <c r="GL275" s="371">
        <f>GK275+GL207</f>
        <v>459.64918809201913</v>
      </c>
      <c r="GM275" s="371">
        <f>GL275+GM207</f>
        <v>459.64918809201913</v>
      </c>
      <c r="GN275" s="371">
        <f>GM275+GN207</f>
        <v>459.64918809201913</v>
      </c>
      <c r="GO275" s="371">
        <f>GN275+GO207</f>
        <v>459.64918809201913</v>
      </c>
      <c r="GP275" s="371">
        <f>GK275+GP207</f>
        <v>459.64918809201913</v>
      </c>
      <c r="GQ275" s="371">
        <f>GP275+GQ207</f>
        <v>459.64918809201913</v>
      </c>
      <c r="GR275" s="371">
        <f>GQ275+GR207</f>
        <v>459.64918809201913</v>
      </c>
      <c r="GS275" s="371">
        <f>GR275+GS207</f>
        <v>459.64918809201913</v>
      </c>
      <c r="GT275" s="371">
        <f>GS275+GT207</f>
        <v>459.64918809201913</v>
      </c>
      <c r="GU275" s="371">
        <f>GT275+GU207</f>
        <v>459.64918809201913</v>
      </c>
      <c r="GV275" s="371">
        <f>GP275+GV207</f>
        <v>459.64918809201913</v>
      </c>
      <c r="GW275" s="371">
        <f t="shared" ref="GW275:HB275" si="765">GV275+GW207</f>
        <v>459.64918809201913</v>
      </c>
      <c r="GX275" s="371">
        <f t="shared" si="765"/>
        <v>459.64918809201913</v>
      </c>
      <c r="GY275" s="371">
        <f t="shared" si="765"/>
        <v>459.64918809201913</v>
      </c>
      <c r="GZ275" s="371">
        <f t="shared" si="765"/>
        <v>459.64918809201913</v>
      </c>
      <c r="HA275" s="371">
        <f t="shared" si="765"/>
        <v>459.64918809201913</v>
      </c>
      <c r="HB275" s="371">
        <f t="shared" si="765"/>
        <v>459.64918809201913</v>
      </c>
      <c r="HC275" s="371">
        <f>GV275+HC207</f>
        <v>459.64918809201913</v>
      </c>
      <c r="HD275" s="371">
        <f>GE275+HD207</f>
        <v>459.64918809201913</v>
      </c>
      <c r="HE275" s="371">
        <f>HD275+HE207</f>
        <v>459.64918809201913</v>
      </c>
      <c r="HF275" s="371">
        <f>HE275+HF207</f>
        <v>459.64918809201913</v>
      </c>
      <c r="HG275" s="371">
        <f>HF275+HG207</f>
        <v>459.64918809201913</v>
      </c>
      <c r="HH275" s="371">
        <f>HG275+HH207</f>
        <v>459.64918809201913</v>
      </c>
      <c r="HI275" s="371">
        <f>HD275+HI207</f>
        <v>459.64918809201913</v>
      </c>
      <c r="HJ275" s="371">
        <f>HI275+HJ207</f>
        <v>459.64918809201913</v>
      </c>
      <c r="HK275" s="371">
        <f>HJ275+HK207</f>
        <v>459.64918809201913</v>
      </c>
      <c r="HL275" s="371">
        <f>HK275+HL207</f>
        <v>459.64918809201913</v>
      </c>
      <c r="HM275" s="371">
        <f>HL275+HM207</f>
        <v>459.64918809201913</v>
      </c>
      <c r="HN275" s="371">
        <f>HM275+HN207</f>
        <v>459.64918809201913</v>
      </c>
      <c r="HO275" s="371">
        <f>HI275+HO207</f>
        <v>459.64918809201913</v>
      </c>
      <c r="HP275" s="371">
        <f>HO275+HP207</f>
        <v>459.64918809201913</v>
      </c>
      <c r="HQ275" s="371">
        <f>HP275+HQ207</f>
        <v>459.64918809201913</v>
      </c>
      <c r="HR275" s="371">
        <f>HQ275+HR207</f>
        <v>459.64918809201913</v>
      </c>
      <c r="HS275" s="371">
        <f>HR275+HS207</f>
        <v>459.64918809201913</v>
      </c>
      <c r="HT275" s="371">
        <f>HS275+HT207</f>
        <v>319.64918809201913</v>
      </c>
      <c r="HU275" s="371">
        <f>HO275+HU207</f>
        <v>319.64918809201913</v>
      </c>
      <c r="HV275" s="371">
        <f>HU275+HV207</f>
        <v>562.34108570896638</v>
      </c>
      <c r="HW275" s="371">
        <f>HV275+HW207</f>
        <v>562.34108570896638</v>
      </c>
      <c r="HX275" s="371">
        <f>HW275+HX207</f>
        <v>562.34108570896638</v>
      </c>
      <c r="HY275" s="371">
        <f>HU275+HY207</f>
        <v>562.34108570896638</v>
      </c>
      <c r="HZ275" s="371">
        <f>HY275+HZ207</f>
        <v>562.34108570896638</v>
      </c>
      <c r="IA275" s="371">
        <f>HZ275+IA207</f>
        <v>562.34108570896638</v>
      </c>
      <c r="IB275" s="371">
        <f>IA275+IB207</f>
        <v>562.34108570896638</v>
      </c>
      <c r="IC275" s="371">
        <f>HY275+IC207</f>
        <v>562.34108570896638</v>
      </c>
      <c r="ID275" s="371">
        <f>HD275+ID207</f>
        <v>562.34108570896638</v>
      </c>
      <c r="IE275" s="371">
        <f>ID275+IE207</f>
        <v>562.34108570896638</v>
      </c>
      <c r="IF275" s="371" t="e">
        <f>#REF!+IF207</f>
        <v>#REF!</v>
      </c>
      <c r="IG275" s="371">
        <f>ID275+IG207</f>
        <v>556.87108570896635</v>
      </c>
      <c r="IH275" s="371">
        <f>IG275+IH207</f>
        <v>556.87108570896635</v>
      </c>
      <c r="II275" s="371">
        <f>IH275+II207</f>
        <v>556.87108570896635</v>
      </c>
      <c r="IJ275" s="371">
        <f>II275+IJ207</f>
        <v>556.87108570896635</v>
      </c>
      <c r="IK275" s="371">
        <f>IJ275+IK207</f>
        <v>408175.97108570894</v>
      </c>
      <c r="IL275" s="371">
        <f>IK275+IL207</f>
        <v>408175.97108570894</v>
      </c>
      <c r="IM275" s="371">
        <f>IG275+IM207</f>
        <v>408175.97108570894</v>
      </c>
      <c r="IN275" s="371">
        <f>IM275+IN207</f>
        <v>408175.97108570894</v>
      </c>
      <c r="IO275" s="371">
        <f>IN275+IO207</f>
        <v>408175.97108570894</v>
      </c>
      <c r="IP275" s="371" t="e">
        <f>#REF!+IP207</f>
        <v>#REF!</v>
      </c>
      <c r="IQ275" s="371">
        <f>IM275+IQ207</f>
        <v>248150.97108570894</v>
      </c>
      <c r="IR275" s="371">
        <f>IQ275+IR207</f>
        <v>248150.97108570894</v>
      </c>
      <c r="IS275" s="371">
        <f>IR275+IS207</f>
        <v>248150.97108570894</v>
      </c>
      <c r="IT275" s="371">
        <f>IS275+IT207</f>
        <v>248150.97108570894</v>
      </c>
      <c r="IU275" s="371">
        <f>IT275+IU207</f>
        <v>52748.471085708938</v>
      </c>
      <c r="IV275" s="371">
        <f>IU275+IV207</f>
        <v>52748.471085708938</v>
      </c>
      <c r="IW275" s="371">
        <f>IQ275+IW207</f>
        <v>52748.471085708938</v>
      </c>
      <c r="IX275" s="371">
        <f>IW275+IX207</f>
        <v>52748.471085708938</v>
      </c>
      <c r="IY275" s="371">
        <f>IX275+IY207</f>
        <v>52748.471085708938</v>
      </c>
      <c r="IZ275" s="371">
        <f>IY275+IZ207</f>
        <v>52748.471085708938</v>
      </c>
      <c r="JA275" s="371">
        <f>IZ275+JA207</f>
        <v>52748.471085708938</v>
      </c>
      <c r="JB275" s="371">
        <f>JA275+JB207</f>
        <v>52748.471085708938</v>
      </c>
      <c r="JC275" s="371">
        <f>IW275+JC207</f>
        <v>52748.471085708938</v>
      </c>
      <c r="JD275" s="371">
        <f>ID275+JD207</f>
        <v>52748.471085708974</v>
      </c>
      <c r="JE275" s="371">
        <f>JD275+JE207</f>
        <v>52748.471085708974</v>
      </c>
      <c r="JF275" s="371">
        <f>JE275+JF207</f>
        <v>52748.471085708974</v>
      </c>
      <c r="JG275" s="371">
        <f>JF275+JG207</f>
        <v>52748.471085708974</v>
      </c>
      <c r="JH275" s="371">
        <f>JG275+JH207</f>
        <v>52748.471085708974</v>
      </c>
      <c r="JI275" s="371">
        <f>JH275+JI207</f>
        <v>52748.471085708974</v>
      </c>
      <c r="JJ275" s="371">
        <f>JD275+JJ207</f>
        <v>52748.471085708974</v>
      </c>
      <c r="JK275" s="371">
        <f>JJ275+JK207</f>
        <v>52748.471085708974</v>
      </c>
      <c r="JL275" s="371">
        <f>JK275+JL207</f>
        <v>52748.471085708974</v>
      </c>
      <c r="JM275" s="371">
        <f>JL275+JM207</f>
        <v>52748.471085708974</v>
      </c>
      <c r="JN275" s="371">
        <f>JM275+JN207</f>
        <v>52748.471085708974</v>
      </c>
      <c r="JO275" s="371">
        <f>JN275+JO207</f>
        <v>52748.471085708974</v>
      </c>
      <c r="JP275" s="371">
        <f>JJ275+JP207</f>
        <v>52748.471085708974</v>
      </c>
      <c r="JQ275" s="371">
        <f>JP275+JQ207</f>
        <v>52748.471085708974</v>
      </c>
      <c r="JR275" s="371">
        <f>JQ275+JR207</f>
        <v>52748.471085708974</v>
      </c>
      <c r="JS275" s="371">
        <f>JR275+JS207</f>
        <v>52748.471085708974</v>
      </c>
      <c r="JT275" s="371">
        <f>JS275+JT207</f>
        <v>52748.471085708974</v>
      </c>
      <c r="JU275" s="371">
        <f>JT275+JU207</f>
        <v>52748.471085708974</v>
      </c>
      <c r="JV275" s="371">
        <f>JP275+JV207</f>
        <v>52748.471085708974</v>
      </c>
      <c r="JW275" s="371">
        <f>JV275+JW207</f>
        <v>52748.471085708974</v>
      </c>
      <c r="JX275" s="371">
        <f>JW275+JX207</f>
        <v>52748.471085708974</v>
      </c>
      <c r="JY275" s="371">
        <f>JX275+JY207</f>
        <v>52748.471085708974</v>
      </c>
      <c r="JZ275" s="371">
        <f>JY275+JZ207</f>
        <v>52748.471085708974</v>
      </c>
      <c r="KA275" s="371"/>
      <c r="KB275" s="371">
        <f>JZ275+KB207</f>
        <v>52748.471085708974</v>
      </c>
      <c r="KC275" s="371">
        <f>JV275+KC207</f>
        <v>52748.471085708974</v>
      </c>
      <c r="KD275" s="371" t="e">
        <f>JD275+KD207</f>
        <v>#REF!</v>
      </c>
      <c r="KE275" s="371" t="e">
        <f>KD275+KE207</f>
        <v>#REF!</v>
      </c>
      <c r="KF275" s="371" t="e">
        <f>KE275+KF207</f>
        <v>#REF!</v>
      </c>
      <c r="KG275" s="371" t="e">
        <f>KF275+KG207</f>
        <v>#REF!</v>
      </c>
      <c r="KH275" s="371" t="e">
        <f>KG275+KH207</f>
        <v>#REF!</v>
      </c>
      <c r="KI275" s="371" t="e">
        <f>KH275+KI207</f>
        <v>#REF!</v>
      </c>
      <c r="KJ275" s="371" t="e">
        <f>KD275+KJ207</f>
        <v>#REF!</v>
      </c>
      <c r="KK275" s="371" t="e">
        <f>KJ275+KK207</f>
        <v>#REF!</v>
      </c>
      <c r="KL275" s="371" t="e">
        <f>KK275+KL207</f>
        <v>#REF!</v>
      </c>
      <c r="KM275" s="371" t="e">
        <f>KL275+KM207</f>
        <v>#REF!</v>
      </c>
      <c r="KN275" s="371" t="e">
        <f>KM275+KN207</f>
        <v>#REF!</v>
      </c>
      <c r="KO275" s="371" t="e">
        <f>KN275+KO207</f>
        <v>#REF!</v>
      </c>
      <c r="KP275" s="371" t="e">
        <f>KJ275+KP207</f>
        <v>#REF!</v>
      </c>
      <c r="KQ275" s="371" t="e">
        <f>KP275+KQ207</f>
        <v>#REF!</v>
      </c>
      <c r="KR275" s="371" t="e">
        <f>KQ275+KR207</f>
        <v>#REF!</v>
      </c>
      <c r="KS275" s="371" t="e">
        <f>KR275+KS207</f>
        <v>#REF!</v>
      </c>
      <c r="KT275" s="371" t="e">
        <f>KS275+KT207</f>
        <v>#REF!</v>
      </c>
      <c r="KU275" s="371" t="e">
        <f>KT275+KU207</f>
        <v>#REF!</v>
      </c>
      <c r="KV275" s="371" t="e">
        <f>KP275+KV207</f>
        <v>#REF!</v>
      </c>
      <c r="KW275" s="371" t="e">
        <f>KV275+KW207</f>
        <v>#REF!</v>
      </c>
      <c r="KX275" s="371" t="e">
        <f>KW275+KX207</f>
        <v>#REF!</v>
      </c>
      <c r="KY275" s="371" t="e">
        <f>KX275+KY207</f>
        <v>#REF!</v>
      </c>
      <c r="KZ275" s="371" t="e">
        <f>KY275+KZ207</f>
        <v>#REF!</v>
      </c>
      <c r="LA275" s="371" t="e">
        <f>KZ275+LA207</f>
        <v>#REF!</v>
      </c>
      <c r="LB275" s="371" t="e">
        <f>KV275+LB207</f>
        <v>#REF!</v>
      </c>
      <c r="LC275" s="371" t="e">
        <f>LB275+LC207</f>
        <v>#REF!</v>
      </c>
      <c r="LD275" s="371" t="e">
        <f>LC275+LD207</f>
        <v>#REF!</v>
      </c>
      <c r="LE275" s="371" t="e">
        <f>LD275+LE207</f>
        <v>#REF!</v>
      </c>
      <c r="LF275" s="371" t="e">
        <f>LB275+LF207</f>
        <v>#REF!</v>
      </c>
      <c r="LG275" s="371" t="e">
        <f>KD275+LG207</f>
        <v>#REF!</v>
      </c>
    </row>
    <row r="276" spans="1:319" s="370" customFormat="1">
      <c r="HD276" s="368"/>
      <c r="HE276" s="368"/>
      <c r="HF276" s="368"/>
      <c r="HG276" s="368"/>
      <c r="HH276" s="368"/>
      <c r="HI276" s="368"/>
      <c r="HJ276" s="368"/>
      <c r="HK276" s="368"/>
      <c r="HL276" s="368"/>
      <c r="HM276" s="368"/>
      <c r="HN276" s="368"/>
      <c r="HO276" s="368"/>
      <c r="HP276" s="368"/>
      <c r="HQ276" s="368"/>
      <c r="HR276" s="368"/>
      <c r="HS276" s="368"/>
      <c r="HT276" s="368"/>
      <c r="HU276" s="368"/>
      <c r="HV276" s="368"/>
      <c r="HW276" s="368"/>
      <c r="HX276" s="368"/>
      <c r="HY276" s="368"/>
      <c r="HZ276" s="368"/>
      <c r="IA276" s="368"/>
      <c r="IB276" s="368"/>
      <c r="IC276" s="368"/>
      <c r="ID276" s="368"/>
      <c r="IE276" s="368"/>
      <c r="IF276" s="368"/>
      <c r="IG276" s="368"/>
      <c r="IH276" s="368"/>
      <c r="II276" s="368"/>
      <c r="IJ276" s="368"/>
      <c r="IK276" s="368"/>
      <c r="IL276" s="368"/>
      <c r="IM276" s="368"/>
      <c r="IN276" s="368"/>
      <c r="IO276" s="368"/>
      <c r="IP276" s="368"/>
      <c r="IQ276" s="368"/>
      <c r="IR276" s="368"/>
      <c r="IS276" s="368"/>
      <c r="IT276" s="368"/>
      <c r="IU276" s="368"/>
      <c r="IV276" s="368"/>
      <c r="IW276" s="368"/>
      <c r="IX276" s="368"/>
      <c r="IY276" s="368"/>
      <c r="IZ276" s="368"/>
      <c r="JA276" s="368"/>
      <c r="JB276" s="368"/>
      <c r="JC276" s="368"/>
      <c r="JD276" s="368"/>
      <c r="JE276" s="368"/>
      <c r="JF276" s="368"/>
      <c r="JG276" s="368"/>
      <c r="JH276" s="368"/>
      <c r="JI276" s="368"/>
      <c r="JJ276" s="368"/>
      <c r="JK276" s="368"/>
      <c r="JL276" s="368"/>
      <c r="JM276" s="368"/>
      <c r="JN276" s="368"/>
      <c r="JO276" s="368"/>
      <c r="JP276" s="368"/>
      <c r="JQ276" s="368"/>
      <c r="JR276" s="368"/>
      <c r="JS276" s="368"/>
      <c r="JT276" s="368"/>
      <c r="JU276" s="368"/>
      <c r="JV276" s="368"/>
      <c r="JW276" s="368"/>
      <c r="JX276" s="368"/>
      <c r="JY276" s="368"/>
      <c r="JZ276" s="368"/>
      <c r="KA276" s="368"/>
      <c r="KB276" s="368"/>
      <c r="KC276" s="368"/>
      <c r="KD276" s="368"/>
      <c r="KE276" s="368"/>
      <c r="KF276" s="368"/>
      <c r="KG276" s="368"/>
      <c r="KH276" s="368"/>
      <c r="KI276" s="368"/>
      <c r="KJ276" s="368"/>
      <c r="KK276" s="368"/>
      <c r="KL276" s="368"/>
      <c r="KM276" s="368"/>
      <c r="KN276" s="368"/>
      <c r="KO276" s="368"/>
      <c r="KP276" s="368"/>
      <c r="KQ276" s="368"/>
      <c r="KR276" s="368"/>
      <c r="KS276" s="368"/>
      <c r="KT276" s="368"/>
      <c r="KU276" s="368"/>
      <c r="KV276" s="368"/>
      <c r="KW276" s="368"/>
      <c r="KX276" s="368"/>
      <c r="KY276" s="368"/>
      <c r="KZ276" s="368"/>
      <c r="LA276" s="368"/>
      <c r="LB276" s="368"/>
      <c r="LC276" s="368"/>
      <c r="LD276" s="368"/>
      <c r="LE276" s="368"/>
      <c r="LF276" s="368"/>
      <c r="LG276" s="368"/>
    </row>
    <row r="277" spans="1:319" s="370" customFormat="1">
      <c r="HD277" s="368"/>
      <c r="HE277" s="368"/>
      <c r="HF277" s="368"/>
      <c r="HG277" s="368"/>
      <c r="HH277" s="368"/>
      <c r="HI277" s="368"/>
      <c r="HJ277" s="368"/>
      <c r="HK277" s="368"/>
      <c r="HL277" s="368"/>
      <c r="HM277" s="368"/>
      <c r="HN277" s="368"/>
      <c r="HO277" s="368"/>
      <c r="HP277" s="368"/>
      <c r="HQ277" s="368"/>
      <c r="HR277" s="368"/>
      <c r="HS277" s="368"/>
      <c r="HT277" s="368"/>
      <c r="HU277" s="368"/>
      <c r="HV277" s="368"/>
      <c r="HW277" s="368"/>
      <c r="HX277" s="368"/>
      <c r="HY277" s="368"/>
      <c r="HZ277" s="368"/>
      <c r="IA277" s="368"/>
      <c r="IB277" s="368"/>
      <c r="IC277" s="368"/>
      <c r="ID277" s="368"/>
      <c r="IE277" s="368"/>
      <c r="IF277" s="368"/>
      <c r="IG277" s="368"/>
      <c r="IH277" s="368"/>
      <c r="II277" s="368"/>
      <c r="IJ277" s="368"/>
      <c r="IK277" s="368"/>
      <c r="IL277" s="368"/>
      <c r="IM277" s="368"/>
      <c r="IN277" s="368"/>
      <c r="IO277" s="368"/>
      <c r="IP277" s="368"/>
      <c r="IQ277" s="368"/>
      <c r="IR277" s="368"/>
      <c r="IS277" s="368"/>
      <c r="IT277" s="368"/>
      <c r="IU277" s="368"/>
      <c r="IV277" s="368"/>
      <c r="IW277" s="368"/>
      <c r="IX277" s="368"/>
      <c r="IY277" s="368"/>
      <c r="IZ277" s="368"/>
      <c r="JA277" s="368"/>
      <c r="JB277" s="368"/>
      <c r="JC277" s="368"/>
      <c r="JD277" s="368"/>
      <c r="JE277" s="368"/>
      <c r="JF277" s="368"/>
      <c r="JG277" s="368"/>
      <c r="JH277" s="368"/>
      <c r="JI277" s="368"/>
      <c r="JJ277" s="368"/>
      <c r="JK277" s="368"/>
      <c r="JL277" s="368"/>
      <c r="JM277" s="368"/>
      <c r="JN277" s="368"/>
      <c r="JO277" s="368"/>
      <c r="JP277" s="368"/>
      <c r="JQ277" s="368"/>
      <c r="JR277" s="368"/>
      <c r="JS277" s="368"/>
      <c r="JT277" s="368"/>
      <c r="JU277" s="368"/>
      <c r="JV277" s="368"/>
      <c r="JW277" s="368"/>
      <c r="JX277" s="368"/>
      <c r="JY277" s="368"/>
      <c r="JZ277" s="368"/>
      <c r="KA277" s="368"/>
      <c r="KB277" s="368"/>
      <c r="KC277" s="368"/>
      <c r="KD277" s="368"/>
      <c r="KE277" s="368"/>
      <c r="KF277" s="368"/>
      <c r="KG277" s="368"/>
      <c r="KH277" s="368"/>
      <c r="KI277" s="368"/>
      <c r="KJ277" s="368"/>
      <c r="KK277" s="368"/>
      <c r="KL277" s="368"/>
      <c r="KM277" s="368"/>
      <c r="KN277" s="368"/>
      <c r="KO277" s="368"/>
      <c r="KP277" s="368"/>
      <c r="KQ277" s="368"/>
      <c r="KR277" s="368"/>
      <c r="KS277" s="368"/>
      <c r="KT277" s="368"/>
      <c r="KU277" s="368"/>
      <c r="KV277" s="368"/>
      <c r="KW277" s="368"/>
      <c r="KX277" s="368"/>
      <c r="KY277" s="368"/>
      <c r="KZ277" s="368"/>
      <c r="LA277" s="368"/>
      <c r="LB277" s="368"/>
      <c r="LC277" s="368"/>
      <c r="LD277" s="368"/>
      <c r="LE277" s="368"/>
      <c r="LF277" s="368"/>
      <c r="LG277" s="368"/>
    </row>
    <row r="278" spans="1:319" s="370" customFormat="1">
      <c r="A278" s="969" t="s">
        <v>242</v>
      </c>
      <c r="B278" s="969"/>
      <c r="HD278" s="368"/>
      <c r="HE278" s="368"/>
      <c r="HF278" s="368"/>
      <c r="HG278" s="368"/>
      <c r="HH278" s="368"/>
      <c r="HI278" s="368"/>
      <c r="HJ278" s="368"/>
      <c r="HK278" s="368"/>
      <c r="HL278" s="368"/>
      <c r="HM278" s="368"/>
      <c r="HN278" s="368"/>
      <c r="HO278" s="368"/>
      <c r="HP278" s="368"/>
      <c r="HQ278" s="368"/>
      <c r="HR278" s="368"/>
      <c r="HS278" s="368"/>
      <c r="HT278" s="368"/>
      <c r="HU278" s="368"/>
      <c r="HV278" s="368"/>
      <c r="HW278" s="368"/>
      <c r="HX278" s="368"/>
      <c r="HY278" s="368"/>
      <c r="HZ278" s="368"/>
      <c r="IA278" s="368"/>
      <c r="IB278" s="368"/>
      <c r="IC278" s="368"/>
      <c r="ID278" s="368"/>
      <c r="IE278" s="368"/>
      <c r="IF278" s="368"/>
      <c r="IG278" s="368"/>
      <c r="IH278" s="368"/>
      <c r="II278" s="368"/>
      <c r="IJ278" s="368"/>
      <c r="IK278" s="368"/>
      <c r="IL278" s="368"/>
      <c r="IM278" s="368"/>
      <c r="IN278" s="368"/>
      <c r="IO278" s="368"/>
      <c r="IP278" s="368"/>
      <c r="IQ278" s="368"/>
      <c r="IR278" s="368"/>
      <c r="IS278" s="368"/>
      <c r="IT278" s="368"/>
      <c r="IU278" s="368"/>
      <c r="IV278" s="368"/>
      <c r="IW278" s="368"/>
      <c r="IX278" s="368"/>
      <c r="IY278" s="368"/>
      <c r="IZ278" s="368"/>
      <c r="JA278" s="368"/>
      <c r="JB278" s="368"/>
      <c r="JC278" s="368"/>
      <c r="JD278" s="368"/>
      <c r="JE278" s="368"/>
      <c r="JF278" s="368"/>
      <c r="JG278" s="368"/>
      <c r="JH278" s="368"/>
      <c r="JI278" s="368"/>
      <c r="JJ278" s="368"/>
      <c r="JK278" s="368"/>
      <c r="JL278" s="368"/>
      <c r="JM278" s="368"/>
      <c r="JN278" s="368"/>
      <c r="JO278" s="368"/>
      <c r="JP278" s="368"/>
      <c r="JQ278" s="368"/>
      <c r="JR278" s="368"/>
      <c r="JS278" s="368"/>
      <c r="JT278" s="368"/>
      <c r="JU278" s="368"/>
      <c r="JV278" s="368"/>
      <c r="JW278" s="368"/>
      <c r="JX278" s="368"/>
      <c r="JY278" s="368"/>
      <c r="JZ278" s="368"/>
      <c r="KA278" s="368"/>
      <c r="KB278" s="368"/>
      <c r="KC278" s="368"/>
      <c r="KD278" s="368"/>
      <c r="KE278" s="368"/>
      <c r="KF278" s="368"/>
      <c r="KG278" s="368"/>
      <c r="KH278" s="368"/>
      <c r="KI278" s="368"/>
      <c r="KJ278" s="368"/>
      <c r="KK278" s="368"/>
      <c r="KL278" s="368"/>
      <c r="KM278" s="368"/>
      <c r="KN278" s="368"/>
      <c r="KO278" s="368"/>
      <c r="KP278" s="368"/>
      <c r="KQ278" s="368"/>
      <c r="KR278" s="368"/>
      <c r="KS278" s="368"/>
      <c r="KT278" s="368"/>
      <c r="KU278" s="368"/>
      <c r="KV278" s="368"/>
      <c r="KW278" s="368"/>
      <c r="KX278" s="368"/>
      <c r="KY278" s="368"/>
      <c r="KZ278" s="368"/>
      <c r="LA278" s="368"/>
      <c r="LB278" s="368"/>
      <c r="LC278" s="368"/>
      <c r="LD278" s="368"/>
      <c r="LE278" s="368"/>
      <c r="LF278" s="368"/>
      <c r="LG278" s="368"/>
    </row>
    <row r="279" spans="1:319" s="370" customFormat="1">
      <c r="HD279" s="368"/>
      <c r="HE279" s="368"/>
      <c r="HF279" s="368"/>
      <c r="HG279" s="368"/>
      <c r="HH279" s="368"/>
      <c r="HI279" s="368"/>
      <c r="HJ279" s="368"/>
      <c r="HK279" s="368"/>
      <c r="HL279" s="368"/>
      <c r="HM279" s="368"/>
      <c r="HN279" s="368"/>
      <c r="HO279" s="368"/>
      <c r="HP279" s="368"/>
      <c r="HQ279" s="368"/>
      <c r="HR279" s="368"/>
      <c r="HS279" s="368"/>
      <c r="HT279" s="368"/>
      <c r="HU279" s="368"/>
      <c r="HV279" s="368"/>
      <c r="HW279" s="368"/>
      <c r="HX279" s="368"/>
      <c r="HY279" s="368"/>
      <c r="HZ279" s="368"/>
      <c r="IA279" s="368"/>
      <c r="IB279" s="368"/>
      <c r="IC279" s="368"/>
      <c r="ID279" s="368"/>
      <c r="IE279" s="368"/>
      <c r="IF279" s="368"/>
      <c r="IG279" s="368"/>
      <c r="IH279" s="368"/>
      <c r="II279" s="368"/>
      <c r="IJ279" s="368"/>
      <c r="IK279" s="368"/>
      <c r="IL279" s="368"/>
      <c r="IM279" s="368"/>
      <c r="IN279" s="368"/>
      <c r="IO279" s="368"/>
      <c r="IP279" s="368"/>
      <c r="IQ279" s="368"/>
      <c r="IR279" s="368"/>
      <c r="IS279" s="368"/>
      <c r="IT279" s="368"/>
      <c r="IU279" s="368"/>
      <c r="IV279" s="368"/>
      <c r="IW279" s="368"/>
      <c r="IX279" s="368"/>
      <c r="IY279" s="368"/>
      <c r="IZ279" s="368"/>
      <c r="JA279" s="368"/>
      <c r="JB279" s="368"/>
      <c r="JC279" s="368"/>
      <c r="JD279" s="368"/>
      <c r="JE279" s="368"/>
      <c r="JF279" s="368"/>
      <c r="JG279" s="368"/>
      <c r="JH279" s="368"/>
      <c r="JI279" s="368"/>
      <c r="JJ279" s="368"/>
      <c r="JK279" s="368"/>
      <c r="JL279" s="368"/>
      <c r="JM279" s="368"/>
      <c r="JN279" s="368"/>
      <c r="JO279" s="368"/>
      <c r="JP279" s="368"/>
      <c r="JQ279" s="368"/>
      <c r="JR279" s="368"/>
      <c r="JS279" s="368"/>
      <c r="JT279" s="368"/>
      <c r="JU279" s="368"/>
      <c r="JV279" s="368"/>
      <c r="JW279" s="368"/>
      <c r="JX279" s="368"/>
      <c r="JY279" s="368"/>
      <c r="JZ279" s="368"/>
      <c r="KA279" s="368"/>
      <c r="KB279" s="368"/>
      <c r="KC279" s="368"/>
      <c r="KD279" s="368"/>
      <c r="KE279" s="368"/>
      <c r="KF279" s="368"/>
      <c r="KG279" s="368"/>
      <c r="KH279" s="368"/>
      <c r="KI279" s="368"/>
      <c r="KJ279" s="368"/>
      <c r="KK279" s="368"/>
      <c r="KL279" s="368"/>
      <c r="KM279" s="368"/>
      <c r="KN279" s="368"/>
      <c r="KO279" s="368"/>
      <c r="KP279" s="368"/>
      <c r="KQ279" s="368"/>
      <c r="KR279" s="368"/>
      <c r="KS279" s="368"/>
      <c r="KT279" s="368"/>
      <c r="KU279" s="368"/>
      <c r="KV279" s="368"/>
      <c r="KW279" s="368"/>
      <c r="KX279" s="368"/>
      <c r="KY279" s="368"/>
      <c r="KZ279" s="368"/>
      <c r="LA279" s="368"/>
      <c r="LB279" s="368"/>
      <c r="LC279" s="368"/>
      <c r="LD279" s="368"/>
      <c r="LE279" s="368"/>
      <c r="LF279" s="368"/>
      <c r="LG279" s="368"/>
    </row>
    <row r="280" spans="1:319" s="370" customFormat="1">
      <c r="A280" s="371" t="s">
        <v>30</v>
      </c>
      <c r="B280" s="371">
        <v>6998.49</v>
      </c>
      <c r="C280" s="371">
        <f>B280+C135</f>
        <v>6998.49</v>
      </c>
      <c r="D280" s="371">
        <f>B280+D135</f>
        <v>6998.49</v>
      </c>
      <c r="E280" s="371">
        <f>D280+E135</f>
        <v>6998.49</v>
      </c>
      <c r="F280" s="371">
        <f>E280+F135</f>
        <v>6998.49</v>
      </c>
      <c r="G280" s="371">
        <f>F280+G135</f>
        <v>6998.49</v>
      </c>
      <c r="H280" s="371">
        <f>G280+H135</f>
        <v>6998.49</v>
      </c>
      <c r="I280" s="371">
        <f>H280+I135</f>
        <v>6998.49</v>
      </c>
      <c r="J280" s="371">
        <f>D280+J135</f>
        <v>6998.49</v>
      </c>
      <c r="K280" s="371">
        <f>J280+K135</f>
        <v>6998.49</v>
      </c>
      <c r="L280" s="371">
        <f>K280+L135</f>
        <v>6998.49</v>
      </c>
      <c r="M280" s="371">
        <f>K280+M135</f>
        <v>6992.15</v>
      </c>
      <c r="N280" s="371">
        <f>M280+N135</f>
        <v>6992.15</v>
      </c>
      <c r="O280" s="371">
        <f>J280+O135</f>
        <v>6992.15</v>
      </c>
      <c r="P280" s="371">
        <f>O280+P135</f>
        <v>6992.15</v>
      </c>
      <c r="Q280" s="371">
        <f>P280+Q135</f>
        <v>6992.15</v>
      </c>
      <c r="R280" s="371">
        <f>Q280+R135</f>
        <v>6992.15</v>
      </c>
      <c r="S280" s="371">
        <f>R280+S135</f>
        <v>6992.15</v>
      </c>
      <c r="T280" s="371">
        <f>S280+T135</f>
        <v>6992.15</v>
      </c>
      <c r="U280" s="371">
        <f>O280+U135</f>
        <v>6992.15</v>
      </c>
      <c r="V280" s="371">
        <f>U280+V135</f>
        <v>235972.15</v>
      </c>
      <c r="W280" s="371">
        <f>V280+W135</f>
        <v>2417.8399999999965</v>
      </c>
      <c r="X280" s="371">
        <f>W280+X135</f>
        <v>2417.8399999999965</v>
      </c>
      <c r="Y280" s="371">
        <f>X280+Y135</f>
        <v>2417.8399999999965</v>
      </c>
      <c r="Z280" s="371">
        <f>Y280+Z135</f>
        <v>2417.8399999999965</v>
      </c>
      <c r="AA280" s="371">
        <f>U280+AA135</f>
        <v>2417.840000000002</v>
      </c>
      <c r="AB280" s="371">
        <f>B280+AB135</f>
        <v>2417.8400000000056</v>
      </c>
      <c r="AC280" s="371">
        <f>AB280+AC135</f>
        <v>2417.8400000000056</v>
      </c>
      <c r="AD280" s="371">
        <f>AC280+AD135</f>
        <v>2417.8400000000056</v>
      </c>
      <c r="AE280" s="371">
        <f>AD280+AE135</f>
        <v>2417.8400000000056</v>
      </c>
      <c r="AF280" s="371">
        <f>AE280+AF135</f>
        <v>2417.8400000000056</v>
      </c>
      <c r="AG280" s="371">
        <f>AF280+AG135</f>
        <v>2417.8400000000056</v>
      </c>
      <c r="AH280" s="371">
        <f>AB280+AH135</f>
        <v>2417.8400000000056</v>
      </c>
      <c r="AI280" s="371">
        <f>AH280+AI135</f>
        <v>2417.8400000000056</v>
      </c>
      <c r="AJ280" s="371">
        <f>AI280+AJ135</f>
        <v>2417.8400000000056</v>
      </c>
      <c r="AK280" s="371">
        <f>AJ280+AK135</f>
        <v>2417.8400000000056</v>
      </c>
      <c r="AL280" s="371">
        <f>AK280+AL135</f>
        <v>2417.8400000000056</v>
      </c>
      <c r="AM280" s="371">
        <f>AL280+AM135</f>
        <v>2417.8400000000056</v>
      </c>
      <c r="AN280" s="371">
        <f>AH280+AN135</f>
        <v>2417.8400000000056</v>
      </c>
      <c r="AO280" s="371">
        <f>AN280+AO135</f>
        <v>2417.8400000000056</v>
      </c>
      <c r="AP280" s="371">
        <f>AO280+AP135</f>
        <v>2417.8400000000056</v>
      </c>
      <c r="AQ280" s="371">
        <f>AP280+AQ135</f>
        <v>2417.8400000000056</v>
      </c>
      <c r="AR280" s="371">
        <f>AQ280+AR135</f>
        <v>2417.8400000000056</v>
      </c>
      <c r="AS280" s="371">
        <f>AR280+AS135</f>
        <v>2417.8400000000056</v>
      </c>
      <c r="AT280" s="371">
        <f>AN280+AT135</f>
        <v>2417.8400000000056</v>
      </c>
      <c r="AU280" s="371">
        <f>AT280+AU135</f>
        <v>2417.8400000000056</v>
      </c>
      <c r="AV280" s="371">
        <f>AU280+AV135</f>
        <v>2417.8400000000056</v>
      </c>
      <c r="AW280" s="371">
        <f>AV280+AW135</f>
        <v>2417.8400000000056</v>
      </c>
      <c r="AX280" s="371">
        <f>AW280+AX135</f>
        <v>2417.8400000000056</v>
      </c>
      <c r="AY280" s="371">
        <f>AX280+AY135</f>
        <v>2417.8400000000056</v>
      </c>
      <c r="AZ280" s="371">
        <f>AT280+AZ135</f>
        <v>2417.8400000000056</v>
      </c>
      <c r="BA280" s="371">
        <f>AB280+BA135</f>
        <v>2417.8400000000056</v>
      </c>
      <c r="BB280" s="371">
        <f>BA280+BB135</f>
        <v>2417.8400000000056</v>
      </c>
      <c r="BC280" s="371">
        <f>BB280+BC135</f>
        <v>2417.8400000000056</v>
      </c>
      <c r="BD280" s="371">
        <f>BC280+BD135</f>
        <v>2417.8400000000056</v>
      </c>
      <c r="BE280" s="371">
        <f>BD280+BE135</f>
        <v>114067.84000000001</v>
      </c>
      <c r="BF280" s="371">
        <f>BE280+BF135</f>
        <v>84722.840000000011</v>
      </c>
      <c r="BG280" s="371">
        <f>BA280+BG135</f>
        <v>84722.840000000011</v>
      </c>
      <c r="BH280" s="371">
        <f>BG280+BH135</f>
        <v>84722.840000000011</v>
      </c>
      <c r="BI280" s="371">
        <f>BH280+BI135</f>
        <v>84722.840000000011</v>
      </c>
      <c r="BJ280" s="371">
        <f>BI280+BJ135</f>
        <v>84722.840000000011</v>
      </c>
      <c r="BK280" s="371">
        <f>BJ280+BK135</f>
        <v>299822.84000000003</v>
      </c>
      <c r="BL280" s="371">
        <f>BK280+BL135</f>
        <v>299822.84000000003</v>
      </c>
      <c r="BM280" s="371">
        <f>BG280+BM135</f>
        <v>299822.84000000003</v>
      </c>
      <c r="BN280" s="371">
        <f>BM280+BN135</f>
        <v>299822.84000000003</v>
      </c>
      <c r="BO280" s="371">
        <f>BN280+BO135</f>
        <v>299822.84000000003</v>
      </c>
      <c r="BP280" s="371">
        <f>BO280+BP135</f>
        <v>299822.84000000003</v>
      </c>
      <c r="BQ280" s="371">
        <f>BP280+BQ135</f>
        <v>299822.84000000003</v>
      </c>
      <c r="BR280" s="371">
        <f>BM280+BR135</f>
        <v>299822.84000000003</v>
      </c>
      <c r="BS280" s="371">
        <f>BR280+BS135</f>
        <v>299822.84000000003</v>
      </c>
      <c r="BT280" s="371">
        <f>BS280+BT135</f>
        <v>299822.84000000003</v>
      </c>
      <c r="BU280" s="371">
        <f>BT280+BU135</f>
        <v>299822.84000000003</v>
      </c>
      <c r="BV280" s="371">
        <f>BU280+BV135</f>
        <v>369511.58</v>
      </c>
      <c r="BW280" s="371">
        <f>BV280+BW135</f>
        <v>369511.58</v>
      </c>
      <c r="BX280" s="371">
        <f>BR280+BX135</f>
        <v>369511.58</v>
      </c>
      <c r="BY280" s="371">
        <f>BX280+BY135</f>
        <v>369511.58</v>
      </c>
      <c r="BZ280" s="371">
        <f>BY280+BZ135</f>
        <v>369511.58</v>
      </c>
      <c r="CA280" s="371">
        <f>BX280+CA135</f>
        <v>369511.58</v>
      </c>
      <c r="CB280" s="371">
        <f>BA280+CB135</f>
        <v>369511.58</v>
      </c>
      <c r="CC280" s="371">
        <f>CB280+CC135</f>
        <v>369511.58</v>
      </c>
      <c r="CD280" s="371">
        <f>CC280+CD135</f>
        <v>369505.4</v>
      </c>
      <c r="CE280" s="371">
        <f>CD280+CE135</f>
        <v>369505.4</v>
      </c>
      <c r="CF280" s="371">
        <f>CB280+CF135</f>
        <v>369505.4</v>
      </c>
      <c r="CG280" s="371">
        <f>CF280+CG135</f>
        <v>369505.4</v>
      </c>
      <c r="CH280" s="371">
        <f>CG280+CH135</f>
        <v>369505.4</v>
      </c>
      <c r="CI280" s="371">
        <f>CH280+CI135</f>
        <v>168174.68000000002</v>
      </c>
      <c r="CJ280" s="371">
        <f>CI280+CJ135</f>
        <v>168174.68000000002</v>
      </c>
      <c r="CK280" s="371">
        <f>CF280+CK135</f>
        <v>168174.68000000002</v>
      </c>
      <c r="CL280" s="371">
        <f>CK280+CL135</f>
        <v>168174.68000000002</v>
      </c>
      <c r="CM280" s="371">
        <f>CL280+CM135</f>
        <v>168174.68000000002</v>
      </c>
      <c r="CN280" s="371">
        <f>CM280+CN135</f>
        <v>268125.68000000005</v>
      </c>
      <c r="CO280" s="371">
        <f>CN280+CO135</f>
        <v>268125.68000000005</v>
      </c>
      <c r="CP280" s="371">
        <f>CO280+CP135</f>
        <v>268125.68000000005</v>
      </c>
      <c r="CQ280" s="371">
        <f>CK280+CQ135</f>
        <v>268125.68000000005</v>
      </c>
      <c r="CR280" s="371">
        <f>CQ280+CR135</f>
        <v>268125.68000000005</v>
      </c>
      <c r="CS280" s="371">
        <f>CR280+CS135</f>
        <v>268125.68000000005</v>
      </c>
      <c r="CT280" s="371">
        <f>CS280+CT135</f>
        <v>148125.68000000005</v>
      </c>
      <c r="CU280" s="371">
        <f>CT280+CU135</f>
        <v>148125.68000000005</v>
      </c>
      <c r="CV280" s="371">
        <f>CU280+CV135</f>
        <v>148125.68000000005</v>
      </c>
      <c r="CW280" s="371">
        <f>CQ280+CW135</f>
        <v>148125.68000000005</v>
      </c>
      <c r="CX280" s="371">
        <f>CW280+CX135</f>
        <v>148125.68000000005</v>
      </c>
      <c r="CY280" s="371">
        <f>CX280+CY135</f>
        <v>148125.68000000005</v>
      </c>
      <c r="CZ280" s="371">
        <f>CY280+CZ135</f>
        <v>148125.68000000005</v>
      </c>
      <c r="DA280" s="371">
        <f>CZ280+DA135</f>
        <v>148125.68000000005</v>
      </c>
      <c r="DB280" s="371">
        <f>CW280+DB135</f>
        <v>148125.68000000005</v>
      </c>
      <c r="DC280" s="371">
        <f>CB280+DC135</f>
        <v>148125.68000000005</v>
      </c>
      <c r="DD280" s="371">
        <f>DC280+DD135</f>
        <v>148125.68000000005</v>
      </c>
      <c r="DE280" s="371">
        <f>DD280+DE135</f>
        <v>148125.68000000005</v>
      </c>
      <c r="DF280" s="371">
        <f>DE280+DF135</f>
        <v>8125.6800000000512</v>
      </c>
      <c r="DG280" s="371">
        <f>DF280+DG135</f>
        <v>8125.6800000000512</v>
      </c>
      <c r="DH280" s="371">
        <f>DG280+DH135</f>
        <v>8125.6800000000512</v>
      </c>
      <c r="DI280" s="371">
        <f>DC280+DI135</f>
        <v>8125.6800000000512</v>
      </c>
      <c r="DJ280" s="371">
        <f>DI280+DJ135</f>
        <v>8125.6800000000512</v>
      </c>
      <c r="DK280" s="371">
        <f>DJ280+DK135</f>
        <v>80794.080000000045</v>
      </c>
      <c r="DL280" s="371">
        <f>DK280+DL135</f>
        <v>80794.080000000045</v>
      </c>
      <c r="DM280" s="371">
        <f>DL280+DM135</f>
        <v>80794.080000000045</v>
      </c>
      <c r="DN280" s="371">
        <f>DM280+DN135</f>
        <v>80794.080000000045</v>
      </c>
      <c r="DO280" s="371">
        <f>DI280+DO135</f>
        <v>80794.080000000045</v>
      </c>
      <c r="DP280" s="371">
        <f>DO280+DP135</f>
        <v>80794.080000000045</v>
      </c>
      <c r="DQ280" s="371">
        <f>DP280+DQ135</f>
        <v>80794.080000000045</v>
      </c>
      <c r="DR280" s="371">
        <f>DQ280+DR135</f>
        <v>-39205.919999999955</v>
      </c>
      <c r="DS280" s="371">
        <f>DR280+DS135</f>
        <v>1979.0800000000454</v>
      </c>
      <c r="DT280" s="371">
        <f>DS280+DT135</f>
        <v>1979.0800000000454</v>
      </c>
      <c r="DU280" s="371">
        <f>DO280+DU135</f>
        <v>1979.0800000000454</v>
      </c>
      <c r="DV280" s="371">
        <f>DU280+DV135</f>
        <v>1979.0800000000454</v>
      </c>
      <c r="DW280" s="371">
        <f>DV280+DW135</f>
        <v>1979.0800000000454</v>
      </c>
      <c r="DX280" s="371">
        <f>DW280+DX135</f>
        <v>1979.0800000000454</v>
      </c>
      <c r="DY280" s="371">
        <f>DX280+DY135</f>
        <v>1979.0800000000454</v>
      </c>
      <c r="DZ280" s="371">
        <f>DY280+DZ135</f>
        <v>1979.0800000000454</v>
      </c>
      <c r="EA280" s="371">
        <f>DU280+EA135</f>
        <v>1979.0800000000454</v>
      </c>
      <c r="EB280" s="371">
        <f>DC280+EB135</f>
        <v>1979.0800000000454</v>
      </c>
      <c r="EC280" s="371">
        <f>EB280+EC135</f>
        <v>1979.0800000000454</v>
      </c>
      <c r="ED280" s="371">
        <f>EC280+ED135</f>
        <v>1979.0800000000454</v>
      </c>
      <c r="EE280" s="371">
        <f>ED280+EE135</f>
        <v>1979.0800000000454</v>
      </c>
      <c r="EF280" s="371">
        <f>EE280+EF135</f>
        <v>1979.0800000000454</v>
      </c>
      <c r="EG280" s="371">
        <f>EF280+EG135</f>
        <v>1979.0800000000454</v>
      </c>
      <c r="EH280" s="371">
        <f>EB280+EH135</f>
        <v>1979.0800000000454</v>
      </c>
      <c r="EI280" s="371">
        <f>EH280+EI135</f>
        <v>1979.0800000000454</v>
      </c>
      <c r="EJ280" s="371">
        <f>EI280+EJ135</f>
        <v>1979.0800000000454</v>
      </c>
      <c r="EK280" s="371">
        <f>EJ280+EK135</f>
        <v>1979.0800000000454</v>
      </c>
      <c r="EL280" s="371">
        <f>EK280+EL135</f>
        <v>1979.0800000000454</v>
      </c>
      <c r="EM280" s="371">
        <f>EL280+EM135</f>
        <v>1979.0800000000454</v>
      </c>
      <c r="EN280" s="371">
        <f>EH280+EN135</f>
        <v>1979.0800000000454</v>
      </c>
      <c r="EO280" s="371">
        <f>EN280+EO121</f>
        <v>1979.0800000000454</v>
      </c>
      <c r="EP280" s="371">
        <f>EO280+EP121</f>
        <v>1979.0800000000454</v>
      </c>
      <c r="EQ280" s="371">
        <f>EP280+EQ121</f>
        <v>1979.0800000000454</v>
      </c>
      <c r="ER280" s="371">
        <f>EQ280+ER121</f>
        <v>1979.0800000000454</v>
      </c>
      <c r="ES280" s="371">
        <f>ER280+ES121</f>
        <v>1979.0800000000454</v>
      </c>
      <c r="ET280" s="371">
        <f>EN280+ET135</f>
        <v>1979.0800000000454</v>
      </c>
      <c r="EU280" s="371">
        <f t="shared" ref="EU280:FA280" si="766">ET280+EU135</f>
        <v>1979.0800000000454</v>
      </c>
      <c r="EV280" s="371">
        <f t="shared" si="766"/>
        <v>1979.0800000000454</v>
      </c>
      <c r="EW280" s="371">
        <f t="shared" si="766"/>
        <v>1979.0800000000454</v>
      </c>
      <c r="EX280" s="371">
        <f t="shared" si="766"/>
        <v>1979.0800000000454</v>
      </c>
      <c r="EY280" s="371">
        <f t="shared" si="766"/>
        <v>1979.0800000000454</v>
      </c>
      <c r="EZ280" s="371">
        <f t="shared" si="766"/>
        <v>1979.0800000000454</v>
      </c>
      <c r="FA280" s="371">
        <f t="shared" si="766"/>
        <v>1979.0800000000454</v>
      </c>
      <c r="FB280" s="371">
        <f>ET280+FB135</f>
        <v>1979.0800000000454</v>
      </c>
      <c r="FC280" s="371">
        <f>EB280+FC135</f>
        <v>1979.0800000000454</v>
      </c>
      <c r="FD280" s="371">
        <f>FC280+FD135</f>
        <v>1979.0800000000454</v>
      </c>
      <c r="FE280" s="371">
        <f>FD280+FE135</f>
        <v>1979.0800000000454</v>
      </c>
      <c r="FF280" s="371">
        <f>FE280+FF135</f>
        <v>1972.8800000000454</v>
      </c>
      <c r="FG280" s="371">
        <f>FC280+FG135</f>
        <v>1972.8800000000454</v>
      </c>
      <c r="FH280" s="371">
        <f>FG280+FH135</f>
        <v>1972.8800000000454</v>
      </c>
      <c r="FI280" s="371">
        <f>FH280+FI135</f>
        <v>1972.8800000000454</v>
      </c>
      <c r="FJ280" s="371">
        <f>FI280+FJ135</f>
        <v>1972.8800000000454</v>
      </c>
      <c r="FK280" s="371">
        <f>FJ280+FK135</f>
        <v>1972.8800000000454</v>
      </c>
      <c r="FL280" s="371">
        <f>FK280+FL135</f>
        <v>1972.8800000000454</v>
      </c>
      <c r="FM280" s="371">
        <f>FG280+FM135</f>
        <v>1972.8800000000454</v>
      </c>
      <c r="FN280" s="371">
        <f>FM280+FN135</f>
        <v>1972.8800000000454</v>
      </c>
      <c r="FO280" s="371">
        <f>FN280+FO135</f>
        <v>1972.8800000000454</v>
      </c>
      <c r="FP280" s="371">
        <f>FO280+FP135</f>
        <v>1972.8800000000454</v>
      </c>
      <c r="FQ280" s="371">
        <f>FP280+FQ135</f>
        <v>1972.8800000000454</v>
      </c>
      <c r="FR280" s="371">
        <f>FM280+FR135</f>
        <v>1972.8800000000454</v>
      </c>
      <c r="FS280" s="371">
        <f>FR280+FS135</f>
        <v>1972.8800000000454</v>
      </c>
      <c r="FT280" s="371">
        <f>FS280+FT135</f>
        <v>1972.8800000000454</v>
      </c>
      <c r="FU280" s="371">
        <f>FT280+FU135</f>
        <v>1972.8800000000454</v>
      </c>
      <c r="FV280" s="371">
        <f>FU280+FV135</f>
        <v>1972.8800000000454</v>
      </c>
      <c r="FW280" s="371">
        <f>FV280+FW135</f>
        <v>1972.8800000000454</v>
      </c>
      <c r="FX280" s="371">
        <f>FR280+FX135</f>
        <v>1972.8800000000454</v>
      </c>
      <c r="FY280" s="371">
        <f>FX280+FY135</f>
        <v>1972.8800000000454</v>
      </c>
      <c r="FZ280" s="371">
        <f>FY280+FZ135</f>
        <v>1972.8800000000454</v>
      </c>
      <c r="GA280" s="371">
        <f>FZ280+GA135</f>
        <v>1972.8800000000454</v>
      </c>
      <c r="GB280" s="371">
        <f>GA280+GB135</f>
        <v>62690.880000000048</v>
      </c>
      <c r="GC280" s="371">
        <f>GB280+GC135</f>
        <v>62690.880000000048</v>
      </c>
      <c r="GD280" s="371">
        <f>FX280+GD135</f>
        <v>62690.880000000048</v>
      </c>
      <c r="GE280" s="371">
        <f>FC280+GE135</f>
        <v>62690.880000000048</v>
      </c>
      <c r="GF280" s="371">
        <f>GE280+GF135</f>
        <v>690.88000000004831</v>
      </c>
      <c r="GG280" s="371">
        <f>GF280+GG135</f>
        <v>690.88000000004831</v>
      </c>
      <c r="GH280" s="371">
        <f>GG280+GH135</f>
        <v>690.88000000004831</v>
      </c>
      <c r="GI280" s="371">
        <f>GH280+GI135</f>
        <v>690.88000000004831</v>
      </c>
      <c r="GJ280" s="371">
        <f>GI280+GJ135</f>
        <v>690.88000000004831</v>
      </c>
      <c r="GK280" s="371">
        <f>GE280+GK135</f>
        <v>690.88000000004831</v>
      </c>
      <c r="GL280" s="371">
        <f>GK280+GL135</f>
        <v>690.88000000004831</v>
      </c>
      <c r="GM280" s="371">
        <f>GL280+GM135</f>
        <v>690.88000000004831</v>
      </c>
      <c r="GN280" s="371">
        <f>GM280+GN135</f>
        <v>690.88000000004831</v>
      </c>
      <c r="GO280" s="371">
        <f>GN280+GO135</f>
        <v>690.88000000004831</v>
      </c>
      <c r="GP280" s="371">
        <f>GK280+GP135</f>
        <v>690.88000000004831</v>
      </c>
      <c r="GQ280" s="371">
        <f>GP280+GQ135</f>
        <v>690.88000000004831</v>
      </c>
      <c r="GR280" s="371">
        <f>GQ280+GR135</f>
        <v>690.88000000004831</v>
      </c>
      <c r="GS280" s="371">
        <f>GR280+GS135</f>
        <v>690.88000000004831</v>
      </c>
      <c r="GT280" s="371">
        <f>GS280+GT135</f>
        <v>690.88000000004831</v>
      </c>
      <c r="GU280" s="371">
        <f>GT280+GU135</f>
        <v>690.88000000004831</v>
      </c>
      <c r="GV280" s="371">
        <f>GP280+GV135</f>
        <v>690.88000000004831</v>
      </c>
      <c r="GW280" s="371">
        <f t="shared" ref="GW280:HB280" si="767">GV280+GW135</f>
        <v>690.88000000004831</v>
      </c>
      <c r="GX280" s="371">
        <f t="shared" si="767"/>
        <v>690.88000000004831</v>
      </c>
      <c r="GY280" s="371">
        <f t="shared" si="767"/>
        <v>690.88000000004831</v>
      </c>
      <c r="GZ280" s="371">
        <f t="shared" si="767"/>
        <v>690.88000000004831</v>
      </c>
      <c r="HA280" s="371">
        <f t="shared" si="767"/>
        <v>690.88000000004831</v>
      </c>
      <c r="HB280" s="371">
        <f t="shared" si="767"/>
        <v>34325.380000000048</v>
      </c>
      <c r="HC280" s="371">
        <f>GV280+HC135</f>
        <v>34325.380000000048</v>
      </c>
      <c r="HD280" s="371">
        <f>GE280+HD135</f>
        <v>34325.380000000048</v>
      </c>
      <c r="HE280" s="371">
        <f>HD280+HE135</f>
        <v>34325.380000000048</v>
      </c>
      <c r="HF280" s="371">
        <f>HE280+HF135</f>
        <v>34325.380000000048</v>
      </c>
      <c r="HG280" s="371">
        <f>HF280+HG135</f>
        <v>34325.380000000048</v>
      </c>
      <c r="HH280" s="371">
        <f>HG280+HH135</f>
        <v>34325.380000000048</v>
      </c>
      <c r="HI280" s="371">
        <f>HD280+HI135</f>
        <v>34325.380000000048</v>
      </c>
      <c r="HJ280" s="371">
        <f>HI280+HJ135</f>
        <v>34325.380000000048</v>
      </c>
      <c r="HK280" s="371">
        <f>HJ280+HK135</f>
        <v>34325.380000000048</v>
      </c>
      <c r="HL280" s="371">
        <f>HK280+HL135</f>
        <v>34325.380000000048</v>
      </c>
      <c r="HM280" s="371">
        <f>HL280+HM135</f>
        <v>295.38000000004831</v>
      </c>
      <c r="HN280" s="371">
        <f>HM280+HN135</f>
        <v>295.38000000004831</v>
      </c>
      <c r="HO280" s="371">
        <f>HI280+HO135</f>
        <v>295.38000000004831</v>
      </c>
      <c r="HP280" s="371">
        <f>HO280+HP135</f>
        <v>295.38000000004831</v>
      </c>
      <c r="HQ280" s="371">
        <f>HP280+HQ135</f>
        <v>295.38000000004831</v>
      </c>
      <c r="HR280" s="371">
        <f>HQ280+HR135</f>
        <v>295.38000000004831</v>
      </c>
      <c r="HS280" s="371">
        <f>HR280+HS135</f>
        <v>32217.540000000048</v>
      </c>
      <c r="HT280" s="371">
        <f>HS280+HT135</f>
        <v>32217.540000000048</v>
      </c>
      <c r="HU280" s="371">
        <f>HO280+HU135</f>
        <v>32217.540000000048</v>
      </c>
      <c r="HV280" s="371">
        <f>HU280+HV135</f>
        <v>32217.540000000048</v>
      </c>
      <c r="HW280" s="371">
        <f>HV280+HW135</f>
        <v>32217.540000000048</v>
      </c>
      <c r="HX280" s="371">
        <f>HW280+HX135</f>
        <v>32217.540000000048</v>
      </c>
      <c r="HY280" s="371">
        <f>HU280+HY135</f>
        <v>32217.540000000048</v>
      </c>
      <c r="HZ280" s="371">
        <f>HY280+HZ135</f>
        <v>32217.540000000048</v>
      </c>
      <c r="IA280" s="371">
        <f>HZ280+IA135</f>
        <v>32217.540000000048</v>
      </c>
      <c r="IB280" s="371">
        <f>IA280+IB135</f>
        <v>32217.540000000048</v>
      </c>
      <c r="IC280" s="371">
        <f>HY280+IC135</f>
        <v>32217.540000000048</v>
      </c>
      <c r="ID280" s="371">
        <f>HD280+ID135</f>
        <v>32217.540000000048</v>
      </c>
      <c r="IE280" s="371">
        <f>ID280+IE135</f>
        <v>32217.540000000048</v>
      </c>
      <c r="IF280" s="371" t="e">
        <f>#REF!+IF135</f>
        <v>#REF!</v>
      </c>
      <c r="IG280" s="371">
        <f>ID280+IG135</f>
        <v>32211.420000000049</v>
      </c>
      <c r="IH280" s="371">
        <f>IG280+IH135</f>
        <v>32211.420000000049</v>
      </c>
      <c r="II280" s="371">
        <f>IH280+II135</f>
        <v>32211.420000000049</v>
      </c>
      <c r="IJ280" s="371">
        <f>II280+IJ135</f>
        <v>32211.420000000049</v>
      </c>
      <c r="IK280" s="371">
        <f>IJ280+IK135</f>
        <v>32211.420000000049</v>
      </c>
      <c r="IL280" s="371">
        <f>IK280+IL135</f>
        <v>32211.420000000049</v>
      </c>
      <c r="IM280" s="371">
        <f>IG280+IM135</f>
        <v>32211.420000000049</v>
      </c>
      <c r="IN280" s="371">
        <f>IM280+IN135</f>
        <v>32211.420000000049</v>
      </c>
      <c r="IO280" s="371">
        <f>IN280+IO135</f>
        <v>32211.420000000049</v>
      </c>
      <c r="IP280" s="371" t="e">
        <f>#REF!+IP135</f>
        <v>#REF!</v>
      </c>
      <c r="IQ280" s="371">
        <f>IM280+IQ135</f>
        <v>32211.420000000049</v>
      </c>
      <c r="IR280" s="371">
        <f>IQ280+IR135</f>
        <v>32211.420000000049</v>
      </c>
      <c r="IS280" s="371">
        <f>IR280+IS135</f>
        <v>32211.420000000049</v>
      </c>
      <c r="IT280" s="371">
        <f>IS280+IT135</f>
        <v>32211.420000000049</v>
      </c>
      <c r="IU280" s="371">
        <f>IT280+IU135</f>
        <v>32211.420000000049</v>
      </c>
      <c r="IV280" s="371">
        <f>IU280+IV135</f>
        <v>32211.420000000049</v>
      </c>
      <c r="IW280" s="371">
        <f>IQ280+IW135</f>
        <v>32211.420000000049</v>
      </c>
      <c r="IX280" s="371">
        <f>IW280+IX135</f>
        <v>32211.420000000049</v>
      </c>
      <c r="IY280" s="371">
        <f>IX280+IY135</f>
        <v>32211.420000000049</v>
      </c>
      <c r="IZ280" s="371">
        <f>IY280+IZ135</f>
        <v>32211.420000000049</v>
      </c>
      <c r="JA280" s="371">
        <f>IZ280+JA135</f>
        <v>213880.64000000004</v>
      </c>
      <c r="JB280" s="371">
        <f>JA280+JB135</f>
        <v>213880.64000000004</v>
      </c>
      <c r="JC280" s="371">
        <f>IW280+JC135</f>
        <v>213880.64000000004</v>
      </c>
      <c r="JD280" s="371">
        <f>ID280+JD135</f>
        <v>213880.64000000004</v>
      </c>
      <c r="JE280" s="371">
        <f>JD280+JE135</f>
        <v>213880.64000000004</v>
      </c>
      <c r="JF280" s="371">
        <f>JE280+JF135</f>
        <v>213880.64000000004</v>
      </c>
      <c r="JG280" s="371">
        <f>JF280+JG135</f>
        <v>213880.64000000004</v>
      </c>
      <c r="JH280" s="371">
        <f>JG280+JH135</f>
        <v>213880.64000000004</v>
      </c>
      <c r="JI280" s="371">
        <f>JH280+JI135</f>
        <v>28583.490000000049</v>
      </c>
      <c r="JJ280" s="371">
        <f>JD280+JJ135</f>
        <v>28583.490000000049</v>
      </c>
      <c r="JK280" s="371">
        <f>JJ280+JK135</f>
        <v>28583.490000000049</v>
      </c>
      <c r="JL280" s="371">
        <f>JK280+JL135</f>
        <v>28583.490000000049</v>
      </c>
      <c r="JM280" s="371">
        <f>JL280+JM135</f>
        <v>28583.490000000049</v>
      </c>
      <c r="JN280" s="371">
        <f>JM280+JN135</f>
        <v>28583.490000000049</v>
      </c>
      <c r="JO280" s="371">
        <f>JN280+JO135</f>
        <v>28583.490000000049</v>
      </c>
      <c r="JP280" s="371">
        <f>JJ280+JP135</f>
        <v>28583.490000000049</v>
      </c>
      <c r="JQ280" s="371">
        <f>JP280+JQ135</f>
        <v>28583.490000000049</v>
      </c>
      <c r="JR280" s="371">
        <f>JQ280+JR135</f>
        <v>28583.490000000049</v>
      </c>
      <c r="JS280" s="371">
        <f>JR280+JS135</f>
        <v>28583.490000000049</v>
      </c>
      <c r="JT280" s="371">
        <f>JS280+JT135</f>
        <v>28583.490000000049</v>
      </c>
      <c r="JU280" s="371">
        <f>JT280+JU135</f>
        <v>28583.490000000049</v>
      </c>
      <c r="JV280" s="371">
        <f>JP280+JV135</f>
        <v>28583.490000000049</v>
      </c>
      <c r="JW280" s="371">
        <f>JV280+JW135</f>
        <v>28583.490000000049</v>
      </c>
      <c r="JX280" s="371">
        <f>JW280+JX135</f>
        <v>28583.490000000049</v>
      </c>
      <c r="JY280" s="371">
        <f>JX280+JY135</f>
        <v>28583.490000000049</v>
      </c>
      <c r="JZ280" s="371">
        <f>JY280+JZ135</f>
        <v>28583.490000000049</v>
      </c>
      <c r="KA280" s="371"/>
      <c r="KB280" s="371">
        <f>JZ280+KB135</f>
        <v>28583.490000000049</v>
      </c>
      <c r="KC280" s="371">
        <f>JV280+KC135</f>
        <v>28583.490000000049</v>
      </c>
      <c r="KD280" s="371">
        <f>JD280+KD135</f>
        <v>204984.92000000004</v>
      </c>
      <c r="KE280" s="371">
        <f>KD280+KE135</f>
        <v>204984.92000000004</v>
      </c>
      <c r="KF280" s="371">
        <f>KE280+KF135</f>
        <v>204984.92000000004</v>
      </c>
      <c r="KG280" s="371">
        <f>KF280+KG135</f>
        <v>204984.92000000004</v>
      </c>
      <c r="KH280" s="371">
        <f>KG280+KH135</f>
        <v>204984.92000000004</v>
      </c>
      <c r="KI280" s="371">
        <f>KH280+KI135</f>
        <v>204984.92000000004</v>
      </c>
      <c r="KJ280" s="371">
        <f>KD280+KJ135</f>
        <v>204984.92000000004</v>
      </c>
      <c r="KK280" s="371">
        <f>KJ280+KK135</f>
        <v>204984.92000000004</v>
      </c>
      <c r="KL280" s="371">
        <f>KK280+KL135</f>
        <v>204984.92000000004</v>
      </c>
      <c r="KM280" s="371">
        <f>KL280+KM135</f>
        <v>204984.92000000004</v>
      </c>
      <c r="KN280" s="371">
        <f>KM280+KN135</f>
        <v>204984.92000000004</v>
      </c>
      <c r="KO280" s="371">
        <f>KN280+KO135</f>
        <v>204984.92000000004</v>
      </c>
      <c r="KP280" s="371">
        <f>KJ280+KP135</f>
        <v>204984.92000000004</v>
      </c>
      <c r="KQ280" s="371">
        <f>KP280+KQ135</f>
        <v>204984.92000000004</v>
      </c>
      <c r="KR280" s="371">
        <f>KQ280+KR135</f>
        <v>204984.92000000004</v>
      </c>
      <c r="KS280" s="371">
        <f>KR280+KS135</f>
        <v>204984.92000000004</v>
      </c>
      <c r="KT280" s="371">
        <f>KS280+KT135</f>
        <v>204984.92000000004</v>
      </c>
      <c r="KU280" s="371">
        <f>KT280+KU135</f>
        <v>204984.92000000004</v>
      </c>
      <c r="KV280" s="371">
        <f>KP280+KV135</f>
        <v>204984.92000000004</v>
      </c>
      <c r="KW280" s="371">
        <f>KV280+KW135</f>
        <v>204984.92000000004</v>
      </c>
      <c r="KX280" s="371">
        <f>KW280+KX135</f>
        <v>204984.92000000004</v>
      </c>
      <c r="KY280" s="371">
        <f>KX280+KY135</f>
        <v>204984.92000000004</v>
      </c>
      <c r="KZ280" s="371">
        <f>KY280+KZ135</f>
        <v>204984.92000000004</v>
      </c>
      <c r="LA280" s="371">
        <f>KZ280+LA135</f>
        <v>204984.92000000004</v>
      </c>
      <c r="LB280" s="371">
        <f>KV280+LB135</f>
        <v>204984.92000000004</v>
      </c>
      <c r="LC280" s="371">
        <f>LB280+LC135</f>
        <v>204984.92000000004</v>
      </c>
      <c r="LD280" s="371">
        <f>LC280+LD135</f>
        <v>204984.92000000004</v>
      </c>
      <c r="LE280" s="371">
        <f>LD280+LE135</f>
        <v>204984.92000000004</v>
      </c>
      <c r="LF280" s="371">
        <f>LB280+LF135</f>
        <v>204984.92000000004</v>
      </c>
      <c r="LG280" s="371">
        <f>KD280+LG135</f>
        <v>259241.00000000006</v>
      </c>
    </row>
    <row r="281" spans="1:319" s="370" customFormat="1">
      <c r="HD281" s="368"/>
      <c r="HE281" s="368"/>
      <c r="HF281" s="368"/>
      <c r="HG281" s="368"/>
      <c r="HH281" s="368"/>
      <c r="HI281" s="368"/>
      <c r="HJ281" s="368"/>
      <c r="HK281" s="368"/>
      <c r="HL281" s="368"/>
      <c r="HM281" s="368"/>
      <c r="HN281" s="368"/>
      <c r="HO281" s="368"/>
      <c r="HP281" s="368"/>
      <c r="HQ281" s="368"/>
      <c r="HR281" s="368"/>
      <c r="HS281" s="368"/>
      <c r="HT281" s="368"/>
      <c r="HU281" s="368"/>
      <c r="HV281" s="368"/>
      <c r="HW281" s="368"/>
      <c r="HX281" s="368"/>
      <c r="HY281" s="368"/>
      <c r="HZ281" s="368"/>
      <c r="IA281" s="368"/>
      <c r="IB281" s="368"/>
      <c r="IC281" s="368"/>
      <c r="ID281" s="368"/>
      <c r="IE281" s="368"/>
      <c r="IF281" s="368"/>
      <c r="IG281" s="368"/>
      <c r="IH281" s="368"/>
      <c r="II281" s="368"/>
      <c r="IJ281" s="368"/>
      <c r="IK281" s="368"/>
      <c r="IL281" s="368"/>
      <c r="IM281" s="368"/>
      <c r="IN281" s="368"/>
      <c r="IO281" s="368"/>
      <c r="IP281" s="368"/>
      <c r="IQ281" s="368"/>
      <c r="IR281" s="368"/>
      <c r="IS281" s="368"/>
      <c r="IT281" s="368"/>
      <c r="IU281" s="368"/>
      <c r="IV281" s="368"/>
      <c r="IW281" s="368"/>
      <c r="IX281" s="368"/>
      <c r="IY281" s="368"/>
      <c r="IZ281" s="368"/>
      <c r="JA281" s="368"/>
      <c r="JB281" s="368"/>
      <c r="JC281" s="368"/>
      <c r="JD281" s="368"/>
      <c r="JE281" s="368"/>
      <c r="JF281" s="368"/>
      <c r="JG281" s="368"/>
      <c r="JH281" s="368"/>
      <c r="JI281" s="368"/>
      <c r="JJ281" s="368"/>
      <c r="JK281" s="368"/>
      <c r="JL281" s="368"/>
      <c r="JM281" s="368"/>
      <c r="JN281" s="368"/>
      <c r="JO281" s="368"/>
      <c r="JP281" s="368"/>
      <c r="JQ281" s="368"/>
      <c r="JR281" s="368"/>
      <c r="JS281" s="368"/>
      <c r="JT281" s="368"/>
      <c r="JU281" s="368"/>
      <c r="JV281" s="368"/>
      <c r="JW281" s="368"/>
      <c r="JX281" s="368"/>
      <c r="JY281" s="368"/>
      <c r="JZ281" s="368"/>
      <c r="KA281" s="368"/>
      <c r="KB281" s="368"/>
      <c r="KC281" s="368"/>
      <c r="KD281" s="368"/>
      <c r="KE281" s="368"/>
      <c r="KF281" s="368"/>
      <c r="KG281" s="368"/>
      <c r="KH281" s="368"/>
      <c r="KI281" s="368"/>
      <c r="KJ281" s="368"/>
      <c r="KK281" s="368"/>
      <c r="KL281" s="368"/>
      <c r="KM281" s="368"/>
      <c r="KN281" s="368"/>
      <c r="KO281" s="368"/>
      <c r="KP281" s="368"/>
      <c r="KQ281" s="368"/>
      <c r="KR281" s="368"/>
      <c r="KS281" s="368"/>
      <c r="KT281" s="368"/>
      <c r="KU281" s="368"/>
      <c r="KV281" s="368"/>
      <c r="KW281" s="368"/>
      <c r="KX281" s="368"/>
      <c r="KY281" s="368"/>
      <c r="KZ281" s="368"/>
      <c r="LA281" s="368"/>
      <c r="LB281" s="368"/>
      <c r="LC281" s="368"/>
      <c r="LD281" s="368"/>
      <c r="LE281" s="368"/>
      <c r="LF281" s="368"/>
      <c r="LG281" s="368"/>
    </row>
    <row r="282" spans="1:319" s="370" customFormat="1">
      <c r="A282" s="371" t="s">
        <v>13</v>
      </c>
      <c r="B282" s="371">
        <v>3543.95</v>
      </c>
      <c r="C282" s="371">
        <f>B282+C221</f>
        <v>3543.95</v>
      </c>
      <c r="D282" s="371">
        <f>B282+D221</f>
        <v>3543.95</v>
      </c>
      <c r="E282" s="371">
        <f>D282+E221</f>
        <v>3543.95</v>
      </c>
      <c r="F282" s="371">
        <f>E282+F221</f>
        <v>3543.95</v>
      </c>
      <c r="G282" s="371">
        <f>F282+G221</f>
        <v>3543.95</v>
      </c>
      <c r="H282" s="371">
        <f>G282+H221</f>
        <v>3543.95</v>
      </c>
      <c r="I282" s="371">
        <f>H282+I221</f>
        <v>3543.95</v>
      </c>
      <c r="J282" s="371">
        <f>D282+J221</f>
        <v>3543.95</v>
      </c>
      <c r="K282" s="371">
        <f>J282+K221</f>
        <v>3543.95</v>
      </c>
      <c r="L282" s="371">
        <f>K282+L221</f>
        <v>3543.95</v>
      </c>
      <c r="M282" s="371">
        <f>K282+M221</f>
        <v>3537.6099999999997</v>
      </c>
      <c r="N282" s="371">
        <f>M282+N221</f>
        <v>3537.6099999999997</v>
      </c>
      <c r="O282" s="371">
        <f>J282+O221</f>
        <v>3537.6099999999997</v>
      </c>
      <c r="P282" s="371">
        <f>O282+P221</f>
        <v>3537.6099999999997</v>
      </c>
      <c r="Q282" s="371">
        <f>P282+Q221</f>
        <v>3537.6099999999997</v>
      </c>
      <c r="R282" s="371">
        <f>Q282+R221</f>
        <v>3537.6099999999997</v>
      </c>
      <c r="S282" s="371">
        <f>R282+S221</f>
        <v>3537.6099999999997</v>
      </c>
      <c r="T282" s="371">
        <f>S282+T221</f>
        <v>3537.6099999999997</v>
      </c>
      <c r="U282" s="371">
        <f>O282+U221</f>
        <v>3537.6099999999997</v>
      </c>
      <c r="V282" s="371">
        <f>U282+V221</f>
        <v>3537.6099999999997</v>
      </c>
      <c r="W282" s="371">
        <f>V282+W221</f>
        <v>3537.6099999999997</v>
      </c>
      <c r="X282" s="371">
        <f>W282+X221</f>
        <v>3204.8499999999995</v>
      </c>
      <c r="Y282" s="371">
        <f>X282+Y221</f>
        <v>3204.8499999999995</v>
      </c>
      <c r="Z282" s="371">
        <f>Y282+Z221</f>
        <v>3204.8499999999995</v>
      </c>
      <c r="AA282" s="371">
        <f>U282+AA221</f>
        <v>3204.8499999999995</v>
      </c>
      <c r="AB282" s="371">
        <f>B282+AB221</f>
        <v>3204.85</v>
      </c>
      <c r="AC282" s="371">
        <f>AB282+AC221</f>
        <v>3204.85</v>
      </c>
      <c r="AD282" s="371">
        <f>AC282+AD221</f>
        <v>3204.85</v>
      </c>
      <c r="AE282" s="371">
        <f>AD282+AE221</f>
        <v>3204.85</v>
      </c>
      <c r="AF282" s="371">
        <f>AE282+AF221</f>
        <v>3204.85</v>
      </c>
      <c r="AG282" s="371">
        <f>AF282+AG221</f>
        <v>3204.85</v>
      </c>
      <c r="AH282" s="371">
        <f>AB282+AH221</f>
        <v>3204.85</v>
      </c>
      <c r="AI282" s="371">
        <f>AH282+AI221</f>
        <v>3189.85</v>
      </c>
      <c r="AJ282" s="371">
        <f>AI282+AJ221</f>
        <v>3189.85</v>
      </c>
      <c r="AK282" s="371">
        <f>AJ282+AK221</f>
        <v>3189.85</v>
      </c>
      <c r="AL282" s="371">
        <f>AK282+AL221</f>
        <v>3189.85</v>
      </c>
      <c r="AM282" s="371">
        <f>AL282+AM221</f>
        <v>1289.55</v>
      </c>
      <c r="AN282" s="371">
        <f>AH282+AN221</f>
        <v>1289.55</v>
      </c>
      <c r="AO282" s="371">
        <f>AN282+AO221</f>
        <v>1289.55</v>
      </c>
      <c r="AP282" s="371">
        <f>AO282+AP221</f>
        <v>1289.55</v>
      </c>
      <c r="AQ282" s="371">
        <f>AP282+AQ221</f>
        <v>1289.55</v>
      </c>
      <c r="AR282" s="371">
        <f>AQ282+AR221</f>
        <v>1289.55</v>
      </c>
      <c r="AS282" s="371">
        <f>AR282+AS221</f>
        <v>1289.55</v>
      </c>
      <c r="AT282" s="371">
        <f>AN282+AT221</f>
        <v>1289.55</v>
      </c>
      <c r="AU282" s="371">
        <f>AT282+AU221</f>
        <v>1259.55</v>
      </c>
      <c r="AV282" s="371">
        <f>AU282+AV221</f>
        <v>1259.55</v>
      </c>
      <c r="AW282" s="371">
        <f>AV282+AW221</f>
        <v>1259.55</v>
      </c>
      <c r="AX282" s="371">
        <f>AW282+AX221</f>
        <v>1259.55</v>
      </c>
      <c r="AY282" s="371">
        <f>AX282+AY221</f>
        <v>1259.55</v>
      </c>
      <c r="AZ282" s="371">
        <f>AT282+AZ221</f>
        <v>1259.55</v>
      </c>
      <c r="BA282" s="371">
        <f>AB282+BA221</f>
        <v>1259.55</v>
      </c>
      <c r="BB282" s="371">
        <f>BA282+BB221</f>
        <v>1259.55</v>
      </c>
      <c r="BC282" s="371">
        <f>BB282+BC221</f>
        <v>1259.55</v>
      </c>
      <c r="BD282" s="371">
        <f>BC282+BD221</f>
        <v>1259.55</v>
      </c>
      <c r="BE282" s="371">
        <f>BD282+BE221</f>
        <v>1259.55</v>
      </c>
      <c r="BF282" s="371">
        <f>BE282+BF221</f>
        <v>259.54999999999995</v>
      </c>
      <c r="BG282" s="371">
        <f>BA282+BG221</f>
        <v>259.54999999999995</v>
      </c>
      <c r="BH282" s="371">
        <f>BG282+BH221</f>
        <v>259.54999999999995</v>
      </c>
      <c r="BI282" s="371">
        <f>BH282+BI221</f>
        <v>259.54999999999995</v>
      </c>
      <c r="BJ282" s="371">
        <f>BI282+BJ221</f>
        <v>259.54999999999995</v>
      </c>
      <c r="BK282" s="371">
        <f>BJ282+BK221</f>
        <v>259.54999999999995</v>
      </c>
      <c r="BL282" s="371">
        <f>BK282+BL221</f>
        <v>259.54999999999995</v>
      </c>
      <c r="BM282" s="371">
        <f>BG282+BM221</f>
        <v>259.54999999999995</v>
      </c>
      <c r="BN282" s="371">
        <f>BM282+BN221</f>
        <v>259.54999999999995</v>
      </c>
      <c r="BO282" s="371">
        <f>BN282+BO221</f>
        <v>259.54999999999995</v>
      </c>
      <c r="BP282" s="371">
        <f>BO282+BP221</f>
        <v>259.54999999999995</v>
      </c>
      <c r="BQ282" s="371">
        <f>BP282+BQ221</f>
        <v>259.54999999999995</v>
      </c>
      <c r="BR282" s="371">
        <f>BM282+BR221</f>
        <v>259.54999999999995</v>
      </c>
      <c r="BS282" s="371">
        <f>BR282+BS221</f>
        <v>259.54999999999995</v>
      </c>
      <c r="BT282" s="371">
        <f>BS282+BT221</f>
        <v>259.54999999999995</v>
      </c>
      <c r="BU282" s="371">
        <f>BT282+BU221</f>
        <v>259.54999999999995</v>
      </c>
      <c r="BV282" s="371">
        <f>BU282+BV221</f>
        <v>259.54999999999995</v>
      </c>
      <c r="BW282" s="371">
        <f>BV282+BW221</f>
        <v>259.54999999999995</v>
      </c>
      <c r="BX282" s="371">
        <f>BR282+BX221</f>
        <v>259.54999999999995</v>
      </c>
      <c r="BY282" s="371">
        <f>BX282+BY221</f>
        <v>259.54999999999995</v>
      </c>
      <c r="BZ282" s="371">
        <f>BY282+BZ221</f>
        <v>259.54999999999995</v>
      </c>
      <c r="CA282" s="371">
        <f>BX282+CA221</f>
        <v>259.54999999999995</v>
      </c>
      <c r="CB282" s="371">
        <f>BA282+CB221</f>
        <v>259.54999999999995</v>
      </c>
      <c r="CC282" s="371">
        <f>CB282+CC221</f>
        <v>259.54999999999995</v>
      </c>
      <c r="CD282" s="371">
        <f>CC282+CD221</f>
        <v>253.36999999999995</v>
      </c>
      <c r="CE282" s="371">
        <f>CD282+CE221</f>
        <v>253.36999999999995</v>
      </c>
      <c r="CF282" s="371">
        <f>CB282+CF221</f>
        <v>253.36999999999995</v>
      </c>
      <c r="CG282" s="371">
        <f>CF282+CG221</f>
        <v>253.36999999999995</v>
      </c>
      <c r="CH282" s="371">
        <f>CG282+CH221</f>
        <v>253.36999999999995</v>
      </c>
      <c r="CI282" s="371">
        <f>CH282+CI221</f>
        <v>253.36999999999995</v>
      </c>
      <c r="CJ282" s="371">
        <f>CI282+CJ221</f>
        <v>253.36999999999995</v>
      </c>
      <c r="CK282" s="371">
        <f>CF282+CK221</f>
        <v>253.36999999999995</v>
      </c>
      <c r="CL282" s="371">
        <f>CK282+CL221</f>
        <v>253.36999999999995</v>
      </c>
      <c r="CM282" s="371">
        <f>CL282+CM221</f>
        <v>253.36999999999995</v>
      </c>
      <c r="CN282" s="371">
        <f>CM282+CN221</f>
        <v>253.36999999999995</v>
      </c>
      <c r="CO282" s="371">
        <f>CN282+CO221</f>
        <v>253.36999999999995</v>
      </c>
      <c r="CP282" s="371">
        <f>CO282+CP221</f>
        <v>253.36999999999995</v>
      </c>
      <c r="CQ282" s="371">
        <f>CK282+CQ221</f>
        <v>253.36999999999995</v>
      </c>
      <c r="CR282" s="371">
        <f>CQ282+CR221</f>
        <v>253.36999999999995</v>
      </c>
      <c r="CS282" s="371">
        <f>CR282+CS221</f>
        <v>253.36999999999995</v>
      </c>
      <c r="CT282" s="371">
        <f>CS282+CT221</f>
        <v>253.36999999999995</v>
      </c>
      <c r="CU282" s="371">
        <f>CT282+CU221</f>
        <v>253.36999999999995</v>
      </c>
      <c r="CV282" s="371">
        <f>CU282+CV221</f>
        <v>253.36999999999995</v>
      </c>
      <c r="CW282" s="371">
        <f>CQ282+CW221</f>
        <v>253.36999999999995</v>
      </c>
      <c r="CX282" s="371">
        <f>CW282+CX221</f>
        <v>253.36999999999995</v>
      </c>
      <c r="CY282" s="371">
        <f>CX282+CY221</f>
        <v>253.36999999999995</v>
      </c>
      <c r="CZ282" s="371">
        <f>CY282+CZ221</f>
        <v>253.36999999999995</v>
      </c>
      <c r="DA282" s="371">
        <f>CZ282+DA221</f>
        <v>253.36999999999995</v>
      </c>
      <c r="DB282" s="371">
        <f>CW282+DB221</f>
        <v>253.36999999999995</v>
      </c>
      <c r="DC282" s="371">
        <f>CB282+DC221</f>
        <v>253.36999999999995</v>
      </c>
      <c r="DD282" s="371">
        <f>DC282+DD221</f>
        <v>253.36999999999995</v>
      </c>
      <c r="DE282" s="371">
        <f>DD282+DE221</f>
        <v>253.36999999999995</v>
      </c>
      <c r="DF282" s="371">
        <f>DE282+DF221</f>
        <v>253.36999999999995</v>
      </c>
      <c r="DG282" s="371">
        <f>DF282+DG221</f>
        <v>253.36999999999995</v>
      </c>
      <c r="DH282" s="371">
        <f>DG282+DH221</f>
        <v>253.36999999999995</v>
      </c>
      <c r="DI282" s="371">
        <f>DC282+DI221</f>
        <v>253.36999999999995</v>
      </c>
      <c r="DJ282" s="371">
        <f>DI282+DJ221</f>
        <v>253.36999999999995</v>
      </c>
      <c r="DK282" s="371">
        <f>DJ282+DK221</f>
        <v>253.36999999999995</v>
      </c>
      <c r="DL282" s="371">
        <f>DK282+DL221</f>
        <v>46702.37</v>
      </c>
      <c r="DM282" s="371">
        <f>DL282+DM221</f>
        <v>41514.620000000003</v>
      </c>
      <c r="DN282" s="371">
        <f>DM282+DN221</f>
        <v>41514.620000000003</v>
      </c>
      <c r="DO282" s="371">
        <f>DI282+DO221</f>
        <v>41514.620000000003</v>
      </c>
      <c r="DP282" s="371">
        <f>DO282+DP221</f>
        <v>41514.620000000003</v>
      </c>
      <c r="DQ282" s="371">
        <f>DP282+DQ221</f>
        <v>41514.620000000003</v>
      </c>
      <c r="DR282" s="371">
        <f>DQ282+DR221</f>
        <v>6514.6200000000026</v>
      </c>
      <c r="DS282" s="371">
        <f>DR282+DS221</f>
        <v>6484.6200000000026</v>
      </c>
      <c r="DT282" s="371">
        <f>DS282+DT221</f>
        <v>6484.6200000000026</v>
      </c>
      <c r="DU282" s="371">
        <f>DO282+DU221</f>
        <v>6484.6200000000026</v>
      </c>
      <c r="DV282" s="371">
        <f>DU282+DV221</f>
        <v>6484.6200000000026</v>
      </c>
      <c r="DW282" s="371">
        <f>DV282+DW221</f>
        <v>6484.6200000000026</v>
      </c>
      <c r="DX282" s="371">
        <f>DW282+DX221</f>
        <v>6484.6200000000026</v>
      </c>
      <c r="DY282" s="371">
        <f>DX282+DY221</f>
        <v>6484.6200000000026</v>
      </c>
      <c r="DZ282" s="371">
        <f>DY282+DZ221</f>
        <v>11672.370000000003</v>
      </c>
      <c r="EA282" s="371">
        <f>DU282+EA221</f>
        <v>11672.370000000003</v>
      </c>
      <c r="EB282" s="371">
        <f>DC282+EB221</f>
        <v>11672.37</v>
      </c>
      <c r="EC282" s="371">
        <f>EB282+EC221</f>
        <v>11672.37</v>
      </c>
      <c r="ED282" s="371">
        <f>EC282+ED221</f>
        <v>11672.37</v>
      </c>
      <c r="EE282" s="371">
        <f>ED282+EE221</f>
        <v>11672.37</v>
      </c>
      <c r="EF282" s="371">
        <f>EE282+EF221</f>
        <v>11672.37</v>
      </c>
      <c r="EG282" s="371">
        <f>EF282+EG221</f>
        <v>11672.37</v>
      </c>
      <c r="EH282" s="371">
        <f>EB282+EH221</f>
        <v>11672.37</v>
      </c>
      <c r="EI282" s="371">
        <f>EH282+EI221</f>
        <v>11672.37</v>
      </c>
      <c r="EJ282" s="371">
        <f>EI282+EJ221</f>
        <v>11672.37</v>
      </c>
      <c r="EK282" s="371">
        <f>EJ282+EK221</f>
        <v>11672.37</v>
      </c>
      <c r="EL282" s="371">
        <f>EK282+EL221</f>
        <v>11672.37</v>
      </c>
      <c r="EM282" s="371">
        <f>EL282+EM221</f>
        <v>11672.37</v>
      </c>
      <c r="EN282" s="371">
        <f>EH282+EN221</f>
        <v>11672.37</v>
      </c>
      <c r="EO282" s="371">
        <f>EN282+EO221</f>
        <v>11672.37</v>
      </c>
      <c r="EP282" s="371">
        <f>EO282+EP221</f>
        <v>11672.37</v>
      </c>
      <c r="EQ282" s="371">
        <f>EP282+EQ221</f>
        <v>11672.37</v>
      </c>
      <c r="ER282" s="371">
        <f>EQ282+ER221</f>
        <v>11672.37</v>
      </c>
      <c r="ES282" s="371">
        <f>ER282+ES221</f>
        <v>11672.37</v>
      </c>
      <c r="ET282" s="371">
        <f>EN282+ET221</f>
        <v>11672.37</v>
      </c>
      <c r="EU282" s="371">
        <f t="shared" ref="EU282:FA282" si="768">ET282+EU221</f>
        <v>11672.37</v>
      </c>
      <c r="EV282" s="371">
        <f t="shared" si="768"/>
        <v>11672.37</v>
      </c>
      <c r="EW282" s="371">
        <f t="shared" si="768"/>
        <v>11672.37</v>
      </c>
      <c r="EX282" s="371">
        <f t="shared" si="768"/>
        <v>11672.37</v>
      </c>
      <c r="EY282" s="371">
        <f t="shared" si="768"/>
        <v>11672.37</v>
      </c>
      <c r="EZ282" s="371">
        <f t="shared" si="768"/>
        <v>11672.37</v>
      </c>
      <c r="FA282" s="371">
        <f t="shared" si="768"/>
        <v>11672.37</v>
      </c>
      <c r="FB282" s="371">
        <f>ET282+FB221</f>
        <v>11672.37</v>
      </c>
      <c r="FC282" s="371">
        <f>EH282+FC221</f>
        <v>11672.37</v>
      </c>
      <c r="FD282" s="371">
        <f>FC282+FD221</f>
        <v>11672.37</v>
      </c>
      <c r="FE282" s="371">
        <f>FD282+FE221</f>
        <v>11672.37</v>
      </c>
      <c r="FF282" s="371">
        <f>FE282+FF221</f>
        <v>11666.17</v>
      </c>
      <c r="FG282" s="371">
        <f>FC282+FG221</f>
        <v>11666.17</v>
      </c>
      <c r="FH282" s="371">
        <f>FG282+FH221</f>
        <v>11666.17</v>
      </c>
      <c r="FI282" s="371">
        <f>FH282+FI221</f>
        <v>11666.17</v>
      </c>
      <c r="FJ282" s="371">
        <f>FI282+FJ221</f>
        <v>11666.17</v>
      </c>
      <c r="FK282" s="371">
        <f>FJ282+FK221</f>
        <v>11666.17</v>
      </c>
      <c r="FL282" s="371">
        <f>FK282+FL221</f>
        <v>11666.17</v>
      </c>
      <c r="FM282" s="371">
        <f>FG282+FM221</f>
        <v>11666.17</v>
      </c>
      <c r="FN282" s="371">
        <f>FM282+FN221</f>
        <v>11666.17</v>
      </c>
      <c r="FO282" s="371">
        <f>FN282+FO221</f>
        <v>11666.17</v>
      </c>
      <c r="FP282" s="371">
        <f>FO282+FP221</f>
        <v>11666.17</v>
      </c>
      <c r="FQ282" s="371">
        <f>FP282+FQ221</f>
        <v>10023.370000000001</v>
      </c>
      <c r="FR282" s="371">
        <f>FM282+FR221</f>
        <v>10023.370000000001</v>
      </c>
      <c r="FS282" s="371">
        <f>FR282+FS221</f>
        <v>10023.370000000001</v>
      </c>
      <c r="FT282" s="371">
        <f>FS282+FT221</f>
        <v>10023.370000000001</v>
      </c>
      <c r="FU282" s="371">
        <f>FT282+FU221</f>
        <v>10023.370000000001</v>
      </c>
      <c r="FV282" s="371">
        <f>FU282+FV221</f>
        <v>10023.370000000001</v>
      </c>
      <c r="FW282" s="371">
        <f>FV282+FW221</f>
        <v>10023.370000000001</v>
      </c>
      <c r="FX282" s="371">
        <f>FR282+FX221</f>
        <v>10023.370000000001</v>
      </c>
      <c r="FY282" s="371">
        <f>FX282+FY221</f>
        <v>10023.370000000001</v>
      </c>
      <c r="FZ282" s="371">
        <f>FY282+FZ221</f>
        <v>9882.9500000000007</v>
      </c>
      <c r="GA282" s="371">
        <f>FZ282+GA221</f>
        <v>8962.9500000000007</v>
      </c>
      <c r="GB282" s="371">
        <f>GA282+GB221</f>
        <v>8962.9500000000007</v>
      </c>
      <c r="GC282" s="371">
        <f>GB282+GC221</f>
        <v>8962.9500000000007</v>
      </c>
      <c r="GD282" s="371">
        <f>FX282+GD221</f>
        <v>8962.9500000000007</v>
      </c>
      <c r="GE282" s="371">
        <f>FC282+GE221</f>
        <v>8962.9500000000171</v>
      </c>
      <c r="GF282" s="371">
        <f>GE282+GF221</f>
        <v>8962.9500000000171</v>
      </c>
      <c r="GG282" s="371">
        <f>GF282+GG221</f>
        <v>8962.9500000000171</v>
      </c>
      <c r="GH282" s="371">
        <f>GG282+GH221</f>
        <v>8962.9500000000171</v>
      </c>
      <c r="GI282" s="371">
        <f>GH282+GI221</f>
        <v>8962.9500000000171</v>
      </c>
      <c r="GJ282" s="371">
        <f>GI282+GJ221</f>
        <v>8962.9500000000171</v>
      </c>
      <c r="GK282" s="371">
        <f>GE282+GK221</f>
        <v>8962.9500000000171</v>
      </c>
      <c r="GL282" s="371">
        <f>GK282+GL221</f>
        <v>8962.9500000000171</v>
      </c>
      <c r="GM282" s="371">
        <f>GL282+GM221</f>
        <v>8962.9500000000171</v>
      </c>
      <c r="GN282" s="371">
        <f>GM282+GN221</f>
        <v>8962.9500000000171</v>
      </c>
      <c r="GO282" s="371">
        <f>GN282+GO221</f>
        <v>2.9500000000170985</v>
      </c>
      <c r="GP282" s="371">
        <f>GK282+GP221</f>
        <v>2.9500000000170985</v>
      </c>
      <c r="GQ282" s="371">
        <f>GP282+GQ221</f>
        <v>2.9500000000170985</v>
      </c>
      <c r="GR282" s="371">
        <f>GQ282+GR221</f>
        <v>2.9500000000170985</v>
      </c>
      <c r="GS282" s="371">
        <f>GR282+GS221</f>
        <v>2.9500000000170985</v>
      </c>
      <c r="GT282" s="371">
        <f>GS282+GT221</f>
        <v>2.9500000000170985</v>
      </c>
      <c r="GU282" s="371">
        <f>GT282+GU221</f>
        <v>2.9500000000170985</v>
      </c>
      <c r="GV282" s="371">
        <f>GP282+GV221</f>
        <v>2.9500000000170985</v>
      </c>
      <c r="GW282" s="371">
        <f t="shared" ref="GW282:HB282" si="769">GV282+GW221</f>
        <v>2.9500000000170985</v>
      </c>
      <c r="GX282" s="371">
        <f t="shared" si="769"/>
        <v>2.9500000000170985</v>
      </c>
      <c r="GY282" s="371">
        <f t="shared" si="769"/>
        <v>2.9500000000170985</v>
      </c>
      <c r="GZ282" s="371">
        <f t="shared" si="769"/>
        <v>2.9500000000170985</v>
      </c>
      <c r="HA282" s="371">
        <f t="shared" si="769"/>
        <v>2.9500000000170985</v>
      </c>
      <c r="HB282" s="371">
        <f t="shared" si="769"/>
        <v>2.9500000000170985</v>
      </c>
      <c r="HC282" s="371">
        <f>GV282+HC221</f>
        <v>2.9500000000170985</v>
      </c>
      <c r="HD282" s="371">
        <f>GE282+HD221</f>
        <v>2.9500000000170985</v>
      </c>
      <c r="HE282" s="371">
        <f>HD282+HE221</f>
        <v>2.9500000000170985</v>
      </c>
      <c r="HF282" s="371">
        <f>HE282+HF221</f>
        <v>2.9500000000170985</v>
      </c>
      <c r="HG282" s="371">
        <f>HF282+HG221</f>
        <v>2.9500000000170985</v>
      </c>
      <c r="HH282" s="371">
        <f>HG282+HH221</f>
        <v>2.9500000000170985</v>
      </c>
      <c r="HI282" s="371">
        <f>HD282+HI221</f>
        <v>2.9500000000170985</v>
      </c>
      <c r="HJ282" s="371">
        <f>HI282+HJ221</f>
        <v>2.9500000000170985</v>
      </c>
      <c r="HK282" s="371">
        <f>HJ282+HK221</f>
        <v>2.9500000000170985</v>
      </c>
      <c r="HL282" s="371">
        <f>HK282+HL221</f>
        <v>2.9500000000170985</v>
      </c>
      <c r="HM282" s="371">
        <f>HL282+HM221</f>
        <v>2.9500000000170985</v>
      </c>
      <c r="HN282" s="371">
        <f>HM282+HN221</f>
        <v>2.9500000000170985</v>
      </c>
      <c r="HO282" s="371">
        <f>HI282+HO221</f>
        <v>2.9500000000170985</v>
      </c>
      <c r="HP282" s="371">
        <f>HO282+HP221</f>
        <v>2.9500000000170985</v>
      </c>
      <c r="HQ282" s="371">
        <f>HP282+HQ221</f>
        <v>2.9500000000170985</v>
      </c>
      <c r="HR282" s="371">
        <f>HQ282+HR221</f>
        <v>2.9500000000170985</v>
      </c>
      <c r="HS282" s="371">
        <f>HR282+HS221</f>
        <v>2.9500000000170985</v>
      </c>
      <c r="HT282" s="371">
        <f>HS282+HT221</f>
        <v>2.9500000000170985</v>
      </c>
      <c r="HU282" s="371">
        <f>HO282+HU221</f>
        <v>2.9500000000170985</v>
      </c>
      <c r="HV282" s="371">
        <f>HU282+HV221</f>
        <v>2.9500000000170985</v>
      </c>
      <c r="HW282" s="371">
        <f>HV282+HW221</f>
        <v>2.9500000000170985</v>
      </c>
      <c r="HX282" s="371">
        <f>HW282+HX221</f>
        <v>2.9500000000170985</v>
      </c>
      <c r="HY282" s="371">
        <f>HU282+HY221</f>
        <v>2.9500000000170985</v>
      </c>
      <c r="HZ282" s="371">
        <f>HY282+HZ221</f>
        <v>2.9500000000170985</v>
      </c>
      <c r="IA282" s="371">
        <f>HZ282+IA221</f>
        <v>2.9500000000170985</v>
      </c>
      <c r="IB282" s="371">
        <f>IA282+IB221</f>
        <v>2.9500000000170985</v>
      </c>
      <c r="IC282" s="371">
        <f>HY282+IC221</f>
        <v>2.9500000000170985</v>
      </c>
      <c r="ID282" s="371">
        <f>HD282+ID221</f>
        <v>2.9500000000170985</v>
      </c>
      <c r="IE282" s="371">
        <f>ID282+IE221</f>
        <v>2.9500000000170985</v>
      </c>
      <c r="IF282" s="371" t="e">
        <f>#REF!+IF221</f>
        <v>#REF!</v>
      </c>
      <c r="IG282" s="371">
        <f>ID282+IG221</f>
        <v>2.9500000000170985</v>
      </c>
      <c r="IH282" s="371">
        <f>IG282+IH221</f>
        <v>2.9500000000170985</v>
      </c>
      <c r="II282" s="371">
        <f>IH282+II221</f>
        <v>2.9500000000170985</v>
      </c>
      <c r="IJ282" s="371">
        <f>II282+IJ221</f>
        <v>2.9500000000170985</v>
      </c>
      <c r="IK282" s="371">
        <f>IJ282+IK221</f>
        <v>2.9500000000170985</v>
      </c>
      <c r="IL282" s="371">
        <f>IK282+IL221</f>
        <v>2.9500000000170985</v>
      </c>
      <c r="IM282" s="371">
        <f>IG282+IM221</f>
        <v>2.9500000000170985</v>
      </c>
      <c r="IN282" s="371">
        <f>IM282+IN221</f>
        <v>2.9500000000170985</v>
      </c>
      <c r="IO282" s="371">
        <f>IN282+IO221</f>
        <v>2.9500000000170985</v>
      </c>
      <c r="IP282" s="371" t="e">
        <f>#REF!+IP221</f>
        <v>#REF!</v>
      </c>
      <c r="IQ282" s="371">
        <f>IM282+IQ221</f>
        <v>2.9500000000170985</v>
      </c>
      <c r="IR282" s="371">
        <f>IQ282+IR221</f>
        <v>2.9500000000170985</v>
      </c>
      <c r="IS282" s="371">
        <f>IR282+IS221</f>
        <v>2.9500000000170985</v>
      </c>
      <c r="IT282" s="371">
        <f>IS282+IT221</f>
        <v>2.9500000000170985</v>
      </c>
      <c r="IU282" s="371">
        <f>IT282+IU221</f>
        <v>2.9500000000170985</v>
      </c>
      <c r="IV282" s="371">
        <f>IU282+IV221</f>
        <v>2.9500000000170985</v>
      </c>
      <c r="IW282" s="371">
        <f>IQ282+IW221</f>
        <v>2.9500000000170985</v>
      </c>
      <c r="IX282" s="371">
        <f>IW282+IX221</f>
        <v>2.9500000000170985</v>
      </c>
      <c r="IY282" s="371">
        <f>IX282+IY221</f>
        <v>4865.9500000000171</v>
      </c>
      <c r="IZ282" s="371">
        <f>IY282+IZ221</f>
        <v>4865.9500000000171</v>
      </c>
      <c r="JA282" s="371">
        <f>IZ282+JA221</f>
        <v>4865.9500000000171</v>
      </c>
      <c r="JB282" s="371">
        <f>JA282+JB221</f>
        <v>4865.9500000000171</v>
      </c>
      <c r="JC282" s="371">
        <f>IW282+JC221</f>
        <v>4865.9500000000171</v>
      </c>
      <c r="JD282" s="371">
        <f>ID282+JD221</f>
        <v>4865.9500000000171</v>
      </c>
      <c r="JE282" s="371">
        <f>JD282+JE221</f>
        <v>4865.9500000000171</v>
      </c>
      <c r="JF282" s="371">
        <f>JE282+JF221</f>
        <v>4865.9500000000171</v>
      </c>
      <c r="JG282" s="371">
        <f>JF282+JG221</f>
        <v>4853.9500000000171</v>
      </c>
      <c r="JH282" s="371">
        <f>JG282+JH221</f>
        <v>4853.9500000000171</v>
      </c>
      <c r="JI282" s="371">
        <f>JH282+JI221</f>
        <v>4853.9500000000171</v>
      </c>
      <c r="JJ282" s="371">
        <f>JD282+JJ221</f>
        <v>4853.9500000000171</v>
      </c>
      <c r="JK282" s="371">
        <f>JJ282+JK221</f>
        <v>4853.9500000000171</v>
      </c>
      <c r="JL282" s="371">
        <f>JK282+JL221</f>
        <v>4853.9500000000171</v>
      </c>
      <c r="JM282" s="371">
        <f>JL282+JM221</f>
        <v>4853.9500000000171</v>
      </c>
      <c r="JN282" s="371">
        <f>JM282+JN221</f>
        <v>4853.9500000000171</v>
      </c>
      <c r="JO282" s="371">
        <f>JN282+JO221</f>
        <v>4853.9500000000171</v>
      </c>
      <c r="JP282" s="371">
        <f>JJ282+JP221</f>
        <v>4853.9500000000171</v>
      </c>
      <c r="JQ282" s="371">
        <f>JP282+JQ221</f>
        <v>4853.9500000000171</v>
      </c>
      <c r="JR282" s="371">
        <f>JQ282+JR221</f>
        <v>4853.9500000000171</v>
      </c>
      <c r="JS282" s="371">
        <f>JR282+JS221</f>
        <v>4853.9500000000171</v>
      </c>
      <c r="JT282" s="371">
        <f>JS282+JT221</f>
        <v>4853.9500000000171</v>
      </c>
      <c r="JU282" s="371">
        <f>JT282+JU221</f>
        <v>4853.9500000000171</v>
      </c>
      <c r="JV282" s="371">
        <f>JP282+JV221</f>
        <v>4853.9500000000171</v>
      </c>
      <c r="JW282" s="371">
        <f>JV282+JW221</f>
        <v>4853.9500000000171</v>
      </c>
      <c r="JX282" s="371">
        <f>JW282+JX221</f>
        <v>4853.9500000000171</v>
      </c>
      <c r="JY282" s="371">
        <f>JX282+JY221</f>
        <v>4853.9500000000171</v>
      </c>
      <c r="JZ282" s="371">
        <f>JY282+JZ221</f>
        <v>4853.9500000000171</v>
      </c>
      <c r="KA282" s="371"/>
      <c r="KB282" s="371">
        <f>JZ282+KB221</f>
        <v>4853.9500000000171</v>
      </c>
      <c r="KC282" s="371">
        <f>JV282+KC221</f>
        <v>4853.9500000000171</v>
      </c>
      <c r="KD282" s="371">
        <f>JD282+KD221</f>
        <v>4853.9500000000171</v>
      </c>
      <c r="KE282" s="371">
        <f>KD282+KE221</f>
        <v>4853.9500000000171</v>
      </c>
      <c r="KF282" s="371">
        <f>KE282+KF221</f>
        <v>4853.9500000000171</v>
      </c>
      <c r="KG282" s="371">
        <f>KF282+KG221</f>
        <v>4853.9500000000171</v>
      </c>
      <c r="KH282" s="371">
        <f>KG282+KH221</f>
        <v>4853.9500000000171</v>
      </c>
      <c r="KI282" s="371">
        <f>KH282+KI221</f>
        <v>4853.9500000000171</v>
      </c>
      <c r="KJ282" s="371">
        <f>KD282+KJ221</f>
        <v>4853.9500000000171</v>
      </c>
      <c r="KK282" s="371">
        <f>KJ282+KK221</f>
        <v>4853.9500000000171</v>
      </c>
      <c r="KL282" s="371">
        <f>KK282+KL221</f>
        <v>4853.9500000000171</v>
      </c>
      <c r="KM282" s="371">
        <f>KL282+KM221</f>
        <v>4853.9500000000171</v>
      </c>
      <c r="KN282" s="371">
        <f>KM282+KN221</f>
        <v>4853.9500000000171</v>
      </c>
      <c r="KO282" s="371">
        <f>KN282+KO221</f>
        <v>4853.9500000000171</v>
      </c>
      <c r="KP282" s="371">
        <f>KJ282+KP221</f>
        <v>4853.9500000000171</v>
      </c>
      <c r="KQ282" s="371">
        <f>KP282+KQ221</f>
        <v>4853.9500000000171</v>
      </c>
      <c r="KR282" s="371">
        <f>KQ282+KR221</f>
        <v>4853.9500000000171</v>
      </c>
      <c r="KS282" s="371">
        <f>KR282+KS221</f>
        <v>4853.9500000000171</v>
      </c>
      <c r="KT282" s="371">
        <f>KS282+KT221</f>
        <v>4853.9500000000171</v>
      </c>
      <c r="KU282" s="371">
        <f>KT282+KU221</f>
        <v>4853.9500000000171</v>
      </c>
      <c r="KV282" s="371">
        <f>KP282+KV221</f>
        <v>4853.9500000000171</v>
      </c>
      <c r="KW282" s="371">
        <f>KV282+KW221</f>
        <v>4853.9500000000171</v>
      </c>
      <c r="KX282" s="371">
        <f>KW282+KX221</f>
        <v>4853.9500000000171</v>
      </c>
      <c r="KY282" s="371">
        <f>KX282+KY221</f>
        <v>4853.9500000000171</v>
      </c>
      <c r="KZ282" s="371">
        <f>KY282+KZ221</f>
        <v>4853.9500000000171</v>
      </c>
      <c r="LA282" s="371">
        <f>KZ282+LA221</f>
        <v>4853.9500000000171</v>
      </c>
      <c r="LB282" s="371">
        <f>KV282+LB221</f>
        <v>4853.9500000000171</v>
      </c>
      <c r="LC282" s="371">
        <f>LB282+LC221</f>
        <v>4853.9500000000171</v>
      </c>
      <c r="LD282" s="371">
        <f>LC282+LD221</f>
        <v>4853.9500000000171</v>
      </c>
      <c r="LE282" s="371">
        <f>LD282+LE221</f>
        <v>4853.9500000000171</v>
      </c>
      <c r="LF282" s="371">
        <f>LB282+LF221</f>
        <v>4853.9500000000171</v>
      </c>
      <c r="LG282" s="371">
        <f>KD282+LG221</f>
        <v>4853.9500000000171</v>
      </c>
    </row>
  </sheetData>
  <dataConsolidate/>
  <mergeCells count="131">
    <mergeCell ref="CR1:CV1"/>
    <mergeCell ref="LG1:LG2"/>
    <mergeCell ref="K1:N1"/>
    <mergeCell ref="U1:U2"/>
    <mergeCell ref="JC1:JC2"/>
    <mergeCell ref="IE1:IF1"/>
    <mergeCell ref="HZ1:IB1"/>
    <mergeCell ref="IG1:IG2"/>
    <mergeCell ref="IM1:IM2"/>
    <mergeCell ref="IQ1:IQ2"/>
    <mergeCell ref="IW1:IW2"/>
    <mergeCell ref="HJ1:HN1"/>
    <mergeCell ref="HI1:HI2"/>
    <mergeCell ref="HO1:HO2"/>
    <mergeCell ref="HU1:HU2"/>
    <mergeCell ref="HY1:HY2"/>
    <mergeCell ref="HP1:HT1"/>
    <mergeCell ref="HV1:HX1"/>
    <mergeCell ref="AI1:AM1"/>
    <mergeCell ref="CG1:CJ1"/>
    <mergeCell ref="CL1:CP1"/>
    <mergeCell ref="AT1:AT2"/>
    <mergeCell ref="EB1:EB2"/>
    <mergeCell ref="FC1:FC2"/>
    <mergeCell ref="B3:LG3"/>
    <mergeCell ref="D1:D2"/>
    <mergeCell ref="J1:J2"/>
    <mergeCell ref="AA1:AA2"/>
    <mergeCell ref="AO1:AS1"/>
    <mergeCell ref="CA1:CA2"/>
    <mergeCell ref="AU1:AY1"/>
    <mergeCell ref="BG1:BG2"/>
    <mergeCell ref="BM1:BM2"/>
    <mergeCell ref="BR1:BR2"/>
    <mergeCell ref="BX1:BX2"/>
    <mergeCell ref="BS1:BW1"/>
    <mergeCell ref="IC1:IC2"/>
    <mergeCell ref="DI1:DI2"/>
    <mergeCell ref="GV1:GV2"/>
    <mergeCell ref="GL1:GO1"/>
    <mergeCell ref="EN1:EN2"/>
    <mergeCell ref="FH1:FL1"/>
    <mergeCell ref="FN1:FQ1"/>
    <mergeCell ref="AB1:AB2"/>
    <mergeCell ref="V1:Z1"/>
    <mergeCell ref="AZ1:AZ2"/>
    <mergeCell ref="BY1:BZ1"/>
    <mergeCell ref="FY1:GC1"/>
    <mergeCell ref="B125:LG125"/>
    <mergeCell ref="BB1:BF1"/>
    <mergeCell ref="AN1:AN2"/>
    <mergeCell ref="E1:I1"/>
    <mergeCell ref="HE1:HH1"/>
    <mergeCell ref="B52:LG52"/>
    <mergeCell ref="DD1:DH1"/>
    <mergeCell ref="DJ1:DN1"/>
    <mergeCell ref="HC1:HC2"/>
    <mergeCell ref="EU1:FA1"/>
    <mergeCell ref="FG1:FG2"/>
    <mergeCell ref="FM1:FM2"/>
    <mergeCell ref="FR1:FR2"/>
    <mergeCell ref="FX1:FX2"/>
    <mergeCell ref="DO1:DO2"/>
    <mergeCell ref="DU1:DU2"/>
    <mergeCell ref="EA1:EA2"/>
    <mergeCell ref="DV1:DZ1"/>
    <mergeCell ref="BH1:BL1"/>
    <mergeCell ref="BN1:BQ1"/>
    <mergeCell ref="HD1:HD2"/>
    <mergeCell ref="ID1:ID2"/>
    <mergeCell ref="LB1:LB2"/>
    <mergeCell ref="KC1:KC2"/>
    <mergeCell ref="A278:B278"/>
    <mergeCell ref="A271:B271"/>
    <mergeCell ref="FB1:FB2"/>
    <mergeCell ref="EC1:EG1"/>
    <mergeCell ref="CC1:CE1"/>
    <mergeCell ref="CF1:CF2"/>
    <mergeCell ref="CK1:CK2"/>
    <mergeCell ref="CQ1:CQ2"/>
    <mergeCell ref="CW1:CW2"/>
    <mergeCell ref="B111:LG111"/>
    <mergeCell ref="GE1:GE2"/>
    <mergeCell ref="DB1:DB2"/>
    <mergeCell ref="B211:LG211"/>
    <mergeCell ref="B197:LG197"/>
    <mergeCell ref="O1:O2"/>
    <mergeCell ref="B225:LG225"/>
    <mergeCell ref="B139:LG139"/>
    <mergeCell ref="BA1:BA2"/>
    <mergeCell ref="JD1:JD2"/>
    <mergeCell ref="IH1:IL1"/>
    <mergeCell ref="IN1:IP1"/>
    <mergeCell ref="IR1:IV1"/>
    <mergeCell ref="EH1:EH2"/>
    <mergeCell ref="CX1:DA1"/>
    <mergeCell ref="LF1:LF2"/>
    <mergeCell ref="LC1:LE1"/>
    <mergeCell ref="KE1:KI1"/>
    <mergeCell ref="P1:T1"/>
    <mergeCell ref="AH1:AH2"/>
    <mergeCell ref="AC1:AG1"/>
    <mergeCell ref="GW1:HB1"/>
    <mergeCell ref="JP1:JP2"/>
    <mergeCell ref="JV1:JV2"/>
    <mergeCell ref="JE1:JI1"/>
    <mergeCell ref="JK1:JO1"/>
    <mergeCell ref="JQ1:JU1"/>
    <mergeCell ref="EI1:EM1"/>
    <mergeCell ref="GQ1:GU1"/>
    <mergeCell ref="GK1:GK2"/>
    <mergeCell ref="GP1:GP2"/>
    <mergeCell ref="DP1:DT1"/>
    <mergeCell ref="FD1:FF1"/>
    <mergeCell ref="EO1:ES1"/>
    <mergeCell ref="GF1:GJ1"/>
    <mergeCell ref="CB1:CB2"/>
    <mergeCell ref="DC1:DC2"/>
    <mergeCell ref="KV1:KV2"/>
    <mergeCell ref="KW1:LA1"/>
    <mergeCell ref="FS1:FW1"/>
    <mergeCell ref="ET1:ET2"/>
    <mergeCell ref="GD1:GD2"/>
    <mergeCell ref="JW1:KB1"/>
    <mergeCell ref="KD1:KD2"/>
    <mergeCell ref="KJ1:KJ2"/>
    <mergeCell ref="KK1:KO1"/>
    <mergeCell ref="KP1:KP2"/>
    <mergeCell ref="KQ1:KU1"/>
    <mergeCell ref="IX1:JB1"/>
    <mergeCell ref="JJ1:JJ2"/>
  </mergeCells>
  <pageMargins left="0.15748031496062992" right="0.15748031496062992" top="0.39370078740157483" bottom="0.35433070866141736" header="0.31496062992125984" footer="0.31496062992125984"/>
  <pageSetup paperSize="9" scale="75" fitToHeight="5" orientation="landscape" horizontalDpi="180" verticalDpi="180" r:id="rId1"/>
  <ignoredErrors>
    <ignoredError sqref="AB48 D50 D109 D123 D137 D223 D189 D195 D258 J123 J103 J109 J137 J189 J195 J223 O137 O109 O195 U109 M50:U50 U195 U223 O223 U258 AB118 AB132 BA137 BA223 BA258 AH50 AH109 AH123 AH195 AH189 AH223 AH253:AH254 AH258 AN50 AN123 AN137 AN109 AN223 AN258 AT50 AT109 AT123 AT137 AT223 AT258 AT253:AT254 BG50 BG109 BG137 BG123 BG195 BM50 BM123 BM137 BM195 BG258 BM258 BG223 BM109 BM223 BR50 BR109 BR123 BR137 BR195 BR223 BR258 BX50 BX137 BX109 BX123 BX223 BX195 BX258 CB137 CB223 CB258 CB195 CB50 CB254 CF50 CF109 CB123 CF137 CF195 CF223 CF258 CF254 CK50 CF123 CK137 CK109 CK195 CK223 CK258 CK254 CQ50 CQ123 CQ137 CQ195 CQ223 CW50 CW109 CW137 CW258 CW223 CW195 CW123 CB109 DI50 DI123 DI137 DI109 DI195 DI223 DI258 DO50 DO123 DO137 DO109 DO195 DO223 DO258 DU50 DU137 DU123 DU109 DU223 DU195 DU258 EH50 EH109 EH123 EH137 EH223 EH195 EH258 EN50 EN109 EN137 EN123 EN258 EN223 EN195 D262:D263 J262:J263 O262:O268 U262:U268 AB262:AB268 AH262:AT268 CA263:CB268 DA262:DB268 DI262:EA270 FB263:FC268 EH262:EN268 ET50 FB262 ET109 ET137 ET123 ET258 ET223 ET195 ET283:ET284 FB273:FC282 ET262:ET268 FG137 FG109 FG123 FG195 FG263 FG253:FG254 FM50:FN50 FM123:FN123 FM138:FQ138 GK50 GK137 GK195 GK223 GK258 GK262 GK264 GK266:GK267 GK276:GK282 GK109 GP50 GP262:GP267 GP276:GP283 GP258 GP223 GP195 GP137 GP109 GP254 GV50 GV262 GV264:GV267 GV276:GV282 GV258 GV223 GV195 GV137 GV109 GV254 HI50 HI137 HI262:HI268 HI273:HI282 HI109 HI254 HI258 HE103:HF103 HI195 HO50 HO262:HO268 HO273:HO283 HO109 HO137 HO195 HO223 HO254 HO258 HU50 HU262:HU282 HU258 HU254 HU223 HU195 HU137 HU109 HY50 HY109 HY137 HY195 HY223 HY258 HY254 HY262:HY282 IG50 IG137 IG195 IG223 IG253:IG254 IG258 IG262:IG282 IG109 IM50 IM109 IM137 IM195 IM223 IM258 IM262:IM282 IW50 IQ109 IW109 IQ137:IW137 IQ223:IW223 IQ258 IW258 IQ262:JD282 IQ195:JB195 JJ262:JJ284 JJ223:JP223 KB223:LF223 KB137:LB137 JD254 JJ254 JP254 KB109:LF109 JJ195:JP195 KB254:KC254 KC50 KJ50:LG50 KB258:LF258 KB262:LG282 KB195:LH195 KJ254 KP254 KV254 LB254 J50:K50 C273:K273 C275:U275 AB253:AB254 C280:K282 M273:U273 M280:U282 IN101:IO101 D103 O103 D265:D269 J265:J268 D264:J264 U123 U103 O189:Z189 BA189 AO55:AS55 BA254 AH273:BA284 AH103 AN103 AT103 AN189:AY189 AN195:AZ195 BA103 BA262:BX268 BG283:CB283 B203:CE209 B201:AX201 AZ201:BE201 B215:AX215 AZ215:BE215 BN215:CE215 BG253:BG255 BA8:BI8 BH215:BL215 B213:BF214 B216:BF216 BH216:CC216 BH201:CE201 B202:BF202 BH202:CC202 BA20:BF23 BA19:BE19 BA25:BK25 BA24:BE24 BG24:BL24 BM253:BM254 BN58:BP58 BN66:BW67 BN65:BQ65 BR56 BN64:BW64 BN76:BW76 BN68:BO68 BQ63:BS63 BO75 BN74:BT74 BN59:BQ59 BN72:BP72 BN61:BQ62 B146:BI146 B167:BL169 B166:BG166 B145:BG145 BS145:BV145 BN147:BP147 B163:BL165 B162:BG162 B151:BG151 B157:BL158 BO145:BQ145 BN146:BQ146 B155:BH156 B152:BL154 B161:BL161 B159:BG159 B160:BH160 BN162 BQ160 BO159 BN161:BQ161 BN154:BW154 BO155:BQ155 BO156:BV156 BN157:BQ158 BN151:BW151 BN152:BQ152 BN166:BW166 BN167:BQ169 CA162:CB162 BY151:CB151 BY156:BZ158 BY155 BY152:BZ154 BY161:BZ161 BN77:BQ84 BA12:BL12 B147:BL149 BA10:BL10 BA9:BK9 BA11:BG11 BN104:BQ104 BG103:BR103 BS103:CB104 BN163:BQ165 BA30:BG30 BA27:BL29 BA26:BH26 BJ26:BL26 BK11 BH21:BL23 BI11 BA16:BF18 BA15:BG15 BI15:BL15 BI20:BL20 BA14:BL14 BA13:BG13 BI13:BL13 BK8:BL8 BM243:BP243 BR243:BZ243 BN148:BQ149 BS147:BU147 BT146 BS160:BW160 BS161:BT161 BS155:BW155 BS157:BW158 BS153:BW153 BS167:BW169 BS163:BW165 BS148:BW149 BG189:BR189 BI151:BL151 BI145:BL145 BI166:BL166 BJ159:BJ160 BJ156:BL156 B150:BI150 BK150:BL150 BL146 B171:BL172 B170:BI170 BK170 BL159:BL160 BN171:BQ172 BN170 BP170:BQ170 BP162 BN150 BP150:BQ150 BN153:BO153 BQ153 BQ159:BR159 CB189 BS58:BV58 BS65:BT65 BS61:BZ61 BS77:BW78 BS70:BZ71 BS59:BW59 BO60:BQ60 BO73:BT73 BO71:BQ71 BN70:BQ70 BN69 BP69:BQ69 BQ68 BR72 BY56:BZ56 BS68:BW68 BY68 BZ58 BZ72 BZ75 BH16:BL19 BM249:CA252 BN232:BZ239 BY63:BY64 BY73:BZ74 BY65:BZ67 BY76:BZ78 BY59 BU72:BW72 BW63 BW73 BV65 BS60:BT60 BW60:BZ60 BV74:BW74 BS84:BZ84 BS83:BT83 BV83 BX83:BZ83 BS79:BZ82 BT159 BS150 BU150:BW150 BV161:BW162 BW146:BW147 BS171:BW172 BS170:BU170 BW170 BS152:BV152 BY163:BZ169 CZ201:DB201 BH213:CE214 CG202:CV202 CG201:CX201 B217:CX218 CF203:CX204 BG273:CX282 CF213:CV215 CF206:CX209 B210:CX212 CF262:CX268 BM244:BZ248 BN241:BZ242 BN240:BY240 BX254 CE202 CG205:CJ205 CL205:CV205 DD201:DH201 CZ205:DB205 DD205:DH205 CE216:CV216 CB163:CB172 CB152:CB161 BY171:BZ172 BZ170 CF189 CK189 BS69:BX69 CF103 CK103 CR56 CQ103:CW103 CW189:DC189 CQ189 CX56:DA56 CX205 CX202 CX213:CX216 CT56:CU56 DA273:ET282 CZ202:DH204 DC103 DO103:DU103 DI103 DI253:DI254 CZ214:DA216 DC214:DL215 DC216:DK216 DN215:DQ215 DJ201:DL201 DN201 DJ202:DN202 DJ205:DN205 EB103 EB254 DN214:DT214 DP205:DQ205 CZ206:EY212 DP202:DT202 DM216:DR216 CZ217:EY218 DI203:EY204 FB251:FB252 DS215:DT215 DT216:DZ216 EA214:EM214 CZ213:DT213 DV213:DZ213 EB213:EM213 EB215:EM216 DV214:DY214 DV215:DZ215 DV205:DZ205 DV201:DZ202 DS205:DT205 EB205:EM205 EB201:EG202 EI201:EM202 EO201:ES202 EU201:EY202 EO205:ES205 EU205:EY205 FA205 DJ30:DK30 DJ33:DN33 DJ31:DM32 DP31:DQ31 DS31:DT31 DJ21:DN21 DJ20:DK20 DM20:DN20 DJ19:DL19 DN19 DJ13:DN15 DJ12:DM12 DJ16:DM16 DJ25:DN25 DJ24:DM24 DJ27:DN29 DJ26:DM26 DQ12:DT12 DJ11:DN11 DJ10:DO10 DQ10 DJ23:DN23 DJ22:DO22 DQ22:DR22 DQ26:DR26 DJ8:DN9 DS9:DT11 DT22 DJ17:DN18 DT18 DT26 DP8:DR8 DP32:DT33 DP19:DT21 DP13:DT17 DP27:DT29 DP11 DP23:DT25 DP9:DQ9 DP18:DR18 EO10:ES10 EO13:ES14 EP12:ET12 EP11:EQ11 EU11 EH103 DO189:DZ189 DI189 FC103 FC254 EN97:FC98 EP75 EO72:ES73 EO61:ES62 EO59 EO58:ES58 EV10:EZ10 EV12:EZ12 EO213:ES213 EO214:EY214 EO215:ES216 EH189 EO91:ES96 EN103 EU13:EW13 EU14:FA14 EY13:FA13 EW75 EU59:EX59 EO76:ES89 EU76:FA78 FC60:FC96 EU74:FA74 EU60:FA61 EW58:EX58 EU92:FA92 ES11 EW11:EX11 EZ11:FA11 ET189 EN189 ET103 EN99:EY99 FA99 FC99 EO64:ES67 EP63 EO70:ES70 EP69:ES69 EO68 EQ68:ES68 ER59:ES59 EO71:EP71 ER71:ES71 ER63 ER75 EO60:ER60 EO74:ER74 EO90:ER90 EU90:FA90 EV89:FA89 EU70:FA71 EV69:FA69 EW72 EU91 EW91 EU95:EU96 EW95 EU68 EW68:FA68 EW96:FA96 EU64:FA64 EY62:FA62 EU62:EW63 EY63 EY72 EY75 EZ58:FA59 FA63 EU67:FA67 EU66:EY66 FA66 EU94:FA94 EU93:EY93 FA93 EU65:EZ65 EU80:FA88 EU79:EZ79 EU73:EZ73 FA201:FA202 FA213:FA216 EU213:EY213 EU215:EY216 ET253:ET254 FD189:FG189 FC201:FE202 FC213:FE216 FB209:FC209 FA210:FE212 FA203:FQ204 FW201:FX208 FR50 FR123 FM137:FN137 FF201 FH202:FQ202 FC205:FF205 FH205 FF210:FQ213 FG209:FH209 FM209:FN209 FR209:FS209 FW210:FX213 FX209 FG267 FG276:FG279 FG281 FM278:FN279 FM281:FN281 FO280:FQ280 FR278:FR279 FR281 FG264:FL266 DP201:DQ201 DS201:DT201 FG50 FX50 FJ205:FQ205 FM254:FX254 FH201 FJ201:FQ201 FF215:FH215 FG103 FX136:GE137 FM262:GE267 FR137:FR138 FG258:GE258 FG223:GD223 FR201:FV205 FR210:FV214 FM109:GE109 FA206:FV208 FM195:FR195 FF214:FP214 FM253 FR253:FX253 FA217:FX218 FW214 FJ215:FR215 FU215:FW215 FR189 FM189 FX195 FG216:FW216 HD189:HI189 IC123:IE123 HA210:HH211 GF213:GJ216 GE203:GY204 FX123:GY123 GK253:GK254 GK103 FX103 FX189 GE217:GY218 GK213:GN213 FM276:GE277 FG269:GE273 FG268:GY268 GK273:HD275 FG274:GJ275 GF269:GY272 GF273:GJ273 GK15:GO19 GP8 GK21:GO22 GK20:GN20 GQ20:GU20 GP103 GE206:GY212 GF205:GU205 GW205:GY205 GQ76:GU76 HD103:HD104 GQ15:GU18 GQ21:HA21 GW20:HB20 GW15:HB15 GR22:HB22 GY19:HB19 GQ19 GS19:GU19 GW17:HB18 GX16:HB16 HB203:HH204 GF201:GU202 GW201:GY202 HB201:HB202 HD201:HH202 HB205 HD205:HH205 GK214:GU215 GW213:GY216 HB213:HB218 GP213:GU213 HB268:HD272 GW76 GV103:HC103 GY76:HB76 LH189 IB210:IE211 IF203:IO204 IC212:IE218 HB212:HH212 HD213:HH218 HB206:HH209 GE189:GW189 HI201:HX201 HI210:HZ218 HC123:HJ123 HJ209:HZ209 HO103 HI103 GK216:GN216 GP216:GU216 HI203:HZ204 HI202:HS202 HU202:HZ202 HO123:HZ123 IC206:IE209 IF205:IJ205 HZ201 HO189 ID201:IE201 ID103 HR91 IG123:IO123 KB210:LG211 IF212:IO214 KB206:LG208 IF201:IO201 ID205:IE205 IC202:IE204 HI206:HZ208 HI205:HU205 HW205:HZ205 IG209:IO209 KB202:LG202 HU189 HY103 HU103 HY189 HU91 KB205:LG205 KB201:LG201 IF216:IO218 IP215:IY215 KB215:LF215 LG187 KD104 JE10:JI10 KB76:LG76 LG163 JE13:JI13 JE11:JI11 LG103 KD189:LG189 IP101 KB203:LG204 IP205:JC205 KB123:LH123 KB212:LG214 IQ201:JC201 KB209:LG209 KB216:LG218 IF215:IO215 IG202:IO202 IF206:IO208 IF210:IO211 IQ50 IP217:JZ218 IQ209:JZ209 IP212:JZ212 IQ123:JJ123 IP203:JZ204 JE76:JI76 JE215:JI215 JE201:JZ201 JE205:JZ205 IQ202:JC202 IP206:JZ208 IP210:JZ211 JR195:JZ195 JP262:JZ282 JJ258:JZ258 JJ50:JZ50 JV254:JZ254 JJ109:JZ109 JD137:JZ137 JV223:JZ223 JF12:JI12 JK76:JZ76 IP216:JC216 JE216:JF216 JH216:JI216 IP214:JZ214 IP213:JI213 JK213:JZ213 JK215:JZ215 JK216:JZ216 JK123:JZ123 IL205:IO205 JE202:JZ202 IM253:IM254 IQ253:IQ254 IW253:IW254 IG189:JC189 JA215:JC215 IP103 IN103:IO103 IG103:IM103 IQ103 IW103" formula="1"/>
    <ignoredError sqref="FC40 AO40 AU40 AZ127:AZ129 AR40:AS40 BR115 BX105 CW242 EP40 EU40 ER40:ES40 EX40:EZ40 FZ40 FX24 GD13:GD30 GB40 HC213:HC216 HC219 JJ62:JJ83 JJ129" formulaRange="1"/>
    <ignoredError sqref="AA48" evalError="1"/>
    <ignoredError sqref="BM215 BY62:BZ62 BS62:BT62 BV62:BW62 HC217:HC218" formula="1" formulaRange="1"/>
  </ignoredErrors>
  <legacyDrawing r:id="rId2"/>
</worksheet>
</file>

<file path=xl/worksheets/sheet2.xml><?xml version="1.0" encoding="utf-8"?>
<worksheet xmlns="http://schemas.openxmlformats.org/spreadsheetml/2006/main" xmlns:r="http://schemas.openxmlformats.org/officeDocument/2006/relationships">
  <sheetPr codeName="Feuil2">
    <pageSetUpPr fitToPage="1"/>
  </sheetPr>
  <dimension ref="A1:N65"/>
  <sheetViews>
    <sheetView workbookViewId="0">
      <selection activeCell="E52" sqref="E52"/>
    </sheetView>
  </sheetViews>
  <sheetFormatPr baseColWidth="10" defaultRowHeight="12"/>
  <cols>
    <col min="1" max="1" width="9.85546875" style="745" bestFit="1" customWidth="1"/>
    <col min="2" max="2" width="14.7109375" style="743" bestFit="1" customWidth="1"/>
    <col min="3" max="3" width="9.85546875" style="743" bestFit="1" customWidth="1"/>
    <col min="4" max="4" width="10" style="743" bestFit="1" customWidth="1"/>
    <col min="5" max="5" width="9.85546875" style="743" bestFit="1" customWidth="1"/>
    <col min="6" max="6" width="8.5703125" style="743" bestFit="1" customWidth="1"/>
    <col min="7" max="7" width="13.140625" style="743" bestFit="1" customWidth="1"/>
    <col min="8" max="8" width="9.85546875" style="743" bestFit="1" customWidth="1"/>
    <col min="9" max="9" width="14" style="743" bestFit="1" customWidth="1"/>
    <col min="10" max="10" width="10.85546875" style="743" bestFit="1" customWidth="1"/>
    <col min="11" max="11" width="2.42578125" style="743" bestFit="1" customWidth="1"/>
    <col min="12" max="12" width="11" style="743" bestFit="1" customWidth="1"/>
    <col min="13" max="13" width="8.85546875" style="743" bestFit="1" customWidth="1"/>
    <col min="14" max="17" width="11.42578125" style="743"/>
    <col min="18" max="18" width="11.7109375" style="743" bestFit="1" customWidth="1"/>
    <col min="19" max="16384" width="11.42578125" style="743"/>
  </cols>
  <sheetData>
    <row r="1" spans="1:13">
      <c r="A1" s="742">
        <f ca="1">TODAY()</f>
        <v>42585</v>
      </c>
    </row>
    <row r="2" spans="1:13">
      <c r="A2" s="742"/>
      <c r="B2" s="743" t="s">
        <v>165</v>
      </c>
      <c r="C2" s="744">
        <v>42004</v>
      </c>
      <c r="D2" s="743">
        <v>2.2642000000000002</v>
      </c>
    </row>
    <row r="3" spans="1:13">
      <c r="A3" s="742"/>
      <c r="B3" s="743" t="s">
        <v>172</v>
      </c>
      <c r="C3" s="744">
        <v>42004</v>
      </c>
      <c r="D3" s="743">
        <v>1.8626</v>
      </c>
    </row>
    <row r="4" spans="1:13">
      <c r="A4" s="742"/>
      <c r="B4" s="743" t="s">
        <v>173</v>
      </c>
      <c r="C4" s="744">
        <v>42004</v>
      </c>
      <c r="D4" s="743">
        <v>2.8976000000000002</v>
      </c>
    </row>
    <row r="5" spans="1:13" ht="12.75" thickBot="1">
      <c r="B5" s="996" t="s">
        <v>13</v>
      </c>
      <c r="C5" s="996"/>
      <c r="D5" s="996"/>
      <c r="E5" s="996"/>
      <c r="F5" s="996"/>
      <c r="G5" s="996"/>
      <c r="H5" s="996"/>
      <c r="I5" s="996"/>
      <c r="J5" s="996"/>
    </row>
    <row r="6" spans="1:13">
      <c r="B6" s="731" t="s">
        <v>14</v>
      </c>
      <c r="C6" s="732" t="s">
        <v>15</v>
      </c>
      <c r="D6" s="732" t="s">
        <v>16</v>
      </c>
      <c r="E6" s="732" t="s">
        <v>17</v>
      </c>
      <c r="F6" s="732" t="s">
        <v>18</v>
      </c>
      <c r="G6" s="732" t="s">
        <v>19</v>
      </c>
      <c r="H6" s="732" t="s">
        <v>66</v>
      </c>
      <c r="I6" s="732" t="s">
        <v>20</v>
      </c>
      <c r="J6" s="733" t="s">
        <v>21</v>
      </c>
    </row>
    <row r="7" spans="1:13" s="746" customFormat="1">
      <c r="B7" s="102" t="s">
        <v>1086</v>
      </c>
      <c r="C7" s="103" t="s">
        <v>22</v>
      </c>
      <c r="D7" s="106">
        <v>11777.58</v>
      </c>
      <c r="E7" s="106">
        <f>D7*D2</f>
        <v>26666.796636000003</v>
      </c>
      <c r="F7" s="107"/>
      <c r="G7" s="104">
        <v>42292</v>
      </c>
      <c r="H7" s="104">
        <f>+G7+60</f>
        <v>42352</v>
      </c>
      <c r="I7" s="735"/>
      <c r="J7" s="747"/>
    </row>
    <row r="8" spans="1:13" s="746" customFormat="1">
      <c r="B8" s="102" t="s">
        <v>1094</v>
      </c>
      <c r="C8" s="103" t="s">
        <v>22</v>
      </c>
      <c r="D8" s="106">
        <v>13419.8</v>
      </c>
      <c r="E8" s="106">
        <f t="shared" ref="E8:E11" si="0">D8*$D$2</f>
        <v>30385.11116</v>
      </c>
      <c r="F8" s="103"/>
      <c r="G8" s="736">
        <v>42305</v>
      </c>
      <c r="H8" s="104">
        <f>+G8+60</f>
        <v>42365</v>
      </c>
      <c r="I8" s="735"/>
      <c r="J8" s="747"/>
    </row>
    <row r="9" spans="1:13" s="746" customFormat="1">
      <c r="B9" s="102" t="s">
        <v>1106</v>
      </c>
      <c r="C9" s="103" t="s">
        <v>22</v>
      </c>
      <c r="D9" s="106">
        <v>14248.35</v>
      </c>
      <c r="E9" s="106">
        <f t="shared" si="0"/>
        <v>32261.114070000003</v>
      </c>
      <c r="F9" s="107"/>
      <c r="G9" s="104">
        <v>42306</v>
      </c>
      <c r="H9" s="104">
        <f>+G9+90</f>
        <v>42396</v>
      </c>
      <c r="I9" s="735"/>
      <c r="J9" s="747"/>
    </row>
    <row r="10" spans="1:13" s="746" customFormat="1">
      <c r="B10" s="102" t="s">
        <v>1109</v>
      </c>
      <c r="C10" s="103" t="s">
        <v>22</v>
      </c>
      <c r="D10" s="106">
        <v>11883.55</v>
      </c>
      <c r="E10" s="106">
        <f t="shared" si="0"/>
        <v>26906.733910000003</v>
      </c>
      <c r="F10" s="107"/>
      <c r="G10" s="104">
        <v>42317</v>
      </c>
      <c r="H10" s="104">
        <f>+G10+60</f>
        <v>42377</v>
      </c>
      <c r="I10" s="735"/>
      <c r="J10" s="747"/>
    </row>
    <row r="11" spans="1:13" s="746" customFormat="1">
      <c r="B11" s="102" t="s">
        <v>1133</v>
      </c>
      <c r="C11" s="103" t="s">
        <v>22</v>
      </c>
      <c r="D11" s="106">
        <v>14743.06</v>
      </c>
      <c r="E11" s="106">
        <f t="shared" si="0"/>
        <v>33381.236452000005</v>
      </c>
      <c r="F11" s="107"/>
      <c r="G11" s="104">
        <v>42342</v>
      </c>
      <c r="H11" s="104">
        <f>+G11+60</f>
        <v>42402</v>
      </c>
      <c r="I11" s="735"/>
      <c r="J11" s="747"/>
    </row>
    <row r="12" spans="1:13" s="746" customFormat="1">
      <c r="B12" s="102"/>
      <c r="C12" s="103"/>
      <c r="D12" s="106"/>
      <c r="E12" s="106"/>
      <c r="F12" s="107"/>
      <c r="G12" s="104"/>
      <c r="H12" s="104"/>
      <c r="I12" s="735"/>
      <c r="J12" s="747"/>
    </row>
    <row r="13" spans="1:13" s="746" customFormat="1">
      <c r="B13" s="102"/>
      <c r="C13" s="103"/>
      <c r="D13" s="106"/>
      <c r="E13" s="106"/>
      <c r="F13" s="107"/>
      <c r="G13" s="104"/>
      <c r="H13" s="104"/>
      <c r="I13" s="735"/>
      <c r="J13" s="747"/>
    </row>
    <row r="14" spans="1:13" s="746" customFormat="1" ht="12.75" thickBot="1">
      <c r="B14" s="737"/>
      <c r="C14" s="20"/>
      <c r="D14" s="28"/>
      <c r="E14" s="28"/>
      <c r="F14" s="105"/>
      <c r="G14" s="21"/>
      <c r="H14" s="21"/>
      <c r="I14" s="738"/>
      <c r="J14" s="749"/>
    </row>
    <row r="15" spans="1:13">
      <c r="B15" s="10"/>
      <c r="C15" s="11"/>
      <c r="D15" s="12"/>
      <c r="E15" s="12"/>
      <c r="F15" s="11"/>
      <c r="G15" s="13"/>
      <c r="H15" s="14"/>
      <c r="I15" s="739"/>
    </row>
    <row r="16" spans="1:13">
      <c r="B16" s="995" t="s">
        <v>26</v>
      </c>
      <c r="C16" s="995"/>
      <c r="D16" s="750">
        <f>SUM(D7:D8)</f>
        <v>25197.379999999997</v>
      </c>
      <c r="E16" s="750">
        <f>SUM(E7:E8)</f>
        <v>57051.907796</v>
      </c>
      <c r="F16" s="11"/>
      <c r="G16" s="297"/>
      <c r="H16" s="14"/>
      <c r="I16" s="739"/>
      <c r="M16" s="751"/>
    </row>
    <row r="17" spans="2:13">
      <c r="B17" s="10"/>
      <c r="C17" s="11"/>
      <c r="D17" s="12"/>
      <c r="E17" s="12"/>
      <c r="F17" s="11"/>
      <c r="G17" s="13"/>
      <c r="H17" s="14"/>
      <c r="I17" s="739"/>
    </row>
    <row r="18" spans="2:13">
      <c r="B18" s="995" t="s">
        <v>27</v>
      </c>
      <c r="C18" s="995"/>
      <c r="D18" s="750">
        <v>0</v>
      </c>
      <c r="E18" s="750">
        <v>0</v>
      </c>
      <c r="F18" s="11"/>
      <c r="G18" s="15"/>
      <c r="H18" s="14"/>
      <c r="I18" s="739"/>
      <c r="M18" s="751"/>
    </row>
    <row r="19" spans="2:13">
      <c r="B19" s="10"/>
      <c r="C19" s="11"/>
      <c r="D19" s="12"/>
      <c r="E19" s="12"/>
      <c r="F19" s="11"/>
      <c r="G19" s="12"/>
      <c r="H19" s="14"/>
      <c r="I19" s="739"/>
      <c r="M19" s="751"/>
    </row>
    <row r="20" spans="2:13">
      <c r="B20" s="995" t="s">
        <v>28</v>
      </c>
      <c r="C20" s="995"/>
      <c r="D20" s="750">
        <v>0</v>
      </c>
      <c r="E20" s="750">
        <v>0</v>
      </c>
      <c r="F20" s="11"/>
      <c r="G20" s="12"/>
      <c r="H20" s="14"/>
      <c r="I20" s="739"/>
    </row>
    <row r="21" spans="2:13">
      <c r="D21" s="12"/>
      <c r="G21" s="743" t="s">
        <v>29</v>
      </c>
      <c r="M21" s="752"/>
    </row>
    <row r="22" spans="2:13" ht="12.75" thickBot="1">
      <c r="B22" s="997" t="s">
        <v>30</v>
      </c>
      <c r="C22" s="997"/>
      <c r="D22" s="997"/>
      <c r="E22" s="997"/>
      <c r="F22" s="997"/>
      <c r="G22" s="997"/>
      <c r="H22" s="997"/>
      <c r="I22" s="997"/>
      <c r="J22" s="997"/>
    </row>
    <row r="23" spans="2:13">
      <c r="B23" s="731" t="s">
        <v>14</v>
      </c>
      <c r="C23" s="732" t="s">
        <v>15</v>
      </c>
      <c r="D23" s="732" t="s">
        <v>16</v>
      </c>
      <c r="E23" s="732" t="s">
        <v>17</v>
      </c>
      <c r="F23" s="732" t="s">
        <v>18</v>
      </c>
      <c r="G23" s="732" t="s">
        <v>19</v>
      </c>
      <c r="H23" s="732" t="s">
        <v>66</v>
      </c>
      <c r="I23" s="732" t="s">
        <v>20</v>
      </c>
      <c r="J23" s="733" t="s">
        <v>21</v>
      </c>
    </row>
    <row r="24" spans="2:13" s="746" customFormat="1">
      <c r="B24" s="447" t="s">
        <v>25</v>
      </c>
      <c r="C24" s="17" t="s">
        <v>22</v>
      </c>
      <c r="D24" s="120">
        <v>5050</v>
      </c>
      <c r="E24" s="120">
        <f t="shared" ref="E24:E36" si="1">D24*$D$2</f>
        <v>11434.210000000001</v>
      </c>
      <c r="F24" s="17"/>
      <c r="G24" s="740">
        <v>42255</v>
      </c>
      <c r="H24" s="18">
        <f>+G24+30</f>
        <v>42285</v>
      </c>
      <c r="I24" s="734"/>
      <c r="J24" s="753"/>
    </row>
    <row r="25" spans="2:13" s="746" customFormat="1">
      <c r="B25" s="102" t="s">
        <v>25</v>
      </c>
      <c r="C25" s="103" t="s">
        <v>22</v>
      </c>
      <c r="D25" s="106">
        <v>424.76</v>
      </c>
      <c r="E25" s="106">
        <f t="shared" si="1"/>
        <v>961.74159200000008</v>
      </c>
      <c r="F25" s="103"/>
      <c r="G25" s="736">
        <v>42276</v>
      </c>
      <c r="H25" s="104">
        <f>+G25+30</f>
        <v>42306</v>
      </c>
      <c r="I25" s="735"/>
      <c r="J25" s="748"/>
    </row>
    <row r="26" spans="2:13" s="746" customFormat="1">
      <c r="B26" s="102" t="s">
        <v>825</v>
      </c>
      <c r="C26" s="103" t="s">
        <v>22</v>
      </c>
      <c r="D26" s="106">
        <v>17086.75</v>
      </c>
      <c r="E26" s="106">
        <f t="shared" si="1"/>
        <v>38687.819350000005</v>
      </c>
      <c r="F26" s="103"/>
      <c r="G26" s="736">
        <v>42271</v>
      </c>
      <c r="H26" s="104">
        <f>+G26+60</f>
        <v>42331</v>
      </c>
      <c r="I26" s="735"/>
      <c r="J26" s="748"/>
    </row>
    <row r="27" spans="2:13" s="746" customFormat="1">
      <c r="B27" s="102" t="s">
        <v>834</v>
      </c>
      <c r="C27" s="103" t="s">
        <v>22</v>
      </c>
      <c r="D27" s="106">
        <v>8429.8700000000008</v>
      </c>
      <c r="E27" s="106">
        <f t="shared" si="1"/>
        <v>19086.911654000003</v>
      </c>
      <c r="F27" s="103"/>
      <c r="G27" s="736">
        <v>42277</v>
      </c>
      <c r="H27" s="104">
        <f>+G27+60</f>
        <v>42337</v>
      </c>
      <c r="I27" s="735"/>
      <c r="J27" s="748"/>
    </row>
    <row r="28" spans="2:13" s="746" customFormat="1">
      <c r="B28" s="102" t="s">
        <v>833</v>
      </c>
      <c r="C28" s="103" t="s">
        <v>22</v>
      </c>
      <c r="D28" s="106">
        <v>13362.76</v>
      </c>
      <c r="E28" s="106">
        <f t="shared" si="1"/>
        <v>30255.961192000002</v>
      </c>
      <c r="F28" s="103"/>
      <c r="G28" s="736">
        <v>42277</v>
      </c>
      <c r="H28" s="104">
        <f>+G28+60</f>
        <v>42337</v>
      </c>
      <c r="I28" s="735"/>
      <c r="J28" s="748"/>
    </row>
    <row r="29" spans="2:13" s="746" customFormat="1">
      <c r="B29" s="102" t="s">
        <v>25</v>
      </c>
      <c r="C29" s="103" t="s">
        <v>22</v>
      </c>
      <c r="D29" s="106">
        <v>3804.36</v>
      </c>
      <c r="E29" s="106">
        <f t="shared" si="1"/>
        <v>8613.8319120000015</v>
      </c>
      <c r="F29" s="103"/>
      <c r="G29" s="736">
        <v>42307</v>
      </c>
      <c r="H29" s="104">
        <f>+G29+30</f>
        <v>42337</v>
      </c>
      <c r="I29" s="735"/>
      <c r="J29" s="748"/>
    </row>
    <row r="30" spans="2:13" s="746" customFormat="1">
      <c r="B30" s="102" t="s">
        <v>1076</v>
      </c>
      <c r="C30" s="103" t="s">
        <v>22</v>
      </c>
      <c r="D30" s="106">
        <v>10715.91</v>
      </c>
      <c r="E30" s="106">
        <f t="shared" si="1"/>
        <v>24262.963422000001</v>
      </c>
      <c r="F30" s="103"/>
      <c r="G30" s="736">
        <v>42282</v>
      </c>
      <c r="H30" s="104">
        <f>+G30+60</f>
        <v>42342</v>
      </c>
      <c r="I30" s="735"/>
      <c r="J30" s="748"/>
    </row>
    <row r="31" spans="2:13" s="746" customFormat="1">
      <c r="B31" s="102" t="s">
        <v>1074</v>
      </c>
      <c r="C31" s="103" t="s">
        <v>22</v>
      </c>
      <c r="D31" s="106">
        <v>14153.93</v>
      </c>
      <c r="E31" s="106">
        <f t="shared" si="1"/>
        <v>32047.328306000003</v>
      </c>
      <c r="F31" s="103"/>
      <c r="G31" s="736">
        <v>42283</v>
      </c>
      <c r="H31" s="104">
        <f>+G31+60</f>
        <v>42343</v>
      </c>
      <c r="I31" s="735"/>
      <c r="J31" s="748"/>
    </row>
    <row r="32" spans="2:13" s="746" customFormat="1">
      <c r="B32" s="102" t="s">
        <v>1073</v>
      </c>
      <c r="C32" s="103" t="s">
        <v>22</v>
      </c>
      <c r="D32" s="106">
        <v>11743.23</v>
      </c>
      <c r="E32" s="106">
        <f t="shared" si="1"/>
        <v>26589.021366000001</v>
      </c>
      <c r="F32" s="103"/>
      <c r="G32" s="736">
        <v>42286</v>
      </c>
      <c r="H32" s="104">
        <f>+G32+60</f>
        <v>42346</v>
      </c>
      <c r="I32" s="735"/>
      <c r="J32" s="748"/>
    </row>
    <row r="33" spans="2:10" s="746" customFormat="1">
      <c r="B33" s="102" t="s">
        <v>1075</v>
      </c>
      <c r="C33" s="103" t="s">
        <v>22</v>
      </c>
      <c r="D33" s="106">
        <v>12744.55</v>
      </c>
      <c r="E33" s="106">
        <f t="shared" si="1"/>
        <v>28856.21011</v>
      </c>
      <c r="F33" s="103"/>
      <c r="G33" s="736">
        <v>42289</v>
      </c>
      <c r="H33" s="104">
        <f>+G33+60</f>
        <v>42349</v>
      </c>
      <c r="I33" s="735"/>
      <c r="J33" s="748"/>
    </row>
    <row r="34" spans="2:10" s="746" customFormat="1">
      <c r="B34" s="102" t="s">
        <v>263</v>
      </c>
      <c r="C34" s="103" t="s">
        <v>22</v>
      </c>
      <c r="D34" s="106">
        <v>9566.5</v>
      </c>
      <c r="E34" s="106">
        <f t="shared" si="1"/>
        <v>21660.469300000001</v>
      </c>
      <c r="F34" s="103"/>
      <c r="G34" s="736">
        <v>42325</v>
      </c>
      <c r="H34" s="104">
        <f>+G34+30</f>
        <v>42355</v>
      </c>
      <c r="I34" s="735"/>
      <c r="J34" s="748"/>
    </row>
    <row r="35" spans="2:10" s="746" customFormat="1">
      <c r="B35" s="102" t="s">
        <v>1087</v>
      </c>
      <c r="C35" s="103" t="s">
        <v>22</v>
      </c>
      <c r="D35" s="106">
        <v>14006.16</v>
      </c>
      <c r="E35" s="106">
        <f t="shared" si="1"/>
        <v>31712.747472000003</v>
      </c>
      <c r="F35" s="103"/>
      <c r="G35" s="736">
        <v>42296</v>
      </c>
      <c r="H35" s="104">
        <f>+G35+60</f>
        <v>42356</v>
      </c>
      <c r="I35" s="735"/>
      <c r="J35" s="748"/>
    </row>
    <row r="36" spans="2:10" s="746" customFormat="1">
      <c r="B36" s="102" t="s">
        <v>25</v>
      </c>
      <c r="C36" s="103" t="s">
        <v>22</v>
      </c>
      <c r="D36" s="106">
        <v>10139.459999999999</v>
      </c>
      <c r="E36" s="106">
        <f t="shared" si="1"/>
        <v>22957.765331999999</v>
      </c>
      <c r="F36" s="103"/>
      <c r="G36" s="736">
        <v>42327</v>
      </c>
      <c r="H36" s="104">
        <f>+G36+30</f>
        <v>42357</v>
      </c>
      <c r="I36" s="735"/>
      <c r="J36" s="748"/>
    </row>
    <row r="37" spans="2:10" s="746" customFormat="1">
      <c r="B37" s="102" t="s">
        <v>1114</v>
      </c>
      <c r="C37" s="103" t="s">
        <v>1115</v>
      </c>
      <c r="D37" s="106">
        <v>3828</v>
      </c>
      <c r="E37" s="106">
        <f>D37*$D$4</f>
        <v>11092.0128</v>
      </c>
      <c r="F37" s="103"/>
      <c r="G37" s="736">
        <v>42298</v>
      </c>
      <c r="H37" s="104">
        <f>+G37+60</f>
        <v>42358</v>
      </c>
      <c r="I37" s="735"/>
      <c r="J37" s="748"/>
    </row>
    <row r="38" spans="2:10" s="746" customFormat="1">
      <c r="B38" s="102" t="s">
        <v>1088</v>
      </c>
      <c r="C38" s="103" t="s">
        <v>22</v>
      </c>
      <c r="D38" s="106">
        <v>10972.56</v>
      </c>
      <c r="E38" s="106">
        <f>D38*$D$2</f>
        <v>24844.070352000002</v>
      </c>
      <c r="F38" s="103"/>
      <c r="G38" s="736">
        <v>42299</v>
      </c>
      <c r="H38" s="104">
        <f>+G38+60</f>
        <v>42359</v>
      </c>
      <c r="I38" s="735"/>
      <c r="J38" s="748"/>
    </row>
    <row r="39" spans="2:10" s="746" customFormat="1">
      <c r="B39" s="102" t="s">
        <v>1108</v>
      </c>
      <c r="C39" s="103" t="s">
        <v>22</v>
      </c>
      <c r="D39" s="106">
        <v>13505.83</v>
      </c>
      <c r="E39" s="106">
        <f>D39*$D$2</f>
        <v>30579.900286000004</v>
      </c>
      <c r="F39" s="103"/>
      <c r="G39" s="736">
        <v>42311</v>
      </c>
      <c r="H39" s="104">
        <f>+G39+60</f>
        <v>42371</v>
      </c>
      <c r="I39" s="735"/>
      <c r="J39" s="748"/>
    </row>
    <row r="40" spans="2:10" s="746" customFormat="1">
      <c r="B40" s="102" t="s">
        <v>25</v>
      </c>
      <c r="C40" s="103" t="s">
        <v>22</v>
      </c>
      <c r="D40" s="106">
        <v>1109.6099999999999</v>
      </c>
      <c r="E40" s="106">
        <f>+D40*$D$2</f>
        <v>2512.3789620000002</v>
      </c>
      <c r="F40" s="103"/>
      <c r="G40" s="736">
        <v>42347</v>
      </c>
      <c r="H40" s="104">
        <f>+G40+30</f>
        <v>42377</v>
      </c>
      <c r="I40" s="735"/>
      <c r="J40" s="748"/>
    </row>
    <row r="41" spans="2:10" s="746" customFormat="1">
      <c r="B41" s="102" t="s">
        <v>1119</v>
      </c>
      <c r="C41" s="103" t="s">
        <v>22</v>
      </c>
      <c r="D41" s="106">
        <v>11667.11</v>
      </c>
      <c r="E41" s="106">
        <f t="shared" ref="E41:E49" si="2">D41*$D$2</f>
        <v>26416.670462000006</v>
      </c>
      <c r="F41" s="103"/>
      <c r="G41" s="736">
        <v>42321</v>
      </c>
      <c r="H41" s="104">
        <f t="shared" ref="H41:H48" si="3">+G41+60</f>
        <v>42381</v>
      </c>
      <c r="I41" s="735"/>
      <c r="J41" s="748"/>
    </row>
    <row r="42" spans="2:10" s="746" customFormat="1">
      <c r="B42" s="102" t="s">
        <v>1120</v>
      </c>
      <c r="C42" s="103" t="s">
        <v>22</v>
      </c>
      <c r="D42" s="106">
        <v>11948.79</v>
      </c>
      <c r="E42" s="106">
        <f t="shared" si="2"/>
        <v>27054.450318000003</v>
      </c>
      <c r="F42" s="103"/>
      <c r="G42" s="736">
        <v>42325</v>
      </c>
      <c r="H42" s="104">
        <f t="shared" si="3"/>
        <v>42385</v>
      </c>
      <c r="I42" s="735"/>
      <c r="J42" s="748"/>
    </row>
    <row r="43" spans="2:10" s="746" customFormat="1">
      <c r="B43" s="102" t="s">
        <v>1117</v>
      </c>
      <c r="C43" s="103" t="s">
        <v>22</v>
      </c>
      <c r="D43" s="106">
        <v>9755.3700000000008</v>
      </c>
      <c r="E43" s="106">
        <f t="shared" si="2"/>
        <v>22088.108754000004</v>
      </c>
      <c r="F43" s="103"/>
      <c r="G43" s="736">
        <v>42326</v>
      </c>
      <c r="H43" s="104">
        <f t="shared" si="3"/>
        <v>42386</v>
      </c>
      <c r="I43" s="735"/>
      <c r="J43" s="748"/>
    </row>
    <row r="44" spans="2:10" s="746" customFormat="1">
      <c r="B44" s="102" t="s">
        <v>1118</v>
      </c>
      <c r="C44" s="103" t="s">
        <v>22</v>
      </c>
      <c r="D44" s="106">
        <v>14117.24</v>
      </c>
      <c r="E44" s="106">
        <f t="shared" si="2"/>
        <v>31964.254808000002</v>
      </c>
      <c r="F44" s="103"/>
      <c r="G44" s="736">
        <v>42326</v>
      </c>
      <c r="H44" s="104">
        <f t="shared" si="3"/>
        <v>42386</v>
      </c>
      <c r="I44" s="735"/>
      <c r="J44" s="748"/>
    </row>
    <row r="45" spans="2:10" s="746" customFormat="1">
      <c r="B45" s="102" t="s">
        <v>1116</v>
      </c>
      <c r="C45" s="103" t="s">
        <v>22</v>
      </c>
      <c r="D45" s="106">
        <v>22432.16</v>
      </c>
      <c r="E45" s="106">
        <f t="shared" si="2"/>
        <v>50790.896672000003</v>
      </c>
      <c r="F45" s="103"/>
      <c r="G45" s="736">
        <v>42327</v>
      </c>
      <c r="H45" s="104">
        <f t="shared" si="3"/>
        <v>42387</v>
      </c>
      <c r="I45" s="735"/>
      <c r="J45" s="748"/>
    </row>
    <row r="46" spans="2:10" s="746" customFormat="1">
      <c r="B46" s="102" t="s">
        <v>1113</v>
      </c>
      <c r="C46" s="103" t="s">
        <v>22</v>
      </c>
      <c r="D46" s="106">
        <v>14674.67</v>
      </c>
      <c r="E46" s="106">
        <f t="shared" si="2"/>
        <v>33226.387814000002</v>
      </c>
      <c r="F46" s="103"/>
      <c r="G46" s="736">
        <v>42328</v>
      </c>
      <c r="H46" s="104">
        <f t="shared" si="3"/>
        <v>42388</v>
      </c>
      <c r="I46" s="735"/>
      <c r="J46" s="748"/>
    </row>
    <row r="47" spans="2:10" s="746" customFormat="1">
      <c r="B47" s="102" t="s">
        <v>1122</v>
      </c>
      <c r="C47" s="103" t="s">
        <v>22</v>
      </c>
      <c r="D47" s="106">
        <v>9545.5300000000007</v>
      </c>
      <c r="E47" s="106">
        <f t="shared" si="2"/>
        <v>21612.989026000003</v>
      </c>
      <c r="F47" s="103"/>
      <c r="G47" s="736">
        <v>42333</v>
      </c>
      <c r="H47" s="104">
        <f t="shared" si="3"/>
        <v>42393</v>
      </c>
      <c r="I47" s="735"/>
      <c r="J47" s="748"/>
    </row>
    <row r="48" spans="2:10" s="746" customFormat="1">
      <c r="B48" s="102" t="s">
        <v>1121</v>
      </c>
      <c r="C48" s="103" t="s">
        <v>22</v>
      </c>
      <c r="D48" s="106">
        <v>9304</v>
      </c>
      <c r="E48" s="106">
        <f t="shared" si="2"/>
        <v>21066.116800000003</v>
      </c>
      <c r="F48" s="103"/>
      <c r="G48" s="736">
        <v>42335</v>
      </c>
      <c r="H48" s="104">
        <f t="shared" si="3"/>
        <v>42395</v>
      </c>
      <c r="I48" s="735"/>
      <c r="J48" s="748"/>
    </row>
    <row r="49" spans="2:14" s="746" customFormat="1">
      <c r="B49" s="102" t="s">
        <v>1107</v>
      </c>
      <c r="C49" s="103" t="s">
        <v>22</v>
      </c>
      <c r="D49" s="106">
        <v>33086.47</v>
      </c>
      <c r="E49" s="106">
        <f t="shared" si="2"/>
        <v>74914.385374000005</v>
      </c>
      <c r="F49" s="103"/>
      <c r="G49" s="736">
        <v>42306</v>
      </c>
      <c r="H49" s="104">
        <f>+G49+90</f>
        <v>42396</v>
      </c>
      <c r="I49" s="735"/>
      <c r="J49" s="748"/>
    </row>
    <row r="50" spans="2:14" s="746" customFormat="1">
      <c r="B50" s="102" t="s">
        <v>1132</v>
      </c>
      <c r="C50" s="103" t="s">
        <v>22</v>
      </c>
      <c r="D50" s="106">
        <v>10276.91</v>
      </c>
      <c r="E50" s="106">
        <f>+D50*$D$2</f>
        <v>23268.979622000003</v>
      </c>
      <c r="F50" s="103"/>
      <c r="G50" s="736">
        <v>42342</v>
      </c>
      <c r="H50" s="104">
        <f>+G50+60</f>
        <v>42402</v>
      </c>
      <c r="I50" s="735"/>
      <c r="J50" s="748"/>
    </row>
    <row r="51" spans="2:14" s="746" customFormat="1">
      <c r="B51" s="102" t="s">
        <v>253</v>
      </c>
      <c r="C51" s="103" t="s">
        <v>22</v>
      </c>
      <c r="D51" s="106">
        <f>8602.34+660</f>
        <v>9262.34</v>
      </c>
      <c r="E51" s="106">
        <f>D51*$D$2</f>
        <v>20971.790228000002</v>
      </c>
      <c r="F51" s="103"/>
      <c r="G51" s="736">
        <v>42314</v>
      </c>
      <c r="H51" s="104">
        <f>+G51+90</f>
        <v>42404</v>
      </c>
      <c r="I51" s="735"/>
      <c r="J51" s="748"/>
    </row>
    <row r="52" spans="2:14" s="746" customFormat="1">
      <c r="B52" s="102"/>
      <c r="C52" s="103"/>
      <c r="D52" s="106"/>
      <c r="E52" s="106"/>
      <c r="F52" s="103"/>
      <c r="G52" s="736"/>
      <c r="H52" s="104"/>
      <c r="I52" s="735"/>
      <c r="J52" s="748"/>
    </row>
    <row r="53" spans="2:14" s="746" customFormat="1">
      <c r="B53" s="102"/>
      <c r="C53" s="103"/>
      <c r="D53" s="106"/>
      <c r="E53" s="106"/>
      <c r="F53" s="103"/>
      <c r="G53" s="736"/>
      <c r="H53" s="104"/>
      <c r="I53" s="735"/>
      <c r="J53" s="748"/>
    </row>
    <row r="54" spans="2:14" s="746" customFormat="1">
      <c r="B54" s="102"/>
      <c r="C54" s="103"/>
      <c r="D54" s="106"/>
      <c r="E54" s="106"/>
      <c r="F54" s="103"/>
      <c r="G54" s="736"/>
      <c r="H54" s="104"/>
      <c r="I54" s="735"/>
      <c r="J54" s="748"/>
    </row>
    <row r="55" spans="2:14" ht="12.75" thickBot="1">
      <c r="B55" s="19"/>
      <c r="C55" s="20"/>
      <c r="D55" s="28"/>
      <c r="E55" s="28"/>
      <c r="F55" s="20"/>
      <c r="G55" s="741"/>
      <c r="H55" s="21"/>
      <c r="I55" s="738"/>
      <c r="J55" s="754"/>
      <c r="N55" s="746"/>
    </row>
    <row r="56" spans="2:14">
      <c r="N56" s="746"/>
    </row>
    <row r="57" spans="2:14">
      <c r="B57" s="995" t="s">
        <v>26</v>
      </c>
      <c r="C57" s="995"/>
      <c r="D57" s="750">
        <f>SUM(D24:D36)+D38</f>
        <v>142200.79999999999</v>
      </c>
      <c r="E57" s="750">
        <f>SUM(E24:E36)+E38</f>
        <v>321971.05136000004</v>
      </c>
    </row>
    <row r="58" spans="2:14">
      <c r="B58" s="10"/>
      <c r="C58" s="11"/>
      <c r="D58" s="755"/>
      <c r="E58" s="755"/>
    </row>
    <row r="59" spans="2:14">
      <c r="B59" s="995" t="s">
        <v>197</v>
      </c>
      <c r="C59" s="995"/>
      <c r="D59" s="750">
        <v>0</v>
      </c>
      <c r="E59" s="750">
        <v>1</v>
      </c>
    </row>
    <row r="60" spans="2:14">
      <c r="B60" s="10"/>
      <c r="C60" s="11"/>
      <c r="D60" s="755"/>
      <c r="E60" s="755"/>
    </row>
    <row r="61" spans="2:14">
      <c r="B61" s="995" t="s">
        <v>27</v>
      </c>
      <c r="C61" s="995"/>
      <c r="D61" s="750">
        <f>+D37</f>
        <v>3828</v>
      </c>
      <c r="E61" s="750">
        <f>+E37</f>
        <v>11092.0128</v>
      </c>
    </row>
    <row r="62" spans="2:14" s="745" customFormat="1">
      <c r="B62" s="756"/>
      <c r="C62" s="756"/>
    </row>
    <row r="65" spans="8:8">
      <c r="H65" s="743" t="s">
        <v>29</v>
      </c>
    </row>
  </sheetData>
  <sortState ref="B24:J51">
    <sortCondition ref="H24:H51"/>
  </sortState>
  <mergeCells count="8">
    <mergeCell ref="B57:C57"/>
    <mergeCell ref="B61:C61"/>
    <mergeCell ref="B59:C59"/>
    <mergeCell ref="B5:J5"/>
    <mergeCell ref="B22:J22"/>
    <mergeCell ref="B16:C16"/>
    <mergeCell ref="B18:C18"/>
    <mergeCell ref="B20:C20"/>
  </mergeCells>
  <pageMargins left="0" right="0" top="0" bottom="0" header="0" footer="0"/>
  <pageSetup paperSize="9" orientation="portrait" horizontalDpi="180" verticalDpi="180" r:id="rId1"/>
  <ignoredErrors>
    <ignoredError sqref="E7 H9 E37:E52 H29:H53" formula="1"/>
    <ignoredError sqref="D16:E16" formulaRange="1"/>
  </ignoredErrors>
</worksheet>
</file>

<file path=xl/worksheets/sheet3.xml><?xml version="1.0" encoding="utf-8"?>
<worksheet xmlns="http://schemas.openxmlformats.org/spreadsheetml/2006/main" xmlns:r="http://schemas.openxmlformats.org/officeDocument/2006/relationships">
  <sheetPr codeName="Feuil3">
    <pageSetUpPr fitToPage="1"/>
  </sheetPr>
  <dimension ref="A3:K28"/>
  <sheetViews>
    <sheetView workbookViewId="0">
      <selection activeCell="I21" sqref="I21"/>
    </sheetView>
  </sheetViews>
  <sheetFormatPr baseColWidth="10" defaultRowHeight="15"/>
  <cols>
    <col min="1" max="1" width="10.5703125" bestFit="1" customWidth="1"/>
    <col min="2" max="2" width="12.5703125" bestFit="1" customWidth="1"/>
    <col min="3" max="3" width="17.85546875" bestFit="1" customWidth="1"/>
    <col min="4" max="4" width="11.5703125" bestFit="1" customWidth="1"/>
    <col min="5" max="5" width="17.42578125" bestFit="1" customWidth="1"/>
    <col min="6" max="7" width="10.7109375" bestFit="1" customWidth="1"/>
    <col min="8" max="8" width="43.28515625" bestFit="1" customWidth="1"/>
  </cols>
  <sheetData>
    <row r="3" spans="1:11" ht="18.75">
      <c r="A3" s="998" t="s">
        <v>31</v>
      </c>
      <c r="B3" s="998"/>
      <c r="C3" s="998"/>
      <c r="D3" s="998"/>
      <c r="E3" s="998"/>
      <c r="F3" s="998"/>
      <c r="G3" s="998"/>
      <c r="H3" s="998"/>
    </row>
    <row r="4" spans="1:11" ht="15.75">
      <c r="A4" s="999" t="s">
        <v>1111</v>
      </c>
      <c r="B4" s="999"/>
      <c r="C4" s="999"/>
      <c r="D4" s="999"/>
      <c r="E4" s="999"/>
      <c r="F4" s="999"/>
      <c r="G4" s="999"/>
      <c r="H4" s="999"/>
    </row>
    <row r="5" spans="1:11" ht="15.75" thickBot="1"/>
    <row r="6" spans="1:11" ht="15.75" thickBot="1">
      <c r="B6" s="22" t="s">
        <v>32</v>
      </c>
      <c r="C6" s="23" t="s">
        <v>33</v>
      </c>
      <c r="D6" s="24" t="s">
        <v>34</v>
      </c>
      <c r="E6" s="25" t="s">
        <v>35</v>
      </c>
      <c r="F6" s="26" t="s">
        <v>36</v>
      </c>
      <c r="G6" s="26" t="s">
        <v>5</v>
      </c>
      <c r="H6" s="27" t="s">
        <v>37</v>
      </c>
    </row>
    <row r="7" spans="1:11" s="8" customFormat="1" ht="15.75" thickBot="1">
      <c r="A7" s="263" t="s">
        <v>38</v>
      </c>
      <c r="B7" s="786" t="s">
        <v>588</v>
      </c>
      <c r="C7" s="798">
        <v>182008.97</v>
      </c>
      <c r="D7" s="800">
        <v>2.1682000000000001</v>
      </c>
      <c r="E7" s="801">
        <f>C7*D7</f>
        <v>394631.84875400004</v>
      </c>
      <c r="F7" s="792">
        <v>42195</v>
      </c>
      <c r="G7" s="799">
        <v>42377</v>
      </c>
      <c r="H7" s="264" t="s">
        <v>654</v>
      </c>
    </row>
    <row r="8" spans="1:11" ht="15.75" thickBot="1">
      <c r="A8" s="1000" t="s">
        <v>39</v>
      </c>
      <c r="B8" s="1001"/>
      <c r="C8" s="1001"/>
      <c r="D8" s="1002"/>
      <c r="E8" s="673">
        <f>SUM(E7)</f>
        <v>394631.84875400004</v>
      </c>
      <c r="G8" s="5"/>
    </row>
    <row r="9" spans="1:11" ht="15.75" thickBot="1">
      <c r="C9" s="29"/>
    </row>
    <row r="10" spans="1:11" s="8" customFormat="1" ht="15.75" thickBot="1">
      <c r="A10" s="1003" t="s">
        <v>40</v>
      </c>
      <c r="B10" s="786" t="s">
        <v>261</v>
      </c>
      <c r="C10" s="787">
        <v>218620.36</v>
      </c>
      <c r="D10" s="788">
        <v>1.9417500000000001</v>
      </c>
      <c r="E10" s="789">
        <f>+C10*D10</f>
        <v>424506.08402999997</v>
      </c>
      <c r="F10" s="792">
        <v>42146</v>
      </c>
      <c r="G10" s="791">
        <v>42422</v>
      </c>
      <c r="H10" s="264" t="s">
        <v>1110</v>
      </c>
      <c r="I10" s="7"/>
      <c r="K10" s="7"/>
    </row>
    <row r="11" spans="1:11" s="8" customFormat="1" ht="15.75" thickBot="1">
      <c r="A11" s="1004"/>
      <c r="B11" s="786" t="s">
        <v>261</v>
      </c>
      <c r="C11" s="787">
        <v>198288.47</v>
      </c>
      <c r="D11" s="788">
        <v>1.9519500000000001</v>
      </c>
      <c r="E11" s="789">
        <f>+C11*D11</f>
        <v>387049.17901650001</v>
      </c>
      <c r="F11" s="793">
        <v>42278</v>
      </c>
      <c r="G11" s="790">
        <v>42373</v>
      </c>
      <c r="H11" s="264" t="s">
        <v>234</v>
      </c>
      <c r="I11" s="7"/>
    </row>
    <row r="12" spans="1:11" s="8" customFormat="1" ht="15.75" thickBot="1">
      <c r="A12" s="1005"/>
      <c r="B12" s="786" t="s">
        <v>588</v>
      </c>
      <c r="C12" s="798">
        <v>192534.97</v>
      </c>
      <c r="D12" s="788">
        <v>2.1875499999999999</v>
      </c>
      <c r="E12" s="789">
        <f>C12*D12</f>
        <v>421179.8736235</v>
      </c>
      <c r="F12" s="792">
        <v>42326</v>
      </c>
      <c r="G12" s="799">
        <v>42418</v>
      </c>
      <c r="H12" s="264" t="s">
        <v>234</v>
      </c>
      <c r="I12" s="7"/>
    </row>
    <row r="13" spans="1:11" ht="15.75" thickBot="1">
      <c r="A13" s="1000" t="s">
        <v>39</v>
      </c>
      <c r="B13" s="1001"/>
      <c r="C13" s="1001"/>
      <c r="D13" s="1002"/>
      <c r="E13" s="785">
        <f>SUM(E10:E12)</f>
        <v>1232735.1366699999</v>
      </c>
      <c r="G13" s="5"/>
    </row>
    <row r="14" spans="1:11">
      <c r="G14" s="5"/>
    </row>
    <row r="15" spans="1:11">
      <c r="B15" s="29"/>
      <c r="C15" s="29"/>
      <c r="E15" s="9"/>
      <c r="G15" s="5"/>
    </row>
    <row r="16" spans="1:11">
      <c r="C16" s="16"/>
      <c r="D16" s="16"/>
      <c r="G16" s="5"/>
    </row>
    <row r="17" spans="2:8">
      <c r="B17" s="9"/>
      <c r="C17" s="9"/>
      <c r="D17" s="16"/>
      <c r="E17" s="16"/>
      <c r="G17" s="5"/>
    </row>
    <row r="18" spans="2:8">
      <c r="C18" s="9"/>
      <c r="F18" s="30"/>
      <c r="G18" s="30"/>
      <c r="H18" s="30"/>
    </row>
    <row r="19" spans="2:8">
      <c r="C19" s="16"/>
      <c r="E19" s="30"/>
      <c r="F19" s="30"/>
      <c r="G19" s="30"/>
      <c r="H19" s="30"/>
    </row>
    <row r="22" spans="2:8">
      <c r="C22" s="9"/>
    </row>
    <row r="23" spans="2:8">
      <c r="C23" s="9"/>
      <c r="F23" s="5"/>
    </row>
    <row r="24" spans="2:8">
      <c r="C24" s="9"/>
      <c r="F24" s="5"/>
    </row>
    <row r="25" spans="2:8">
      <c r="C25" s="16"/>
      <c r="F25" s="5"/>
    </row>
    <row r="26" spans="2:8">
      <c r="F26" s="5"/>
    </row>
    <row r="27" spans="2:8">
      <c r="F27" s="5"/>
    </row>
    <row r="28" spans="2:8">
      <c r="F28" s="5"/>
    </row>
  </sheetData>
  <mergeCells count="5">
    <mergeCell ref="A3:H3"/>
    <mergeCell ref="A4:H4"/>
    <mergeCell ref="A8:D8"/>
    <mergeCell ref="A13:D13"/>
    <mergeCell ref="A10:A12"/>
  </mergeCells>
  <pageMargins left="0.70866141732283472" right="0.70866141732283472" top="0.74803149606299213" bottom="0.74803149606299213" header="0.31496062992125984" footer="0.31496062992125984"/>
  <pageSetup paperSize="9" scale="97" orientation="landscape" horizontalDpi="180" verticalDpi="180" r:id="rId1"/>
</worksheet>
</file>

<file path=xl/worksheets/sheet4.xml><?xml version="1.0" encoding="utf-8"?>
<worksheet xmlns="http://schemas.openxmlformats.org/spreadsheetml/2006/main" xmlns:r="http://schemas.openxmlformats.org/officeDocument/2006/relationships">
  <sheetPr codeName="Feuil4">
    <pageSetUpPr fitToPage="1"/>
  </sheetPr>
  <dimension ref="B1:L54"/>
  <sheetViews>
    <sheetView topLeftCell="A13" workbookViewId="0">
      <selection activeCell="J42" sqref="J42"/>
    </sheetView>
  </sheetViews>
  <sheetFormatPr baseColWidth="10" defaultColWidth="11.42578125" defaultRowHeight="14.25"/>
  <cols>
    <col min="1" max="1" width="11.42578125" style="459"/>
    <col min="2" max="2" width="16.28515625" style="459" bestFit="1" customWidth="1"/>
    <col min="3" max="3" width="12.140625" style="459" bestFit="1" customWidth="1"/>
    <col min="4" max="4" width="11.140625" style="33" bestFit="1" customWidth="1"/>
    <col min="5" max="5" width="9.42578125" style="33" bestFit="1" customWidth="1"/>
    <col min="6" max="6" width="11.140625" style="33" bestFit="1" customWidth="1"/>
    <col min="7" max="8" width="21.140625" style="458" customWidth="1"/>
    <col min="9" max="9" width="16.140625" style="458" bestFit="1" customWidth="1"/>
    <col min="10" max="12" width="14" style="459" bestFit="1" customWidth="1"/>
    <col min="13" max="13" width="3.140625" style="459" customWidth="1"/>
    <col min="14" max="14" width="11.85546875" style="459" bestFit="1" customWidth="1"/>
    <col min="15" max="15" width="9.140625" style="459" bestFit="1" customWidth="1"/>
    <col min="16" max="16" width="7.7109375" style="459" bestFit="1" customWidth="1"/>
    <col min="17" max="17" width="6.42578125" style="459" bestFit="1" customWidth="1"/>
    <col min="18" max="16384" width="11.42578125" style="459"/>
  </cols>
  <sheetData>
    <row r="1" spans="2:9">
      <c r="B1" s="1014" t="s">
        <v>41</v>
      </c>
      <c r="C1" s="1014"/>
      <c r="D1" s="1014"/>
      <c r="E1" s="1014"/>
      <c r="F1" s="1014"/>
    </row>
    <row r="2" spans="2:9">
      <c r="B2" s="1014" t="s">
        <v>406</v>
      </c>
      <c r="C2" s="1014"/>
      <c r="D2" s="1014"/>
      <c r="E2" s="1014"/>
      <c r="F2" s="1014"/>
    </row>
    <row r="3" spans="2:9" ht="15" thickBot="1">
      <c r="B3" s="460"/>
      <c r="C3" s="460"/>
      <c r="D3" s="32"/>
      <c r="E3" s="32"/>
      <c r="F3" s="32"/>
    </row>
    <row r="4" spans="2:9" s="484" customFormat="1" ht="15" thickBot="1">
      <c r="B4" s="140" t="s">
        <v>42</v>
      </c>
      <c r="C4" s="141" t="s">
        <v>5</v>
      </c>
      <c r="D4" s="480" t="s">
        <v>43</v>
      </c>
      <c r="E4" s="480" t="s">
        <v>44</v>
      </c>
      <c r="F4" s="481" t="s">
        <v>39</v>
      </c>
      <c r="G4" s="98" t="s">
        <v>45</v>
      </c>
      <c r="H4" s="99" t="s">
        <v>46</v>
      </c>
      <c r="I4" s="483"/>
    </row>
    <row r="5" spans="2:9" s="462" customFormat="1" ht="15" thickBot="1">
      <c r="B5" s="686" t="s">
        <v>47</v>
      </c>
      <c r="C5" s="687">
        <v>42185</v>
      </c>
      <c r="D5" s="688">
        <v>6228.5709999999999</v>
      </c>
      <c r="E5" s="688">
        <v>1228.067</v>
      </c>
      <c r="F5" s="689">
        <f>SUM(D5:E5)</f>
        <v>7456.6379999999999</v>
      </c>
      <c r="G5" s="690"/>
      <c r="H5" s="691"/>
      <c r="I5" s="461"/>
    </row>
    <row r="6" spans="2:9" s="462" customFormat="1" ht="15" thickBot="1">
      <c r="B6" s="1008" t="s">
        <v>411</v>
      </c>
      <c r="C6" s="1009"/>
      <c r="D6" s="142">
        <f>SUM(D5)</f>
        <v>6228.5709999999999</v>
      </c>
      <c r="E6" s="142">
        <f>SUM(E5)</f>
        <v>1228.067</v>
      </c>
      <c r="F6" s="143">
        <f>SUM(F5:F5)</f>
        <v>7456.6379999999999</v>
      </c>
      <c r="G6" s="1015"/>
      <c r="H6" s="1015"/>
      <c r="I6" s="461"/>
    </row>
    <row r="7" spans="2:9" s="462" customFormat="1" ht="15" thickBot="1">
      <c r="B7" s="478" t="s">
        <v>47</v>
      </c>
      <c r="C7" s="479">
        <v>42369</v>
      </c>
      <c r="D7" s="457">
        <v>6228.5709999999999</v>
      </c>
      <c r="E7" s="457">
        <v>1029.0119999999999</v>
      </c>
      <c r="F7" s="450">
        <f>SUM(D7:E7)</f>
        <v>7257.5829999999996</v>
      </c>
      <c r="G7" s="463"/>
      <c r="H7" s="464"/>
      <c r="I7" s="461"/>
    </row>
    <row r="8" spans="2:9" s="462" customFormat="1" ht="15" thickBot="1">
      <c r="B8" s="1008" t="s">
        <v>417</v>
      </c>
      <c r="C8" s="1009"/>
      <c r="D8" s="142">
        <f>SUM(D7)</f>
        <v>6228.5709999999999</v>
      </c>
      <c r="E8" s="142">
        <f>SUM(E7)</f>
        <v>1029.0119999999999</v>
      </c>
      <c r="F8" s="143">
        <f>SUM(F7:F7)</f>
        <v>7257.5829999999996</v>
      </c>
      <c r="G8" s="1016"/>
      <c r="H8" s="1017"/>
      <c r="I8" s="461"/>
    </row>
    <row r="9" spans="2:9" ht="15" thickBot="1">
      <c r="B9" s="465"/>
      <c r="C9" s="465"/>
      <c r="D9" s="144"/>
      <c r="E9" s="144"/>
      <c r="F9" s="144"/>
    </row>
    <row r="10" spans="2:9" ht="15.75" customHeight="1" thickBot="1">
      <c r="B10" s="1006" t="s">
        <v>163</v>
      </c>
      <c r="C10" s="1007"/>
      <c r="D10" s="35">
        <f>D8+D6</f>
        <v>12457.142</v>
      </c>
      <c r="E10" s="35">
        <f>E8+E6</f>
        <v>2257.0789999999997</v>
      </c>
      <c r="F10" s="145">
        <f>F8+F6</f>
        <v>14714.221</v>
      </c>
      <c r="G10" s="459"/>
      <c r="H10" s="459"/>
      <c r="I10" s="459"/>
    </row>
    <row r="11" spans="2:9" ht="15.75" customHeight="1">
      <c r="G11" s="459"/>
      <c r="H11" s="459"/>
      <c r="I11" s="459"/>
    </row>
    <row r="12" spans="2:9">
      <c r="B12" s="1014" t="s">
        <v>48</v>
      </c>
      <c r="C12" s="1014"/>
      <c r="D12" s="1014"/>
      <c r="E12" s="1014"/>
      <c r="F12" s="1014"/>
    </row>
    <row r="13" spans="2:9">
      <c r="B13" s="1014" t="s">
        <v>406</v>
      </c>
      <c r="C13" s="1014"/>
      <c r="D13" s="1014"/>
      <c r="E13" s="1014"/>
      <c r="F13" s="1014"/>
    </row>
    <row r="14" spans="2:9" ht="15" thickBot="1"/>
    <row r="15" spans="2:9" s="484" customFormat="1" ht="15" thickBot="1">
      <c r="B15" s="34" t="s">
        <v>42</v>
      </c>
      <c r="C15" s="31" t="s">
        <v>5</v>
      </c>
      <c r="D15" s="482" t="s">
        <v>43</v>
      </c>
      <c r="E15" s="482" t="s">
        <v>44</v>
      </c>
      <c r="F15" s="482" t="s">
        <v>39</v>
      </c>
      <c r="G15" s="100" t="s">
        <v>45</v>
      </c>
      <c r="H15" s="101" t="s">
        <v>46</v>
      </c>
      <c r="I15" s="483"/>
    </row>
    <row r="16" spans="2:9">
      <c r="B16" s="509" t="s">
        <v>54</v>
      </c>
      <c r="C16" s="510">
        <v>42004</v>
      </c>
      <c r="D16" s="511">
        <v>10714</v>
      </c>
      <c r="E16" s="511">
        <v>2406.3119999999999</v>
      </c>
      <c r="F16" s="512">
        <f>SUM(D16:E16)</f>
        <v>13120.312</v>
      </c>
      <c r="G16" s="517">
        <v>42053</v>
      </c>
      <c r="H16" s="518">
        <v>42053</v>
      </c>
    </row>
    <row r="17" spans="2:12" ht="15" thickBot="1">
      <c r="B17" s="485" t="s">
        <v>55</v>
      </c>
      <c r="C17" s="486">
        <v>42004</v>
      </c>
      <c r="D17" s="246">
        <v>71428.570999999996</v>
      </c>
      <c r="E17" s="246">
        <v>10236.825000000001</v>
      </c>
      <c r="F17" s="487">
        <f>SUM(D17:E17)</f>
        <v>81665.395999999993</v>
      </c>
      <c r="G17" s="488">
        <v>42017</v>
      </c>
      <c r="H17" s="489">
        <v>42017</v>
      </c>
    </row>
    <row r="18" spans="2:12" ht="15" thickBot="1">
      <c r="B18" s="1008" t="s">
        <v>164</v>
      </c>
      <c r="C18" s="1009"/>
      <c r="D18" s="142">
        <f>SUM(D16:D17)</f>
        <v>82142.570999999996</v>
      </c>
      <c r="E18" s="142">
        <f>SUM(E16:E17)</f>
        <v>12643.137000000001</v>
      </c>
      <c r="F18" s="143">
        <f>SUM(F16:F17)</f>
        <v>94785.707999999999</v>
      </c>
      <c r="G18" s="1012"/>
      <c r="H18" s="1013"/>
    </row>
    <row r="19" spans="2:12" s="462" customFormat="1">
      <c r="B19" s="509" t="s">
        <v>49</v>
      </c>
      <c r="C19" s="510">
        <v>42030</v>
      </c>
      <c r="D19" s="511">
        <v>172714.28599999999</v>
      </c>
      <c r="E19" s="511">
        <v>43696.714</v>
      </c>
      <c r="F19" s="512">
        <f>SUM(D19:E19)</f>
        <v>216411</v>
      </c>
      <c r="G19" s="513">
        <v>42045</v>
      </c>
      <c r="H19" s="514">
        <v>42045</v>
      </c>
      <c r="I19" s="461"/>
    </row>
    <row r="20" spans="2:12" s="462" customFormat="1" ht="15" thickBot="1">
      <c r="B20" s="485" t="s">
        <v>50</v>
      </c>
      <c r="C20" s="486">
        <v>42030</v>
      </c>
      <c r="D20" s="246">
        <v>106285.71400000001</v>
      </c>
      <c r="E20" s="246">
        <v>28112.571</v>
      </c>
      <c r="F20" s="487">
        <f t="shared" ref="F20:F52" si="0">SUM(D20:E20)</f>
        <v>134398.285</v>
      </c>
      <c r="G20" s="515">
        <v>42053</v>
      </c>
      <c r="H20" s="516">
        <v>42053</v>
      </c>
      <c r="I20" s="461"/>
    </row>
    <row r="21" spans="2:12" ht="15" thickBot="1">
      <c r="B21" s="1008" t="s">
        <v>407</v>
      </c>
      <c r="C21" s="1009"/>
      <c r="D21" s="142">
        <f>SUM(D19:D20)</f>
        <v>279000</v>
      </c>
      <c r="E21" s="142">
        <f>SUM(E19:E20)</f>
        <v>71809.285000000003</v>
      </c>
      <c r="F21" s="490">
        <f t="shared" si="0"/>
        <v>350809.28500000003</v>
      </c>
      <c r="G21" s="1010"/>
      <c r="H21" s="1011"/>
    </row>
    <row r="22" spans="2:12" s="462" customFormat="1">
      <c r="B22" s="677" t="s">
        <v>51</v>
      </c>
      <c r="C22" s="678">
        <v>42060</v>
      </c>
      <c r="D22" s="679">
        <v>28571.429</v>
      </c>
      <c r="E22" s="679">
        <v>6105</v>
      </c>
      <c r="F22" s="680">
        <f t="shared" si="0"/>
        <v>34676.429000000004</v>
      </c>
      <c r="G22" s="681"/>
      <c r="H22" s="682"/>
      <c r="I22" s="461"/>
    </row>
    <row r="23" spans="2:12" s="462" customFormat="1">
      <c r="B23" s="564" t="s">
        <v>52</v>
      </c>
      <c r="C23" s="565">
        <v>42063</v>
      </c>
      <c r="D23" s="566">
        <v>0</v>
      </c>
      <c r="E23" s="566">
        <v>3930</v>
      </c>
      <c r="F23" s="567">
        <f t="shared" si="0"/>
        <v>3930</v>
      </c>
      <c r="G23" s="568"/>
      <c r="H23" s="569">
        <v>42072</v>
      </c>
      <c r="I23" s="461"/>
    </row>
    <row r="24" spans="2:12" s="462" customFormat="1" ht="15" thickBot="1">
      <c r="B24" s="485" t="s">
        <v>53</v>
      </c>
      <c r="C24" s="486">
        <v>42063</v>
      </c>
      <c r="D24" s="246">
        <v>0</v>
      </c>
      <c r="E24" s="246">
        <v>975</v>
      </c>
      <c r="F24" s="487">
        <f t="shared" si="0"/>
        <v>975</v>
      </c>
      <c r="G24" s="515"/>
      <c r="H24" s="516">
        <v>42072</v>
      </c>
      <c r="I24" s="461"/>
    </row>
    <row r="25" spans="2:12" ht="15" thickBot="1">
      <c r="B25" s="1008" t="s">
        <v>408</v>
      </c>
      <c r="C25" s="1009"/>
      <c r="D25" s="142">
        <f>SUM(D22:D24)</f>
        <v>28571.429</v>
      </c>
      <c r="E25" s="142">
        <f>SUM(E22:E24)</f>
        <v>11010</v>
      </c>
      <c r="F25" s="490">
        <f t="shared" si="0"/>
        <v>39581.429000000004</v>
      </c>
      <c r="G25" s="1010"/>
      <c r="H25" s="1011"/>
    </row>
    <row r="26" spans="2:12" s="462" customFormat="1">
      <c r="B26" s="509" t="s">
        <v>54</v>
      </c>
      <c r="C26" s="510">
        <v>42094</v>
      </c>
      <c r="D26" s="511">
        <v>10714</v>
      </c>
      <c r="E26" s="511">
        <v>2172.9340000000002</v>
      </c>
      <c r="F26" s="512">
        <f t="shared" si="0"/>
        <v>12886.934000000001</v>
      </c>
      <c r="G26" s="513">
        <v>42208</v>
      </c>
      <c r="H26" s="514">
        <v>42208</v>
      </c>
      <c r="I26" s="461"/>
    </row>
    <row r="27" spans="2:12" s="462" customFormat="1" ht="15" thickBot="1">
      <c r="B27" s="485" t="s">
        <v>55</v>
      </c>
      <c r="C27" s="486">
        <v>42094</v>
      </c>
      <c r="D27" s="246">
        <v>0</v>
      </c>
      <c r="E27" s="246">
        <v>8762.5</v>
      </c>
      <c r="F27" s="487">
        <f t="shared" si="0"/>
        <v>8762.5</v>
      </c>
      <c r="G27" s="515"/>
      <c r="H27" s="516">
        <v>42095</v>
      </c>
      <c r="I27" s="461"/>
    </row>
    <row r="28" spans="2:12" ht="15" thickBot="1">
      <c r="B28" s="1008" t="s">
        <v>409</v>
      </c>
      <c r="C28" s="1009"/>
      <c r="D28" s="142">
        <f>SUM(D26:D27)</f>
        <v>10714</v>
      </c>
      <c r="E28" s="142">
        <f>SUM(E26:E27)</f>
        <v>10935.434000000001</v>
      </c>
      <c r="F28" s="490">
        <f t="shared" si="0"/>
        <v>21649.434000000001</v>
      </c>
      <c r="G28" s="1010"/>
      <c r="H28" s="1011"/>
      <c r="J28" s="656"/>
      <c r="K28" s="656"/>
      <c r="L28" s="656"/>
    </row>
    <row r="29" spans="2:12" s="462" customFormat="1">
      <c r="B29" s="509" t="s">
        <v>51</v>
      </c>
      <c r="C29" s="510">
        <v>42149</v>
      </c>
      <c r="D29" s="511">
        <v>28571.429</v>
      </c>
      <c r="E29" s="511">
        <v>5550</v>
      </c>
      <c r="F29" s="512">
        <f t="shared" si="0"/>
        <v>34121.429000000004</v>
      </c>
      <c r="G29" s="513">
        <v>42194</v>
      </c>
      <c r="H29" s="514"/>
      <c r="I29" s="461"/>
      <c r="J29" s="656"/>
      <c r="K29" s="656"/>
      <c r="L29" s="656"/>
    </row>
    <row r="30" spans="2:12" s="462" customFormat="1">
      <c r="B30" s="564" t="s">
        <v>52</v>
      </c>
      <c r="C30" s="565">
        <v>42155</v>
      </c>
      <c r="D30" s="566">
        <v>80000</v>
      </c>
      <c r="E30" s="566">
        <v>4017.3330000000001</v>
      </c>
      <c r="F30" s="567">
        <f t="shared" si="0"/>
        <v>84017.332999999999</v>
      </c>
      <c r="G30" s="568">
        <v>42167</v>
      </c>
      <c r="H30" s="569">
        <v>42167</v>
      </c>
      <c r="I30" s="461"/>
      <c r="J30" s="656"/>
      <c r="K30" s="656"/>
      <c r="L30" s="656"/>
    </row>
    <row r="31" spans="2:12" s="462" customFormat="1" ht="15" thickBot="1">
      <c r="B31" s="485" t="s">
        <v>53</v>
      </c>
      <c r="C31" s="486">
        <v>42155</v>
      </c>
      <c r="D31" s="246">
        <v>20000</v>
      </c>
      <c r="E31" s="246">
        <v>996.66700000000003</v>
      </c>
      <c r="F31" s="487">
        <f t="shared" si="0"/>
        <v>20996.667000000001</v>
      </c>
      <c r="G31" s="515">
        <v>42167</v>
      </c>
      <c r="H31" s="516">
        <v>42167</v>
      </c>
      <c r="I31" s="461"/>
      <c r="J31" s="656"/>
      <c r="K31" s="656"/>
      <c r="L31" s="656"/>
    </row>
    <row r="32" spans="2:12" ht="15" thickBot="1">
      <c r="B32" s="1008" t="s">
        <v>410</v>
      </c>
      <c r="C32" s="1009"/>
      <c r="D32" s="142">
        <f>SUM(D29:D31)</f>
        <v>128571.429</v>
      </c>
      <c r="E32" s="142">
        <f>SUM(E29:E31)</f>
        <v>10564</v>
      </c>
      <c r="F32" s="490">
        <f t="shared" si="0"/>
        <v>139135.429</v>
      </c>
      <c r="G32" s="1010"/>
      <c r="H32" s="1011"/>
      <c r="J32" s="656"/>
      <c r="K32" s="656"/>
      <c r="L32" s="656"/>
    </row>
    <row r="33" spans="2:12" s="462" customFormat="1">
      <c r="B33" s="509" t="s">
        <v>54</v>
      </c>
      <c r="C33" s="510">
        <v>42185</v>
      </c>
      <c r="D33" s="511">
        <v>10714</v>
      </c>
      <c r="E33" s="511">
        <v>2013.999</v>
      </c>
      <c r="F33" s="512">
        <f t="shared" si="0"/>
        <v>12727.999</v>
      </c>
      <c r="G33" s="513">
        <v>42208</v>
      </c>
      <c r="H33" s="514">
        <v>42208</v>
      </c>
      <c r="I33" s="461"/>
      <c r="J33" s="656"/>
      <c r="K33" s="656"/>
      <c r="L33" s="656"/>
    </row>
    <row r="34" spans="2:12" s="462" customFormat="1" ht="15" thickBot="1">
      <c r="B34" s="485" t="s">
        <v>55</v>
      </c>
      <c r="C34" s="486">
        <v>42185</v>
      </c>
      <c r="D34" s="246">
        <v>71428.570999999996</v>
      </c>
      <c r="E34" s="246">
        <v>8859.8610000000008</v>
      </c>
      <c r="F34" s="487">
        <f t="shared" si="0"/>
        <v>80288.432000000001</v>
      </c>
      <c r="G34" s="515">
        <v>42214</v>
      </c>
      <c r="H34" s="516">
        <v>42214</v>
      </c>
      <c r="I34" s="461"/>
      <c r="J34" s="656"/>
      <c r="K34" s="656"/>
      <c r="L34" s="656"/>
    </row>
    <row r="35" spans="2:12" ht="15" thickBot="1">
      <c r="B35" s="1008" t="s">
        <v>411</v>
      </c>
      <c r="C35" s="1009"/>
      <c r="D35" s="142">
        <f>SUM(D33:D34)</f>
        <v>82142.570999999996</v>
      </c>
      <c r="E35" s="142">
        <f>SUM(E33:E34)</f>
        <v>10873.86</v>
      </c>
      <c r="F35" s="490">
        <f t="shared" si="0"/>
        <v>93016.430999999997</v>
      </c>
      <c r="G35" s="1010"/>
      <c r="H35" s="1011"/>
      <c r="J35" s="656"/>
      <c r="K35" s="656"/>
      <c r="L35" s="656"/>
    </row>
    <row r="36" spans="2:12" s="462" customFormat="1">
      <c r="B36" s="509" t="s">
        <v>49</v>
      </c>
      <c r="C36" s="510">
        <v>42211</v>
      </c>
      <c r="D36" s="511">
        <v>172714.28599999999</v>
      </c>
      <c r="E36" s="511">
        <v>38208.237999999998</v>
      </c>
      <c r="F36" s="512">
        <f t="shared" si="0"/>
        <v>210922.52399999998</v>
      </c>
      <c r="G36" s="513">
        <v>42261</v>
      </c>
      <c r="H36" s="514">
        <v>42261</v>
      </c>
      <c r="I36" s="461"/>
      <c r="J36" s="656"/>
      <c r="K36" s="656"/>
      <c r="L36" s="656"/>
    </row>
    <row r="37" spans="2:12" s="462" customFormat="1" ht="15" thickBot="1">
      <c r="B37" s="485" t="s">
        <v>50</v>
      </c>
      <c r="C37" s="486">
        <v>42211</v>
      </c>
      <c r="D37" s="246">
        <v>106285.71400000001</v>
      </c>
      <c r="E37" s="246">
        <v>24581.524000000001</v>
      </c>
      <c r="F37" s="487">
        <f t="shared" si="0"/>
        <v>130867.23800000001</v>
      </c>
      <c r="G37" s="515">
        <v>42212</v>
      </c>
      <c r="H37" s="516">
        <v>42212</v>
      </c>
      <c r="I37" s="461"/>
      <c r="J37" s="459"/>
      <c r="K37" s="459"/>
      <c r="L37" s="459"/>
    </row>
    <row r="38" spans="2:12" ht="15" thickBot="1">
      <c r="B38" s="1008" t="s">
        <v>412</v>
      </c>
      <c r="C38" s="1009"/>
      <c r="D38" s="142">
        <f>SUM(D36:D37)</f>
        <v>279000</v>
      </c>
      <c r="E38" s="142">
        <f>SUM(E36:E37)</f>
        <v>62789.762000000002</v>
      </c>
      <c r="F38" s="490">
        <f t="shared" si="0"/>
        <v>341789.76199999999</v>
      </c>
      <c r="G38" s="1010"/>
      <c r="H38" s="1011"/>
    </row>
    <row r="39" spans="2:12" s="462" customFormat="1">
      <c r="B39" s="509" t="s">
        <v>51</v>
      </c>
      <c r="C39" s="510">
        <v>42241</v>
      </c>
      <c r="D39" s="511">
        <v>28571.429</v>
      </c>
      <c r="E39" s="511">
        <v>4995</v>
      </c>
      <c r="F39" s="512">
        <f t="shared" si="0"/>
        <v>33566.429000000004</v>
      </c>
      <c r="G39" s="513">
        <v>42241</v>
      </c>
      <c r="H39" s="514">
        <v>42241</v>
      </c>
      <c r="I39" s="461"/>
      <c r="J39" s="459"/>
      <c r="K39" s="459"/>
      <c r="L39" s="459"/>
    </row>
    <row r="40" spans="2:12" s="462" customFormat="1">
      <c r="B40" s="564" t="s">
        <v>52</v>
      </c>
      <c r="C40" s="565">
        <v>42247</v>
      </c>
      <c r="D40" s="566">
        <v>0</v>
      </c>
      <c r="E40" s="566">
        <v>2678.2220000000002</v>
      </c>
      <c r="F40" s="567">
        <f t="shared" si="0"/>
        <v>2678.2220000000002</v>
      </c>
      <c r="G40" s="568"/>
      <c r="H40" s="569">
        <v>42261</v>
      </c>
      <c r="I40" s="461"/>
      <c r="J40" s="459"/>
      <c r="K40" s="459"/>
      <c r="L40" s="459"/>
    </row>
    <row r="41" spans="2:12" s="462" customFormat="1" ht="15" thickBot="1">
      <c r="B41" s="485" t="s">
        <v>53</v>
      </c>
      <c r="C41" s="486">
        <v>42247</v>
      </c>
      <c r="D41" s="246">
        <v>0</v>
      </c>
      <c r="E41" s="246">
        <v>664.44399999999996</v>
      </c>
      <c r="F41" s="487">
        <f t="shared" si="0"/>
        <v>664.44399999999996</v>
      </c>
      <c r="G41" s="515"/>
      <c r="H41" s="516">
        <v>42261</v>
      </c>
      <c r="I41" s="461"/>
      <c r="J41" s="459"/>
      <c r="K41" s="459"/>
      <c r="L41" s="459"/>
    </row>
    <row r="42" spans="2:12" ht="15" thickBot="1">
      <c r="B42" s="1008" t="s">
        <v>413</v>
      </c>
      <c r="C42" s="1009"/>
      <c r="D42" s="142">
        <f>SUM(D39:D41)</f>
        <v>28571.429</v>
      </c>
      <c r="E42" s="142">
        <f>SUM(E39:E41)</f>
        <v>8337.6659999999993</v>
      </c>
      <c r="F42" s="490">
        <f t="shared" si="0"/>
        <v>36909.095000000001</v>
      </c>
      <c r="G42" s="1010"/>
      <c r="H42" s="1011"/>
    </row>
    <row r="43" spans="2:12" s="462" customFormat="1">
      <c r="B43" s="472" t="s">
        <v>54</v>
      </c>
      <c r="C43" s="473">
        <v>42277</v>
      </c>
      <c r="D43" s="139">
        <v>10714</v>
      </c>
      <c r="E43" s="139">
        <v>1851.0409999999999</v>
      </c>
      <c r="F43" s="451">
        <f t="shared" si="0"/>
        <v>12565.040999999999</v>
      </c>
      <c r="G43" s="455"/>
      <c r="H43" s="448"/>
      <c r="I43" s="461"/>
      <c r="J43" s="459"/>
      <c r="K43" s="459"/>
      <c r="L43" s="459"/>
    </row>
    <row r="44" spans="2:12" s="462" customFormat="1" ht="15" thickBot="1">
      <c r="B44" s="485" t="s">
        <v>55</v>
      </c>
      <c r="C44" s="486">
        <v>42277</v>
      </c>
      <c r="D44" s="246">
        <v>0</v>
      </c>
      <c r="E44" s="246">
        <v>7677.6189999999997</v>
      </c>
      <c r="F44" s="487">
        <f t="shared" si="0"/>
        <v>7677.6189999999997</v>
      </c>
      <c r="G44" s="515"/>
      <c r="H44" s="516">
        <v>42284</v>
      </c>
      <c r="I44" s="461"/>
      <c r="J44" s="459"/>
      <c r="K44" s="459"/>
      <c r="L44" s="459"/>
    </row>
    <row r="45" spans="2:12" ht="15" thickBot="1">
      <c r="B45" s="1008" t="s">
        <v>414</v>
      </c>
      <c r="C45" s="1009"/>
      <c r="D45" s="142">
        <f>SUM(D43:D44)</f>
        <v>10714</v>
      </c>
      <c r="E45" s="142">
        <f>SUM(E43:E44)</f>
        <v>9528.66</v>
      </c>
      <c r="F45" s="490">
        <f t="shared" si="0"/>
        <v>20242.66</v>
      </c>
      <c r="G45" s="1010"/>
      <c r="H45" s="1011"/>
    </row>
    <row r="46" spans="2:12" s="462" customFormat="1">
      <c r="B46" s="472" t="s">
        <v>51</v>
      </c>
      <c r="C46" s="473">
        <v>42333</v>
      </c>
      <c r="D46" s="139">
        <v>28571.429</v>
      </c>
      <c r="E46" s="139">
        <v>4440</v>
      </c>
      <c r="F46" s="451">
        <f t="shared" si="0"/>
        <v>33011.429000000004</v>
      </c>
      <c r="G46" s="455"/>
      <c r="H46" s="448"/>
      <c r="I46" s="461"/>
      <c r="J46" s="459"/>
      <c r="K46" s="459"/>
      <c r="L46" s="459"/>
    </row>
    <row r="47" spans="2:12" s="462" customFormat="1">
      <c r="B47" s="476" t="s">
        <v>52</v>
      </c>
      <c r="C47" s="477">
        <v>42338</v>
      </c>
      <c r="D47" s="453">
        <v>80000</v>
      </c>
      <c r="E47" s="453">
        <v>2649.1109999999999</v>
      </c>
      <c r="F47" s="454">
        <f t="shared" si="0"/>
        <v>82649.111000000004</v>
      </c>
      <c r="G47" s="470"/>
      <c r="H47" s="471"/>
      <c r="I47" s="461"/>
      <c r="J47" s="459"/>
      <c r="K47" s="459"/>
      <c r="L47" s="459"/>
    </row>
    <row r="48" spans="2:12" s="462" customFormat="1" ht="15" thickBot="1">
      <c r="B48" s="474" t="s">
        <v>53</v>
      </c>
      <c r="C48" s="475">
        <v>42338</v>
      </c>
      <c r="D48" s="36">
        <v>20000</v>
      </c>
      <c r="E48" s="36">
        <v>657.22199999999998</v>
      </c>
      <c r="F48" s="452">
        <f t="shared" si="0"/>
        <v>20657.222000000002</v>
      </c>
      <c r="G48" s="456"/>
      <c r="H48" s="449"/>
      <c r="I48" s="461"/>
    </row>
    <row r="49" spans="2:8" ht="15" thickBot="1">
      <c r="B49" s="1008" t="s">
        <v>415</v>
      </c>
      <c r="C49" s="1009"/>
      <c r="D49" s="142">
        <f>SUM(D46:D48)</f>
        <v>128571.429</v>
      </c>
      <c r="E49" s="142">
        <f>SUM(E46:E48)</f>
        <v>7746.3329999999996</v>
      </c>
      <c r="F49" s="490">
        <f t="shared" si="0"/>
        <v>136317.76200000002</v>
      </c>
      <c r="G49" s="1010"/>
      <c r="H49" s="1011"/>
    </row>
    <row r="50" spans="2:8">
      <c r="B50" s="472" t="s">
        <v>54</v>
      </c>
      <c r="C50" s="473">
        <v>42369</v>
      </c>
      <c r="D50" s="139">
        <v>10714</v>
      </c>
      <c r="E50" s="139">
        <v>1665.95</v>
      </c>
      <c r="F50" s="451">
        <f t="shared" si="0"/>
        <v>12379.95</v>
      </c>
      <c r="G50" s="466"/>
      <c r="H50" s="467"/>
    </row>
    <row r="51" spans="2:8" ht="15" thickBot="1">
      <c r="B51" s="474" t="s">
        <v>55</v>
      </c>
      <c r="C51" s="475">
        <v>42369</v>
      </c>
      <c r="D51" s="36">
        <v>71428.570999999996</v>
      </c>
      <c r="E51" s="36">
        <v>7677.6189999999997</v>
      </c>
      <c r="F51" s="452">
        <f t="shared" si="0"/>
        <v>79106.19</v>
      </c>
      <c r="G51" s="468"/>
      <c r="H51" s="469"/>
    </row>
    <row r="52" spans="2:8" ht="15" thickBot="1">
      <c r="B52" s="1008" t="s">
        <v>416</v>
      </c>
      <c r="C52" s="1009"/>
      <c r="D52" s="142">
        <f>SUM(D50:D51)</f>
        <v>82142.570999999996</v>
      </c>
      <c r="E52" s="142">
        <f>SUM(E50:E51)</f>
        <v>9343.5689999999995</v>
      </c>
      <c r="F52" s="490">
        <f t="shared" si="0"/>
        <v>91486.14</v>
      </c>
      <c r="G52" s="1012"/>
      <c r="H52" s="1013"/>
    </row>
    <row r="53" spans="2:8" ht="15" thickBot="1"/>
    <row r="54" spans="2:8" ht="15" thickBot="1">
      <c r="B54" s="1006" t="s">
        <v>418</v>
      </c>
      <c r="C54" s="1007"/>
      <c r="D54" s="35">
        <f>+D52+D49+D45+D42+D38+D35+D32+D28+D25+D21</f>
        <v>1057998.858</v>
      </c>
      <c r="E54" s="35">
        <f>+E52+E49+E45+E42+E38+E35+E32+E28+E25+E21</f>
        <v>212938.56899999999</v>
      </c>
      <c r="F54" s="145">
        <f>+F52+F49+F45+F42+F38+F35+F32+F28+F25+F21</f>
        <v>1270937.4270000001</v>
      </c>
    </row>
  </sheetData>
  <mergeCells count="32">
    <mergeCell ref="B18:C18"/>
    <mergeCell ref="G18:H18"/>
    <mergeCell ref="B21:C21"/>
    <mergeCell ref="G21:H21"/>
    <mergeCell ref="B1:F1"/>
    <mergeCell ref="B2:F2"/>
    <mergeCell ref="B6:C6"/>
    <mergeCell ref="G6:H6"/>
    <mergeCell ref="B8:C8"/>
    <mergeCell ref="G8:H8"/>
    <mergeCell ref="B10:C10"/>
    <mergeCell ref="B12:F12"/>
    <mergeCell ref="B13:F13"/>
    <mergeCell ref="B25:C25"/>
    <mergeCell ref="G25:H25"/>
    <mergeCell ref="B28:C28"/>
    <mergeCell ref="G28:H28"/>
    <mergeCell ref="B32:C32"/>
    <mergeCell ref="G32:H32"/>
    <mergeCell ref="B35:C35"/>
    <mergeCell ref="G35:H35"/>
    <mergeCell ref="B38:C38"/>
    <mergeCell ref="G38:H38"/>
    <mergeCell ref="B42:C42"/>
    <mergeCell ref="G42:H42"/>
    <mergeCell ref="B54:C54"/>
    <mergeCell ref="B45:C45"/>
    <mergeCell ref="G45:H45"/>
    <mergeCell ref="B49:C49"/>
    <mergeCell ref="G49:H49"/>
    <mergeCell ref="B52:C52"/>
    <mergeCell ref="G52:H52"/>
  </mergeCells>
  <pageMargins left="0.70866141732283472" right="0.70866141732283472" top="0.31496062992125984" bottom="0.74803149606299213" header="0.31496062992125984" footer="0.31496062992125984"/>
  <pageSetup paperSize="9" scale="85" orientation="portrait" horizontalDpi="180" verticalDpi="180" r:id="rId1"/>
  <ignoredErrors>
    <ignoredError sqref="F16:F17 F19:F51 F5:F6 F8" formulaRange="1"/>
    <ignoredError sqref="F18 F7" formula="1" formulaRange="1"/>
  </ignoredErrors>
</worksheet>
</file>

<file path=xl/worksheets/sheet5.xml><?xml version="1.0" encoding="utf-8"?>
<worksheet xmlns="http://schemas.openxmlformats.org/spreadsheetml/2006/main" xmlns:r="http://schemas.openxmlformats.org/officeDocument/2006/relationships">
  <sheetPr codeName="Feuil5">
    <pageSetUpPr fitToPage="1"/>
  </sheetPr>
  <dimension ref="A1:T90"/>
  <sheetViews>
    <sheetView topLeftCell="A16" zoomScale="85" zoomScaleNormal="85" workbookViewId="0">
      <selection activeCell="T55" sqref="T55"/>
    </sheetView>
  </sheetViews>
  <sheetFormatPr baseColWidth="10" defaultRowHeight="12.75"/>
  <cols>
    <col min="1" max="1" width="14.42578125" style="37" bestFit="1" customWidth="1"/>
    <col min="2" max="2" width="10.42578125" style="37" bestFit="1" customWidth="1"/>
    <col min="3" max="3" width="12.5703125" style="37" bestFit="1" customWidth="1"/>
    <col min="4" max="4" width="5" style="37" bestFit="1" customWidth="1"/>
    <col min="5" max="5" width="11.42578125" style="38" bestFit="1" customWidth="1"/>
    <col min="6" max="6" width="14.140625" style="39" bestFit="1" customWidth="1"/>
    <col min="7" max="7" width="12.5703125" style="37" bestFit="1" customWidth="1"/>
    <col min="8" max="8" width="13.140625" style="39" bestFit="1" customWidth="1"/>
    <col min="9" max="10" width="12.5703125" style="37" bestFit="1" customWidth="1"/>
    <col min="11" max="11" width="11.42578125" style="38" bestFit="1" customWidth="1"/>
    <col min="12" max="12" width="12.5703125" style="72" bestFit="1" customWidth="1"/>
    <col min="13" max="13" width="12" style="37" bestFit="1" customWidth="1"/>
    <col min="14" max="14" width="3" style="37" bestFit="1" customWidth="1"/>
    <col min="15" max="15" width="11.42578125" style="37"/>
    <col min="16" max="16" width="1.42578125" style="37" bestFit="1" customWidth="1"/>
    <col min="17" max="17" width="12.5703125" style="37" bestFit="1" customWidth="1"/>
    <col min="18" max="18" width="13.7109375" style="37" bestFit="1" customWidth="1"/>
    <col min="19" max="256" width="11.42578125" style="37"/>
    <col min="257" max="257" width="8.85546875" style="37" bestFit="1" customWidth="1"/>
    <col min="258" max="258" width="10.140625" style="37" bestFit="1" customWidth="1"/>
    <col min="259" max="259" width="12.140625" style="37" bestFit="1" customWidth="1"/>
    <col min="260" max="260" width="4.5703125" style="37" bestFit="1" customWidth="1"/>
    <col min="261" max="261" width="11.28515625" style="37" bestFit="1" customWidth="1"/>
    <col min="262" max="262" width="13.28515625" style="37" bestFit="1" customWidth="1"/>
    <col min="263" max="263" width="12.140625" style="37" bestFit="1" customWidth="1"/>
    <col min="264" max="264" width="14.5703125" style="37" customWidth="1"/>
    <col min="265" max="266" width="12.140625" style="37" bestFit="1" customWidth="1"/>
    <col min="267" max="267" width="11.85546875" style="37" bestFit="1" customWidth="1"/>
    <col min="268" max="268" width="12.140625" style="37" bestFit="1" customWidth="1"/>
    <col min="269" max="269" width="12" style="37" bestFit="1" customWidth="1"/>
    <col min="270" max="270" width="18.7109375" style="37" bestFit="1" customWidth="1"/>
    <col min="271" max="512" width="11.42578125" style="37"/>
    <col min="513" max="513" width="8.85546875" style="37" bestFit="1" customWidth="1"/>
    <col min="514" max="514" width="10.140625" style="37" bestFit="1" customWidth="1"/>
    <col min="515" max="515" width="12.140625" style="37" bestFit="1" customWidth="1"/>
    <col min="516" max="516" width="4.5703125" style="37" bestFit="1" customWidth="1"/>
    <col min="517" max="517" width="11.28515625" style="37" bestFit="1" customWidth="1"/>
    <col min="518" max="518" width="13.28515625" style="37" bestFit="1" customWidth="1"/>
    <col min="519" max="519" width="12.140625" style="37" bestFit="1" customWidth="1"/>
    <col min="520" max="520" width="14.5703125" style="37" customWidth="1"/>
    <col min="521" max="522" width="12.140625" style="37" bestFit="1" customWidth="1"/>
    <col min="523" max="523" width="11.85546875" style="37" bestFit="1" customWidth="1"/>
    <col min="524" max="524" width="12.140625" style="37" bestFit="1" customWidth="1"/>
    <col min="525" max="525" width="12" style="37" bestFit="1" customWidth="1"/>
    <col min="526" max="526" width="18.7109375" style="37" bestFit="1" customWidth="1"/>
    <col min="527" max="768" width="11.42578125" style="37"/>
    <col min="769" max="769" width="8.85546875" style="37" bestFit="1" customWidth="1"/>
    <col min="770" max="770" width="10.140625" style="37" bestFit="1" customWidth="1"/>
    <col min="771" max="771" width="12.140625" style="37" bestFit="1" customWidth="1"/>
    <col min="772" max="772" width="4.5703125" style="37" bestFit="1" customWidth="1"/>
    <col min="773" max="773" width="11.28515625" style="37" bestFit="1" customWidth="1"/>
    <col min="774" max="774" width="13.28515625" style="37" bestFit="1" customWidth="1"/>
    <col min="775" max="775" width="12.140625" style="37" bestFit="1" customWidth="1"/>
    <col min="776" max="776" width="14.5703125" style="37" customWidth="1"/>
    <col min="777" max="778" width="12.140625" style="37" bestFit="1" customWidth="1"/>
    <col min="779" max="779" width="11.85546875" style="37" bestFit="1" customWidth="1"/>
    <col min="780" max="780" width="12.140625" style="37" bestFit="1" customWidth="1"/>
    <col min="781" max="781" width="12" style="37" bestFit="1" customWidth="1"/>
    <col min="782" max="782" width="18.7109375" style="37" bestFit="1" customWidth="1"/>
    <col min="783" max="1024" width="11.42578125" style="37"/>
    <col min="1025" max="1025" width="8.85546875" style="37" bestFit="1" customWidth="1"/>
    <col min="1026" max="1026" width="10.140625" style="37" bestFit="1" customWidth="1"/>
    <col min="1027" max="1027" width="12.140625" style="37" bestFit="1" customWidth="1"/>
    <col min="1028" max="1028" width="4.5703125" style="37" bestFit="1" customWidth="1"/>
    <col min="1029" max="1029" width="11.28515625" style="37" bestFit="1" customWidth="1"/>
    <col min="1030" max="1030" width="13.28515625" style="37" bestFit="1" customWidth="1"/>
    <col min="1031" max="1031" width="12.140625" style="37" bestFit="1" customWidth="1"/>
    <col min="1032" max="1032" width="14.5703125" style="37" customWidth="1"/>
    <col min="1033" max="1034" width="12.140625" style="37" bestFit="1" customWidth="1"/>
    <col min="1035" max="1035" width="11.85546875" style="37" bestFit="1" customWidth="1"/>
    <col min="1036" max="1036" width="12.140625" style="37" bestFit="1" customWidth="1"/>
    <col min="1037" max="1037" width="12" style="37" bestFit="1" customWidth="1"/>
    <col min="1038" max="1038" width="18.7109375" style="37" bestFit="1" customWidth="1"/>
    <col min="1039" max="1280" width="11.42578125" style="37"/>
    <col min="1281" max="1281" width="8.85546875" style="37" bestFit="1" customWidth="1"/>
    <col min="1282" max="1282" width="10.140625" style="37" bestFit="1" customWidth="1"/>
    <col min="1283" max="1283" width="12.140625" style="37" bestFit="1" customWidth="1"/>
    <col min="1284" max="1284" width="4.5703125" style="37" bestFit="1" customWidth="1"/>
    <col min="1285" max="1285" width="11.28515625" style="37" bestFit="1" customWidth="1"/>
    <col min="1286" max="1286" width="13.28515625" style="37" bestFit="1" customWidth="1"/>
    <col min="1287" max="1287" width="12.140625" style="37" bestFit="1" customWidth="1"/>
    <col min="1288" max="1288" width="14.5703125" style="37" customWidth="1"/>
    <col min="1289" max="1290" width="12.140625" style="37" bestFit="1" customWidth="1"/>
    <col min="1291" max="1291" width="11.85546875" style="37" bestFit="1" customWidth="1"/>
    <col min="1292" max="1292" width="12.140625" style="37" bestFit="1" customWidth="1"/>
    <col min="1293" max="1293" width="12" style="37" bestFit="1" customWidth="1"/>
    <col min="1294" max="1294" width="18.7109375" style="37" bestFit="1" customWidth="1"/>
    <col min="1295" max="1536" width="11.42578125" style="37"/>
    <col min="1537" max="1537" width="8.85546875" style="37" bestFit="1" customWidth="1"/>
    <col min="1538" max="1538" width="10.140625" style="37" bestFit="1" customWidth="1"/>
    <col min="1539" max="1539" width="12.140625" style="37" bestFit="1" customWidth="1"/>
    <col min="1540" max="1540" width="4.5703125" style="37" bestFit="1" customWidth="1"/>
    <col min="1541" max="1541" width="11.28515625" style="37" bestFit="1" customWidth="1"/>
    <col min="1542" max="1542" width="13.28515625" style="37" bestFit="1" customWidth="1"/>
    <col min="1543" max="1543" width="12.140625" style="37" bestFit="1" customWidth="1"/>
    <col min="1544" max="1544" width="14.5703125" style="37" customWidth="1"/>
    <col min="1545" max="1546" width="12.140625" style="37" bestFit="1" customWidth="1"/>
    <col min="1547" max="1547" width="11.85546875" style="37" bestFit="1" customWidth="1"/>
    <col min="1548" max="1548" width="12.140625" style="37" bestFit="1" customWidth="1"/>
    <col min="1549" max="1549" width="12" style="37" bestFit="1" customWidth="1"/>
    <col min="1550" max="1550" width="18.7109375" style="37" bestFit="1" customWidth="1"/>
    <col min="1551" max="1792" width="11.42578125" style="37"/>
    <col min="1793" max="1793" width="8.85546875" style="37" bestFit="1" customWidth="1"/>
    <col min="1794" max="1794" width="10.140625" style="37" bestFit="1" customWidth="1"/>
    <col min="1795" max="1795" width="12.140625" style="37" bestFit="1" customWidth="1"/>
    <col min="1796" max="1796" width="4.5703125" style="37" bestFit="1" customWidth="1"/>
    <col min="1797" max="1797" width="11.28515625" style="37" bestFit="1" customWidth="1"/>
    <col min="1798" max="1798" width="13.28515625" style="37" bestFit="1" customWidth="1"/>
    <col min="1799" max="1799" width="12.140625" style="37" bestFit="1" customWidth="1"/>
    <col min="1800" max="1800" width="14.5703125" style="37" customWidth="1"/>
    <col min="1801" max="1802" width="12.140625" style="37" bestFit="1" customWidth="1"/>
    <col min="1803" max="1803" width="11.85546875" style="37" bestFit="1" customWidth="1"/>
    <col min="1804" max="1804" width="12.140625" style="37" bestFit="1" customWidth="1"/>
    <col min="1805" max="1805" width="12" style="37" bestFit="1" customWidth="1"/>
    <col min="1806" max="1806" width="18.7109375" style="37" bestFit="1" customWidth="1"/>
    <col min="1807" max="2048" width="11.42578125" style="37"/>
    <col min="2049" max="2049" width="8.85546875" style="37" bestFit="1" customWidth="1"/>
    <col min="2050" max="2050" width="10.140625" style="37" bestFit="1" customWidth="1"/>
    <col min="2051" max="2051" width="12.140625" style="37" bestFit="1" customWidth="1"/>
    <col min="2052" max="2052" width="4.5703125" style="37" bestFit="1" customWidth="1"/>
    <col min="2053" max="2053" width="11.28515625" style="37" bestFit="1" customWidth="1"/>
    <col min="2054" max="2054" width="13.28515625" style="37" bestFit="1" customWidth="1"/>
    <col min="2055" max="2055" width="12.140625" style="37" bestFit="1" customWidth="1"/>
    <col min="2056" max="2056" width="14.5703125" style="37" customWidth="1"/>
    <col min="2057" max="2058" width="12.140625" style="37" bestFit="1" customWidth="1"/>
    <col min="2059" max="2059" width="11.85546875" style="37" bestFit="1" customWidth="1"/>
    <col min="2060" max="2060" width="12.140625" style="37" bestFit="1" customWidth="1"/>
    <col min="2061" max="2061" width="12" style="37" bestFit="1" customWidth="1"/>
    <col min="2062" max="2062" width="18.7109375" style="37" bestFit="1" customWidth="1"/>
    <col min="2063" max="2304" width="11.42578125" style="37"/>
    <col min="2305" max="2305" width="8.85546875" style="37" bestFit="1" customWidth="1"/>
    <col min="2306" max="2306" width="10.140625" style="37" bestFit="1" customWidth="1"/>
    <col min="2307" max="2307" width="12.140625" style="37" bestFit="1" customWidth="1"/>
    <col min="2308" max="2308" width="4.5703125" style="37" bestFit="1" customWidth="1"/>
    <col min="2309" max="2309" width="11.28515625" style="37" bestFit="1" customWidth="1"/>
    <col min="2310" max="2310" width="13.28515625" style="37" bestFit="1" customWidth="1"/>
    <col min="2311" max="2311" width="12.140625" style="37" bestFit="1" customWidth="1"/>
    <col min="2312" max="2312" width="14.5703125" style="37" customWidth="1"/>
    <col min="2313" max="2314" width="12.140625" style="37" bestFit="1" customWidth="1"/>
    <col min="2315" max="2315" width="11.85546875" style="37" bestFit="1" customWidth="1"/>
    <col min="2316" max="2316" width="12.140625" style="37" bestFit="1" customWidth="1"/>
    <col min="2317" max="2317" width="12" style="37" bestFit="1" customWidth="1"/>
    <col min="2318" max="2318" width="18.7109375" style="37" bestFit="1" customWidth="1"/>
    <col min="2319" max="2560" width="11.42578125" style="37"/>
    <col min="2561" max="2561" width="8.85546875" style="37" bestFit="1" customWidth="1"/>
    <col min="2562" max="2562" width="10.140625" style="37" bestFit="1" customWidth="1"/>
    <col min="2563" max="2563" width="12.140625" style="37" bestFit="1" customWidth="1"/>
    <col min="2564" max="2564" width="4.5703125" style="37" bestFit="1" customWidth="1"/>
    <col min="2565" max="2565" width="11.28515625" style="37" bestFit="1" customWidth="1"/>
    <col min="2566" max="2566" width="13.28515625" style="37" bestFit="1" customWidth="1"/>
    <col min="2567" max="2567" width="12.140625" style="37" bestFit="1" customWidth="1"/>
    <col min="2568" max="2568" width="14.5703125" style="37" customWidth="1"/>
    <col min="2569" max="2570" width="12.140625" style="37" bestFit="1" customWidth="1"/>
    <col min="2571" max="2571" width="11.85546875" style="37" bestFit="1" customWidth="1"/>
    <col min="2572" max="2572" width="12.140625" style="37" bestFit="1" customWidth="1"/>
    <col min="2573" max="2573" width="12" style="37" bestFit="1" customWidth="1"/>
    <col min="2574" max="2574" width="18.7109375" style="37" bestFit="1" customWidth="1"/>
    <col min="2575" max="2816" width="11.42578125" style="37"/>
    <col min="2817" max="2817" width="8.85546875" style="37" bestFit="1" customWidth="1"/>
    <col min="2818" max="2818" width="10.140625" style="37" bestFit="1" customWidth="1"/>
    <col min="2819" max="2819" width="12.140625" style="37" bestFit="1" customWidth="1"/>
    <col min="2820" max="2820" width="4.5703125" style="37" bestFit="1" customWidth="1"/>
    <col min="2821" max="2821" width="11.28515625" style="37" bestFit="1" customWidth="1"/>
    <col min="2822" max="2822" width="13.28515625" style="37" bestFit="1" customWidth="1"/>
    <col min="2823" max="2823" width="12.140625" style="37" bestFit="1" customWidth="1"/>
    <col min="2824" max="2824" width="14.5703125" style="37" customWidth="1"/>
    <col min="2825" max="2826" width="12.140625" style="37" bestFit="1" customWidth="1"/>
    <col min="2827" max="2827" width="11.85546875" style="37" bestFit="1" customWidth="1"/>
    <col min="2828" max="2828" width="12.140625" style="37" bestFit="1" customWidth="1"/>
    <col min="2829" max="2829" width="12" style="37" bestFit="1" customWidth="1"/>
    <col min="2830" max="2830" width="18.7109375" style="37" bestFit="1" customWidth="1"/>
    <col min="2831" max="3072" width="11.42578125" style="37"/>
    <col min="3073" max="3073" width="8.85546875" style="37" bestFit="1" customWidth="1"/>
    <col min="3074" max="3074" width="10.140625" style="37" bestFit="1" customWidth="1"/>
    <col min="3075" max="3075" width="12.140625" style="37" bestFit="1" customWidth="1"/>
    <col min="3076" max="3076" width="4.5703125" style="37" bestFit="1" customWidth="1"/>
    <col min="3077" max="3077" width="11.28515625" style="37" bestFit="1" customWidth="1"/>
    <col min="3078" max="3078" width="13.28515625" style="37" bestFit="1" customWidth="1"/>
    <col min="3079" max="3079" width="12.140625" style="37" bestFit="1" customWidth="1"/>
    <col min="3080" max="3080" width="14.5703125" style="37" customWidth="1"/>
    <col min="3081" max="3082" width="12.140625" style="37" bestFit="1" customWidth="1"/>
    <col min="3083" max="3083" width="11.85546875" style="37" bestFit="1" customWidth="1"/>
    <col min="3084" max="3084" width="12.140625" style="37" bestFit="1" customWidth="1"/>
    <col min="3085" max="3085" width="12" style="37" bestFit="1" customWidth="1"/>
    <col min="3086" max="3086" width="18.7109375" style="37" bestFit="1" customWidth="1"/>
    <col min="3087" max="3328" width="11.42578125" style="37"/>
    <col min="3329" max="3329" width="8.85546875" style="37" bestFit="1" customWidth="1"/>
    <col min="3330" max="3330" width="10.140625" style="37" bestFit="1" customWidth="1"/>
    <col min="3331" max="3331" width="12.140625" style="37" bestFit="1" customWidth="1"/>
    <col min="3332" max="3332" width="4.5703125" style="37" bestFit="1" customWidth="1"/>
    <col min="3333" max="3333" width="11.28515625" style="37" bestFit="1" customWidth="1"/>
    <col min="3334" max="3334" width="13.28515625" style="37" bestFit="1" customWidth="1"/>
    <col min="3335" max="3335" width="12.140625" style="37" bestFit="1" customWidth="1"/>
    <col min="3336" max="3336" width="14.5703125" style="37" customWidth="1"/>
    <col min="3337" max="3338" width="12.140625" style="37" bestFit="1" customWidth="1"/>
    <col min="3339" max="3339" width="11.85546875" style="37" bestFit="1" customWidth="1"/>
    <col min="3340" max="3340" width="12.140625" style="37" bestFit="1" customWidth="1"/>
    <col min="3341" max="3341" width="12" style="37" bestFit="1" customWidth="1"/>
    <col min="3342" max="3342" width="18.7109375" style="37" bestFit="1" customWidth="1"/>
    <col min="3343" max="3584" width="11.42578125" style="37"/>
    <col min="3585" max="3585" width="8.85546875" style="37" bestFit="1" customWidth="1"/>
    <col min="3586" max="3586" width="10.140625" style="37" bestFit="1" customWidth="1"/>
    <col min="3587" max="3587" width="12.140625" style="37" bestFit="1" customWidth="1"/>
    <col min="3588" max="3588" width="4.5703125" style="37" bestFit="1" customWidth="1"/>
    <col min="3589" max="3589" width="11.28515625" style="37" bestFit="1" customWidth="1"/>
    <col min="3590" max="3590" width="13.28515625" style="37" bestFit="1" customWidth="1"/>
    <col min="3591" max="3591" width="12.140625" style="37" bestFit="1" customWidth="1"/>
    <col min="3592" max="3592" width="14.5703125" style="37" customWidth="1"/>
    <col min="3593" max="3594" width="12.140625" style="37" bestFit="1" customWidth="1"/>
    <col min="3595" max="3595" width="11.85546875" style="37" bestFit="1" customWidth="1"/>
    <col min="3596" max="3596" width="12.140625" style="37" bestFit="1" customWidth="1"/>
    <col min="3597" max="3597" width="12" style="37" bestFit="1" customWidth="1"/>
    <col min="3598" max="3598" width="18.7109375" style="37" bestFit="1" customWidth="1"/>
    <col min="3599" max="3840" width="11.42578125" style="37"/>
    <col min="3841" max="3841" width="8.85546875" style="37" bestFit="1" customWidth="1"/>
    <col min="3842" max="3842" width="10.140625" style="37" bestFit="1" customWidth="1"/>
    <col min="3843" max="3843" width="12.140625" style="37" bestFit="1" customWidth="1"/>
    <col min="3844" max="3844" width="4.5703125" style="37" bestFit="1" customWidth="1"/>
    <col min="3845" max="3845" width="11.28515625" style="37" bestFit="1" customWidth="1"/>
    <col min="3846" max="3846" width="13.28515625" style="37" bestFit="1" customWidth="1"/>
    <col min="3847" max="3847" width="12.140625" style="37" bestFit="1" customWidth="1"/>
    <col min="3848" max="3848" width="14.5703125" style="37" customWidth="1"/>
    <col min="3849" max="3850" width="12.140625" style="37" bestFit="1" customWidth="1"/>
    <col min="3851" max="3851" width="11.85546875" style="37" bestFit="1" customWidth="1"/>
    <col min="3852" max="3852" width="12.140625" style="37" bestFit="1" customWidth="1"/>
    <col min="3853" max="3853" width="12" style="37" bestFit="1" customWidth="1"/>
    <col min="3854" max="3854" width="18.7109375" style="37" bestFit="1" customWidth="1"/>
    <col min="3855" max="4096" width="11.42578125" style="37"/>
    <col min="4097" max="4097" width="8.85546875" style="37" bestFit="1" customWidth="1"/>
    <col min="4098" max="4098" width="10.140625" style="37" bestFit="1" customWidth="1"/>
    <col min="4099" max="4099" width="12.140625" style="37" bestFit="1" customWidth="1"/>
    <col min="4100" max="4100" width="4.5703125" style="37" bestFit="1" customWidth="1"/>
    <col min="4101" max="4101" width="11.28515625" style="37" bestFit="1" customWidth="1"/>
    <col min="4102" max="4102" width="13.28515625" style="37" bestFit="1" customWidth="1"/>
    <col min="4103" max="4103" width="12.140625" style="37" bestFit="1" customWidth="1"/>
    <col min="4104" max="4104" width="14.5703125" style="37" customWidth="1"/>
    <col min="4105" max="4106" width="12.140625" style="37" bestFit="1" customWidth="1"/>
    <col min="4107" max="4107" width="11.85546875" style="37" bestFit="1" customWidth="1"/>
    <col min="4108" max="4108" width="12.140625" style="37" bestFit="1" customWidth="1"/>
    <col min="4109" max="4109" width="12" style="37" bestFit="1" customWidth="1"/>
    <col min="4110" max="4110" width="18.7109375" style="37" bestFit="1" customWidth="1"/>
    <col min="4111" max="4352" width="11.42578125" style="37"/>
    <col min="4353" max="4353" width="8.85546875" style="37" bestFit="1" customWidth="1"/>
    <col min="4354" max="4354" width="10.140625" style="37" bestFit="1" customWidth="1"/>
    <col min="4355" max="4355" width="12.140625" style="37" bestFit="1" customWidth="1"/>
    <col min="4356" max="4356" width="4.5703125" style="37" bestFit="1" customWidth="1"/>
    <col min="4357" max="4357" width="11.28515625" style="37" bestFit="1" customWidth="1"/>
    <col min="4358" max="4358" width="13.28515625" style="37" bestFit="1" customWidth="1"/>
    <col min="4359" max="4359" width="12.140625" style="37" bestFit="1" customWidth="1"/>
    <col min="4360" max="4360" width="14.5703125" style="37" customWidth="1"/>
    <col min="4361" max="4362" width="12.140625" style="37" bestFit="1" customWidth="1"/>
    <col min="4363" max="4363" width="11.85546875" style="37" bestFit="1" customWidth="1"/>
    <col min="4364" max="4364" width="12.140625" style="37" bestFit="1" customWidth="1"/>
    <col min="4365" max="4365" width="12" style="37" bestFit="1" customWidth="1"/>
    <col min="4366" max="4366" width="18.7109375" style="37" bestFit="1" customWidth="1"/>
    <col min="4367" max="4608" width="11.42578125" style="37"/>
    <col min="4609" max="4609" width="8.85546875" style="37" bestFit="1" customWidth="1"/>
    <col min="4610" max="4610" width="10.140625" style="37" bestFit="1" customWidth="1"/>
    <col min="4611" max="4611" width="12.140625" style="37" bestFit="1" customWidth="1"/>
    <col min="4612" max="4612" width="4.5703125" style="37" bestFit="1" customWidth="1"/>
    <col min="4613" max="4613" width="11.28515625" style="37" bestFit="1" customWidth="1"/>
    <col min="4614" max="4614" width="13.28515625" style="37" bestFit="1" customWidth="1"/>
    <col min="4615" max="4615" width="12.140625" style="37" bestFit="1" customWidth="1"/>
    <col min="4616" max="4616" width="14.5703125" style="37" customWidth="1"/>
    <col min="4617" max="4618" width="12.140625" style="37" bestFit="1" customWidth="1"/>
    <col min="4619" max="4619" width="11.85546875" style="37" bestFit="1" customWidth="1"/>
    <col min="4620" max="4620" width="12.140625" style="37" bestFit="1" customWidth="1"/>
    <col min="4621" max="4621" width="12" style="37" bestFit="1" customWidth="1"/>
    <col min="4622" max="4622" width="18.7109375" style="37" bestFit="1" customWidth="1"/>
    <col min="4623" max="4864" width="11.42578125" style="37"/>
    <col min="4865" max="4865" width="8.85546875" style="37" bestFit="1" customWidth="1"/>
    <col min="4866" max="4866" width="10.140625" style="37" bestFit="1" customWidth="1"/>
    <col min="4867" max="4867" width="12.140625" style="37" bestFit="1" customWidth="1"/>
    <col min="4868" max="4868" width="4.5703125" style="37" bestFit="1" customWidth="1"/>
    <col min="4869" max="4869" width="11.28515625" style="37" bestFit="1" customWidth="1"/>
    <col min="4870" max="4870" width="13.28515625" style="37" bestFit="1" customWidth="1"/>
    <col min="4871" max="4871" width="12.140625" style="37" bestFit="1" customWidth="1"/>
    <col min="4872" max="4872" width="14.5703125" style="37" customWidth="1"/>
    <col min="4873" max="4874" width="12.140625" style="37" bestFit="1" customWidth="1"/>
    <col min="4875" max="4875" width="11.85546875" style="37" bestFit="1" customWidth="1"/>
    <col min="4876" max="4876" width="12.140625" style="37" bestFit="1" customWidth="1"/>
    <col min="4877" max="4877" width="12" style="37" bestFit="1" customWidth="1"/>
    <col min="4878" max="4878" width="18.7109375" style="37" bestFit="1" customWidth="1"/>
    <col min="4879" max="5120" width="11.42578125" style="37"/>
    <col min="5121" max="5121" width="8.85546875" style="37" bestFit="1" customWidth="1"/>
    <col min="5122" max="5122" width="10.140625" style="37" bestFit="1" customWidth="1"/>
    <col min="5123" max="5123" width="12.140625" style="37" bestFit="1" customWidth="1"/>
    <col min="5124" max="5124" width="4.5703125" style="37" bestFit="1" customWidth="1"/>
    <col min="5125" max="5125" width="11.28515625" style="37" bestFit="1" customWidth="1"/>
    <col min="5126" max="5126" width="13.28515625" style="37" bestFit="1" customWidth="1"/>
    <col min="5127" max="5127" width="12.140625" style="37" bestFit="1" customWidth="1"/>
    <col min="5128" max="5128" width="14.5703125" style="37" customWidth="1"/>
    <col min="5129" max="5130" width="12.140625" style="37" bestFit="1" customWidth="1"/>
    <col min="5131" max="5131" width="11.85546875" style="37" bestFit="1" customWidth="1"/>
    <col min="5132" max="5132" width="12.140625" style="37" bestFit="1" customWidth="1"/>
    <col min="5133" max="5133" width="12" style="37" bestFit="1" customWidth="1"/>
    <col min="5134" max="5134" width="18.7109375" style="37" bestFit="1" customWidth="1"/>
    <col min="5135" max="5376" width="11.42578125" style="37"/>
    <col min="5377" max="5377" width="8.85546875" style="37" bestFit="1" customWidth="1"/>
    <col min="5378" max="5378" width="10.140625" style="37" bestFit="1" customWidth="1"/>
    <col min="5379" max="5379" width="12.140625" style="37" bestFit="1" customWidth="1"/>
    <col min="5380" max="5380" width="4.5703125" style="37" bestFit="1" customWidth="1"/>
    <col min="5381" max="5381" width="11.28515625" style="37" bestFit="1" customWidth="1"/>
    <col min="5382" max="5382" width="13.28515625" style="37" bestFit="1" customWidth="1"/>
    <col min="5383" max="5383" width="12.140625" style="37" bestFit="1" customWidth="1"/>
    <col min="5384" max="5384" width="14.5703125" style="37" customWidth="1"/>
    <col min="5385" max="5386" width="12.140625" style="37" bestFit="1" customWidth="1"/>
    <col min="5387" max="5387" width="11.85546875" style="37" bestFit="1" customWidth="1"/>
    <col min="5388" max="5388" width="12.140625" style="37" bestFit="1" customWidth="1"/>
    <col min="5389" max="5389" width="12" style="37" bestFit="1" customWidth="1"/>
    <col min="5390" max="5390" width="18.7109375" style="37" bestFit="1" customWidth="1"/>
    <col min="5391" max="5632" width="11.42578125" style="37"/>
    <col min="5633" max="5633" width="8.85546875" style="37" bestFit="1" customWidth="1"/>
    <col min="5634" max="5634" width="10.140625" style="37" bestFit="1" customWidth="1"/>
    <col min="5635" max="5635" width="12.140625" style="37" bestFit="1" customWidth="1"/>
    <col min="5636" max="5636" width="4.5703125" style="37" bestFit="1" customWidth="1"/>
    <col min="5637" max="5637" width="11.28515625" style="37" bestFit="1" customWidth="1"/>
    <col min="5638" max="5638" width="13.28515625" style="37" bestFit="1" customWidth="1"/>
    <col min="5639" max="5639" width="12.140625" style="37" bestFit="1" customWidth="1"/>
    <col min="5640" max="5640" width="14.5703125" style="37" customWidth="1"/>
    <col min="5641" max="5642" width="12.140625" style="37" bestFit="1" customWidth="1"/>
    <col min="5643" max="5643" width="11.85546875" style="37" bestFit="1" customWidth="1"/>
    <col min="5644" max="5644" width="12.140625" style="37" bestFit="1" customWidth="1"/>
    <col min="5645" max="5645" width="12" style="37" bestFit="1" customWidth="1"/>
    <col min="5646" max="5646" width="18.7109375" style="37" bestFit="1" customWidth="1"/>
    <col min="5647" max="5888" width="11.42578125" style="37"/>
    <col min="5889" max="5889" width="8.85546875" style="37" bestFit="1" customWidth="1"/>
    <col min="5890" max="5890" width="10.140625" style="37" bestFit="1" customWidth="1"/>
    <col min="5891" max="5891" width="12.140625" style="37" bestFit="1" customWidth="1"/>
    <col min="5892" max="5892" width="4.5703125" style="37" bestFit="1" customWidth="1"/>
    <col min="5893" max="5893" width="11.28515625" style="37" bestFit="1" customWidth="1"/>
    <col min="5894" max="5894" width="13.28515625" style="37" bestFit="1" customWidth="1"/>
    <col min="5895" max="5895" width="12.140625" style="37" bestFit="1" customWidth="1"/>
    <col min="5896" max="5896" width="14.5703125" style="37" customWidth="1"/>
    <col min="5897" max="5898" width="12.140625" style="37" bestFit="1" customWidth="1"/>
    <col min="5899" max="5899" width="11.85546875" style="37" bestFit="1" customWidth="1"/>
    <col min="5900" max="5900" width="12.140625" style="37" bestFit="1" customWidth="1"/>
    <col min="5901" max="5901" width="12" style="37" bestFit="1" customWidth="1"/>
    <col min="5902" max="5902" width="18.7109375" style="37" bestFit="1" customWidth="1"/>
    <col min="5903" max="6144" width="11.42578125" style="37"/>
    <col min="6145" max="6145" width="8.85546875" style="37" bestFit="1" customWidth="1"/>
    <col min="6146" max="6146" width="10.140625" style="37" bestFit="1" customWidth="1"/>
    <col min="6147" max="6147" width="12.140625" style="37" bestFit="1" customWidth="1"/>
    <col min="6148" max="6148" width="4.5703125" style="37" bestFit="1" customWidth="1"/>
    <col min="6149" max="6149" width="11.28515625" style="37" bestFit="1" customWidth="1"/>
    <col min="6150" max="6150" width="13.28515625" style="37" bestFit="1" customWidth="1"/>
    <col min="6151" max="6151" width="12.140625" style="37" bestFit="1" customWidth="1"/>
    <col min="6152" max="6152" width="14.5703125" style="37" customWidth="1"/>
    <col min="6153" max="6154" width="12.140625" style="37" bestFit="1" customWidth="1"/>
    <col min="6155" max="6155" width="11.85546875" style="37" bestFit="1" customWidth="1"/>
    <col min="6156" max="6156" width="12.140625" style="37" bestFit="1" customWidth="1"/>
    <col min="6157" max="6157" width="12" style="37" bestFit="1" customWidth="1"/>
    <col min="6158" max="6158" width="18.7109375" style="37" bestFit="1" customWidth="1"/>
    <col min="6159" max="6400" width="11.42578125" style="37"/>
    <col min="6401" max="6401" width="8.85546875" style="37" bestFit="1" customWidth="1"/>
    <col min="6402" max="6402" width="10.140625" style="37" bestFit="1" customWidth="1"/>
    <col min="6403" max="6403" width="12.140625" style="37" bestFit="1" customWidth="1"/>
    <col min="6404" max="6404" width="4.5703125" style="37" bestFit="1" customWidth="1"/>
    <col min="6405" max="6405" width="11.28515625" style="37" bestFit="1" customWidth="1"/>
    <col min="6406" max="6406" width="13.28515625" style="37" bestFit="1" customWidth="1"/>
    <col min="6407" max="6407" width="12.140625" style="37" bestFit="1" customWidth="1"/>
    <col min="6408" max="6408" width="14.5703125" style="37" customWidth="1"/>
    <col min="6409" max="6410" width="12.140625" style="37" bestFit="1" customWidth="1"/>
    <col min="6411" max="6411" width="11.85546875" style="37" bestFit="1" customWidth="1"/>
    <col min="6412" max="6412" width="12.140625" style="37" bestFit="1" customWidth="1"/>
    <col min="6413" max="6413" width="12" style="37" bestFit="1" customWidth="1"/>
    <col min="6414" max="6414" width="18.7109375" style="37" bestFit="1" customWidth="1"/>
    <col min="6415" max="6656" width="11.42578125" style="37"/>
    <col min="6657" max="6657" width="8.85546875" style="37" bestFit="1" customWidth="1"/>
    <col min="6658" max="6658" width="10.140625" style="37" bestFit="1" customWidth="1"/>
    <col min="6659" max="6659" width="12.140625" style="37" bestFit="1" customWidth="1"/>
    <col min="6660" max="6660" width="4.5703125" style="37" bestFit="1" customWidth="1"/>
    <col min="6661" max="6661" width="11.28515625" style="37" bestFit="1" customWidth="1"/>
    <col min="6662" max="6662" width="13.28515625" style="37" bestFit="1" customWidth="1"/>
    <col min="6663" max="6663" width="12.140625" style="37" bestFit="1" customWidth="1"/>
    <col min="6664" max="6664" width="14.5703125" style="37" customWidth="1"/>
    <col min="6665" max="6666" width="12.140625" style="37" bestFit="1" customWidth="1"/>
    <col min="6667" max="6667" width="11.85546875" style="37" bestFit="1" customWidth="1"/>
    <col min="6668" max="6668" width="12.140625" style="37" bestFit="1" customWidth="1"/>
    <col min="6669" max="6669" width="12" style="37" bestFit="1" customWidth="1"/>
    <col min="6670" max="6670" width="18.7109375" style="37" bestFit="1" customWidth="1"/>
    <col min="6671" max="6912" width="11.42578125" style="37"/>
    <col min="6913" max="6913" width="8.85546875" style="37" bestFit="1" customWidth="1"/>
    <col min="6914" max="6914" width="10.140625" style="37" bestFit="1" customWidth="1"/>
    <col min="6915" max="6915" width="12.140625" style="37" bestFit="1" customWidth="1"/>
    <col min="6916" max="6916" width="4.5703125" style="37" bestFit="1" customWidth="1"/>
    <col min="6917" max="6917" width="11.28515625" style="37" bestFit="1" customWidth="1"/>
    <col min="6918" max="6918" width="13.28515625" style="37" bestFit="1" customWidth="1"/>
    <col min="6919" max="6919" width="12.140625" style="37" bestFit="1" customWidth="1"/>
    <col min="6920" max="6920" width="14.5703125" style="37" customWidth="1"/>
    <col min="6921" max="6922" width="12.140625" style="37" bestFit="1" customWidth="1"/>
    <col min="6923" max="6923" width="11.85546875" style="37" bestFit="1" customWidth="1"/>
    <col min="6924" max="6924" width="12.140625" style="37" bestFit="1" customWidth="1"/>
    <col min="6925" max="6925" width="12" style="37" bestFit="1" customWidth="1"/>
    <col min="6926" max="6926" width="18.7109375" style="37" bestFit="1" customWidth="1"/>
    <col min="6927" max="7168" width="11.42578125" style="37"/>
    <col min="7169" max="7169" width="8.85546875" style="37" bestFit="1" customWidth="1"/>
    <col min="7170" max="7170" width="10.140625" style="37" bestFit="1" customWidth="1"/>
    <col min="7171" max="7171" width="12.140625" style="37" bestFit="1" customWidth="1"/>
    <col min="7172" max="7172" width="4.5703125" style="37" bestFit="1" customWidth="1"/>
    <col min="7173" max="7173" width="11.28515625" style="37" bestFit="1" customWidth="1"/>
    <col min="7174" max="7174" width="13.28515625" style="37" bestFit="1" customWidth="1"/>
    <col min="7175" max="7175" width="12.140625" style="37" bestFit="1" customWidth="1"/>
    <col min="7176" max="7176" width="14.5703125" style="37" customWidth="1"/>
    <col min="7177" max="7178" width="12.140625" style="37" bestFit="1" customWidth="1"/>
    <col min="7179" max="7179" width="11.85546875" style="37" bestFit="1" customWidth="1"/>
    <col min="7180" max="7180" width="12.140625" style="37" bestFit="1" customWidth="1"/>
    <col min="7181" max="7181" width="12" style="37" bestFit="1" customWidth="1"/>
    <col min="7182" max="7182" width="18.7109375" style="37" bestFit="1" customWidth="1"/>
    <col min="7183" max="7424" width="11.42578125" style="37"/>
    <col min="7425" max="7425" width="8.85546875" style="37" bestFit="1" customWidth="1"/>
    <col min="7426" max="7426" width="10.140625" style="37" bestFit="1" customWidth="1"/>
    <col min="7427" max="7427" width="12.140625" style="37" bestFit="1" customWidth="1"/>
    <col min="7428" max="7428" width="4.5703125" style="37" bestFit="1" customWidth="1"/>
    <col min="7429" max="7429" width="11.28515625" style="37" bestFit="1" customWidth="1"/>
    <col min="7430" max="7430" width="13.28515625" style="37" bestFit="1" customWidth="1"/>
    <col min="7431" max="7431" width="12.140625" style="37" bestFit="1" customWidth="1"/>
    <col min="7432" max="7432" width="14.5703125" style="37" customWidth="1"/>
    <col min="7433" max="7434" width="12.140625" style="37" bestFit="1" customWidth="1"/>
    <col min="7435" max="7435" width="11.85546875" style="37" bestFit="1" customWidth="1"/>
    <col min="7436" max="7436" width="12.140625" style="37" bestFit="1" customWidth="1"/>
    <col min="7437" max="7437" width="12" style="37" bestFit="1" customWidth="1"/>
    <col min="7438" max="7438" width="18.7109375" style="37" bestFit="1" customWidth="1"/>
    <col min="7439" max="7680" width="11.42578125" style="37"/>
    <col min="7681" max="7681" width="8.85546875" style="37" bestFit="1" customWidth="1"/>
    <col min="7682" max="7682" width="10.140625" style="37" bestFit="1" customWidth="1"/>
    <col min="7683" max="7683" width="12.140625" style="37" bestFit="1" customWidth="1"/>
    <col min="7684" max="7684" width="4.5703125" style="37" bestFit="1" customWidth="1"/>
    <col min="7685" max="7685" width="11.28515625" style="37" bestFit="1" customWidth="1"/>
    <col min="7686" max="7686" width="13.28515625" style="37" bestFit="1" customWidth="1"/>
    <col min="7687" max="7687" width="12.140625" style="37" bestFit="1" customWidth="1"/>
    <col min="7688" max="7688" width="14.5703125" style="37" customWidth="1"/>
    <col min="7689" max="7690" width="12.140625" style="37" bestFit="1" customWidth="1"/>
    <col min="7691" max="7691" width="11.85546875" style="37" bestFit="1" customWidth="1"/>
    <col min="7692" max="7692" width="12.140625" style="37" bestFit="1" customWidth="1"/>
    <col min="7693" max="7693" width="12" style="37" bestFit="1" customWidth="1"/>
    <col min="7694" max="7694" width="18.7109375" style="37" bestFit="1" customWidth="1"/>
    <col min="7695" max="7936" width="11.42578125" style="37"/>
    <col min="7937" max="7937" width="8.85546875" style="37" bestFit="1" customWidth="1"/>
    <col min="7938" max="7938" width="10.140625" style="37" bestFit="1" customWidth="1"/>
    <col min="7939" max="7939" width="12.140625" style="37" bestFit="1" customWidth="1"/>
    <col min="7940" max="7940" width="4.5703125" style="37" bestFit="1" customWidth="1"/>
    <col min="7941" max="7941" width="11.28515625" style="37" bestFit="1" customWidth="1"/>
    <col min="7942" max="7942" width="13.28515625" style="37" bestFit="1" customWidth="1"/>
    <col min="7943" max="7943" width="12.140625" style="37" bestFit="1" customWidth="1"/>
    <col min="7944" max="7944" width="14.5703125" style="37" customWidth="1"/>
    <col min="7945" max="7946" width="12.140625" style="37" bestFit="1" customWidth="1"/>
    <col min="7947" max="7947" width="11.85546875" style="37" bestFit="1" customWidth="1"/>
    <col min="7948" max="7948" width="12.140625" style="37" bestFit="1" customWidth="1"/>
    <col min="7949" max="7949" width="12" style="37" bestFit="1" customWidth="1"/>
    <col min="7950" max="7950" width="18.7109375" style="37" bestFit="1" customWidth="1"/>
    <col min="7951" max="8192" width="11.42578125" style="37"/>
    <col min="8193" max="8193" width="8.85546875" style="37" bestFit="1" customWidth="1"/>
    <col min="8194" max="8194" width="10.140625" style="37" bestFit="1" customWidth="1"/>
    <col min="8195" max="8195" width="12.140625" style="37" bestFit="1" customWidth="1"/>
    <col min="8196" max="8196" width="4.5703125" style="37" bestFit="1" customWidth="1"/>
    <col min="8197" max="8197" width="11.28515625" style="37" bestFit="1" customWidth="1"/>
    <col min="8198" max="8198" width="13.28515625" style="37" bestFit="1" customWidth="1"/>
    <col min="8199" max="8199" width="12.140625" style="37" bestFit="1" customWidth="1"/>
    <col min="8200" max="8200" width="14.5703125" style="37" customWidth="1"/>
    <col min="8201" max="8202" width="12.140625" style="37" bestFit="1" customWidth="1"/>
    <col min="8203" max="8203" width="11.85546875" style="37" bestFit="1" customWidth="1"/>
    <col min="8204" max="8204" width="12.140625" style="37" bestFit="1" customWidth="1"/>
    <col min="8205" max="8205" width="12" style="37" bestFit="1" customWidth="1"/>
    <col min="8206" max="8206" width="18.7109375" style="37" bestFit="1" customWidth="1"/>
    <col min="8207" max="8448" width="11.42578125" style="37"/>
    <col min="8449" max="8449" width="8.85546875" style="37" bestFit="1" customWidth="1"/>
    <col min="8450" max="8450" width="10.140625" style="37" bestFit="1" customWidth="1"/>
    <col min="8451" max="8451" width="12.140625" style="37" bestFit="1" customWidth="1"/>
    <col min="8452" max="8452" width="4.5703125" style="37" bestFit="1" customWidth="1"/>
    <col min="8453" max="8453" width="11.28515625" style="37" bestFit="1" customWidth="1"/>
    <col min="8454" max="8454" width="13.28515625" style="37" bestFit="1" customWidth="1"/>
    <col min="8455" max="8455" width="12.140625" style="37" bestFit="1" customWidth="1"/>
    <col min="8456" max="8456" width="14.5703125" style="37" customWidth="1"/>
    <col min="8457" max="8458" width="12.140625" style="37" bestFit="1" customWidth="1"/>
    <col min="8459" max="8459" width="11.85546875" style="37" bestFit="1" customWidth="1"/>
    <col min="8460" max="8460" width="12.140625" style="37" bestFit="1" customWidth="1"/>
    <col min="8461" max="8461" width="12" style="37" bestFit="1" customWidth="1"/>
    <col min="8462" max="8462" width="18.7109375" style="37" bestFit="1" customWidth="1"/>
    <col min="8463" max="8704" width="11.42578125" style="37"/>
    <col min="8705" max="8705" width="8.85546875" style="37" bestFit="1" customWidth="1"/>
    <col min="8706" max="8706" width="10.140625" style="37" bestFit="1" customWidth="1"/>
    <col min="8707" max="8707" width="12.140625" style="37" bestFit="1" customWidth="1"/>
    <col min="8708" max="8708" width="4.5703125" style="37" bestFit="1" customWidth="1"/>
    <col min="8709" max="8709" width="11.28515625" style="37" bestFit="1" customWidth="1"/>
    <col min="8710" max="8710" width="13.28515625" style="37" bestFit="1" customWidth="1"/>
    <col min="8711" max="8711" width="12.140625" style="37" bestFit="1" customWidth="1"/>
    <col min="8712" max="8712" width="14.5703125" style="37" customWidth="1"/>
    <col min="8713" max="8714" width="12.140625" style="37" bestFit="1" customWidth="1"/>
    <col min="8715" max="8715" width="11.85546875" style="37" bestFit="1" customWidth="1"/>
    <col min="8716" max="8716" width="12.140625" style="37" bestFit="1" customWidth="1"/>
    <col min="8717" max="8717" width="12" style="37" bestFit="1" customWidth="1"/>
    <col min="8718" max="8718" width="18.7109375" style="37" bestFit="1" customWidth="1"/>
    <col min="8719" max="8960" width="11.42578125" style="37"/>
    <col min="8961" max="8961" width="8.85546875" style="37" bestFit="1" customWidth="1"/>
    <col min="8962" max="8962" width="10.140625" style="37" bestFit="1" customWidth="1"/>
    <col min="8963" max="8963" width="12.140625" style="37" bestFit="1" customWidth="1"/>
    <col min="8964" max="8964" width="4.5703125" style="37" bestFit="1" customWidth="1"/>
    <col min="8965" max="8965" width="11.28515625" style="37" bestFit="1" customWidth="1"/>
    <col min="8966" max="8966" width="13.28515625" style="37" bestFit="1" customWidth="1"/>
    <col min="8967" max="8967" width="12.140625" style="37" bestFit="1" customWidth="1"/>
    <col min="8968" max="8968" width="14.5703125" style="37" customWidth="1"/>
    <col min="8969" max="8970" width="12.140625" style="37" bestFit="1" customWidth="1"/>
    <col min="8971" max="8971" width="11.85546875" style="37" bestFit="1" customWidth="1"/>
    <col min="8972" max="8972" width="12.140625" style="37" bestFit="1" customWidth="1"/>
    <col min="8973" max="8973" width="12" style="37" bestFit="1" customWidth="1"/>
    <col min="8974" max="8974" width="18.7109375" style="37" bestFit="1" customWidth="1"/>
    <col min="8975" max="9216" width="11.42578125" style="37"/>
    <col min="9217" max="9217" width="8.85546875" style="37" bestFit="1" customWidth="1"/>
    <col min="9218" max="9218" width="10.140625" style="37" bestFit="1" customWidth="1"/>
    <col min="9219" max="9219" width="12.140625" style="37" bestFit="1" customWidth="1"/>
    <col min="9220" max="9220" width="4.5703125" style="37" bestFit="1" customWidth="1"/>
    <col min="9221" max="9221" width="11.28515625" style="37" bestFit="1" customWidth="1"/>
    <col min="9222" max="9222" width="13.28515625" style="37" bestFit="1" customWidth="1"/>
    <col min="9223" max="9223" width="12.140625" style="37" bestFit="1" customWidth="1"/>
    <col min="9224" max="9224" width="14.5703125" style="37" customWidth="1"/>
    <col min="9225" max="9226" width="12.140625" style="37" bestFit="1" customWidth="1"/>
    <col min="9227" max="9227" width="11.85546875" style="37" bestFit="1" customWidth="1"/>
    <col min="9228" max="9228" width="12.140625" style="37" bestFit="1" customWidth="1"/>
    <col min="9229" max="9229" width="12" style="37" bestFit="1" customWidth="1"/>
    <col min="9230" max="9230" width="18.7109375" style="37" bestFit="1" customWidth="1"/>
    <col min="9231" max="9472" width="11.42578125" style="37"/>
    <col min="9473" max="9473" width="8.85546875" style="37" bestFit="1" customWidth="1"/>
    <col min="9474" max="9474" width="10.140625" style="37" bestFit="1" customWidth="1"/>
    <col min="9475" max="9475" width="12.140625" style="37" bestFit="1" customWidth="1"/>
    <col min="9476" max="9476" width="4.5703125" style="37" bestFit="1" customWidth="1"/>
    <col min="9477" max="9477" width="11.28515625" style="37" bestFit="1" customWidth="1"/>
    <col min="9478" max="9478" width="13.28515625" style="37" bestFit="1" customWidth="1"/>
    <col min="9479" max="9479" width="12.140625" style="37" bestFit="1" customWidth="1"/>
    <col min="9480" max="9480" width="14.5703125" style="37" customWidth="1"/>
    <col min="9481" max="9482" width="12.140625" style="37" bestFit="1" customWidth="1"/>
    <col min="9483" max="9483" width="11.85546875" style="37" bestFit="1" customWidth="1"/>
    <col min="9484" max="9484" width="12.140625" style="37" bestFit="1" customWidth="1"/>
    <col min="9485" max="9485" width="12" style="37" bestFit="1" customWidth="1"/>
    <col min="9486" max="9486" width="18.7109375" style="37" bestFit="1" customWidth="1"/>
    <col min="9487" max="9728" width="11.42578125" style="37"/>
    <col min="9729" max="9729" width="8.85546875" style="37" bestFit="1" customWidth="1"/>
    <col min="9730" max="9730" width="10.140625" style="37" bestFit="1" customWidth="1"/>
    <col min="9731" max="9731" width="12.140625" style="37" bestFit="1" customWidth="1"/>
    <col min="9732" max="9732" width="4.5703125" style="37" bestFit="1" customWidth="1"/>
    <col min="9733" max="9733" width="11.28515625" style="37" bestFit="1" customWidth="1"/>
    <col min="9734" max="9734" width="13.28515625" style="37" bestFit="1" customWidth="1"/>
    <col min="9735" max="9735" width="12.140625" style="37" bestFit="1" customWidth="1"/>
    <col min="9736" max="9736" width="14.5703125" style="37" customWidth="1"/>
    <col min="9737" max="9738" width="12.140625" style="37" bestFit="1" customWidth="1"/>
    <col min="9739" max="9739" width="11.85546875" style="37" bestFit="1" customWidth="1"/>
    <col min="9740" max="9740" width="12.140625" style="37" bestFit="1" customWidth="1"/>
    <col min="9741" max="9741" width="12" style="37" bestFit="1" customWidth="1"/>
    <col min="9742" max="9742" width="18.7109375" style="37" bestFit="1" customWidth="1"/>
    <col min="9743" max="9984" width="11.42578125" style="37"/>
    <col min="9985" max="9985" width="8.85546875" style="37" bestFit="1" customWidth="1"/>
    <col min="9986" max="9986" width="10.140625" style="37" bestFit="1" customWidth="1"/>
    <col min="9987" max="9987" width="12.140625" style="37" bestFit="1" customWidth="1"/>
    <col min="9988" max="9988" width="4.5703125" style="37" bestFit="1" customWidth="1"/>
    <col min="9989" max="9989" width="11.28515625" style="37" bestFit="1" customWidth="1"/>
    <col min="9990" max="9990" width="13.28515625" style="37" bestFit="1" customWidth="1"/>
    <col min="9991" max="9991" width="12.140625" style="37" bestFit="1" customWidth="1"/>
    <col min="9992" max="9992" width="14.5703125" style="37" customWidth="1"/>
    <col min="9993" max="9994" width="12.140625" style="37" bestFit="1" customWidth="1"/>
    <col min="9995" max="9995" width="11.85546875" style="37" bestFit="1" customWidth="1"/>
    <col min="9996" max="9996" width="12.140625" style="37" bestFit="1" customWidth="1"/>
    <col min="9997" max="9997" width="12" style="37" bestFit="1" customWidth="1"/>
    <col min="9998" max="9998" width="18.7109375" style="37" bestFit="1" customWidth="1"/>
    <col min="9999" max="10240" width="11.42578125" style="37"/>
    <col min="10241" max="10241" width="8.85546875" style="37" bestFit="1" customWidth="1"/>
    <col min="10242" max="10242" width="10.140625" style="37" bestFit="1" customWidth="1"/>
    <col min="10243" max="10243" width="12.140625" style="37" bestFit="1" customWidth="1"/>
    <col min="10244" max="10244" width="4.5703125" style="37" bestFit="1" customWidth="1"/>
    <col min="10245" max="10245" width="11.28515625" style="37" bestFit="1" customWidth="1"/>
    <col min="10246" max="10246" width="13.28515625" style="37" bestFit="1" customWidth="1"/>
    <col min="10247" max="10247" width="12.140625" style="37" bestFit="1" customWidth="1"/>
    <col min="10248" max="10248" width="14.5703125" style="37" customWidth="1"/>
    <col min="10249" max="10250" width="12.140625" style="37" bestFit="1" customWidth="1"/>
    <col min="10251" max="10251" width="11.85546875" style="37" bestFit="1" customWidth="1"/>
    <col min="10252" max="10252" width="12.140625" style="37" bestFit="1" customWidth="1"/>
    <col min="10253" max="10253" width="12" style="37" bestFit="1" customWidth="1"/>
    <col min="10254" max="10254" width="18.7109375" style="37" bestFit="1" customWidth="1"/>
    <col min="10255" max="10496" width="11.42578125" style="37"/>
    <col min="10497" max="10497" width="8.85546875" style="37" bestFit="1" customWidth="1"/>
    <col min="10498" max="10498" width="10.140625" style="37" bestFit="1" customWidth="1"/>
    <col min="10499" max="10499" width="12.140625" style="37" bestFit="1" customWidth="1"/>
    <col min="10500" max="10500" width="4.5703125" style="37" bestFit="1" customWidth="1"/>
    <col min="10501" max="10501" width="11.28515625" style="37" bestFit="1" customWidth="1"/>
    <col min="10502" max="10502" width="13.28515625" style="37" bestFit="1" customWidth="1"/>
    <col min="10503" max="10503" width="12.140625" style="37" bestFit="1" customWidth="1"/>
    <col min="10504" max="10504" width="14.5703125" style="37" customWidth="1"/>
    <col min="10505" max="10506" width="12.140625" style="37" bestFit="1" customWidth="1"/>
    <col min="10507" max="10507" width="11.85546875" style="37" bestFit="1" customWidth="1"/>
    <col min="10508" max="10508" width="12.140625" style="37" bestFit="1" customWidth="1"/>
    <col min="10509" max="10509" width="12" style="37" bestFit="1" customWidth="1"/>
    <col min="10510" max="10510" width="18.7109375" style="37" bestFit="1" customWidth="1"/>
    <col min="10511" max="10752" width="11.42578125" style="37"/>
    <col min="10753" max="10753" width="8.85546875" style="37" bestFit="1" customWidth="1"/>
    <col min="10754" max="10754" width="10.140625" style="37" bestFit="1" customWidth="1"/>
    <col min="10755" max="10755" width="12.140625" style="37" bestFit="1" customWidth="1"/>
    <col min="10756" max="10756" width="4.5703125" style="37" bestFit="1" customWidth="1"/>
    <col min="10757" max="10757" width="11.28515625" style="37" bestFit="1" customWidth="1"/>
    <col min="10758" max="10758" width="13.28515625" style="37" bestFit="1" customWidth="1"/>
    <col min="10759" max="10759" width="12.140625" style="37" bestFit="1" customWidth="1"/>
    <col min="10760" max="10760" width="14.5703125" style="37" customWidth="1"/>
    <col min="10761" max="10762" width="12.140625" style="37" bestFit="1" customWidth="1"/>
    <col min="10763" max="10763" width="11.85546875" style="37" bestFit="1" customWidth="1"/>
    <col min="10764" max="10764" width="12.140625" style="37" bestFit="1" customWidth="1"/>
    <col min="10765" max="10765" width="12" style="37" bestFit="1" customWidth="1"/>
    <col min="10766" max="10766" width="18.7109375" style="37" bestFit="1" customWidth="1"/>
    <col min="10767" max="11008" width="11.42578125" style="37"/>
    <col min="11009" max="11009" width="8.85546875" style="37" bestFit="1" customWidth="1"/>
    <col min="11010" max="11010" width="10.140625" style="37" bestFit="1" customWidth="1"/>
    <col min="11011" max="11011" width="12.140625" style="37" bestFit="1" customWidth="1"/>
    <col min="11012" max="11012" width="4.5703125" style="37" bestFit="1" customWidth="1"/>
    <col min="11013" max="11013" width="11.28515625" style="37" bestFit="1" customWidth="1"/>
    <col min="11014" max="11014" width="13.28515625" style="37" bestFit="1" customWidth="1"/>
    <col min="11015" max="11015" width="12.140625" style="37" bestFit="1" customWidth="1"/>
    <col min="11016" max="11016" width="14.5703125" style="37" customWidth="1"/>
    <col min="11017" max="11018" width="12.140625" style="37" bestFit="1" customWidth="1"/>
    <col min="11019" max="11019" width="11.85546875" style="37" bestFit="1" customWidth="1"/>
    <col min="11020" max="11020" width="12.140625" style="37" bestFit="1" customWidth="1"/>
    <col min="11021" max="11021" width="12" style="37" bestFit="1" customWidth="1"/>
    <col min="11022" max="11022" width="18.7109375" style="37" bestFit="1" customWidth="1"/>
    <col min="11023" max="11264" width="11.42578125" style="37"/>
    <col min="11265" max="11265" width="8.85546875" style="37" bestFit="1" customWidth="1"/>
    <col min="11266" max="11266" width="10.140625" style="37" bestFit="1" customWidth="1"/>
    <col min="11267" max="11267" width="12.140625" style="37" bestFit="1" customWidth="1"/>
    <col min="11268" max="11268" width="4.5703125" style="37" bestFit="1" customWidth="1"/>
    <col min="11269" max="11269" width="11.28515625" style="37" bestFit="1" customWidth="1"/>
    <col min="11270" max="11270" width="13.28515625" style="37" bestFit="1" customWidth="1"/>
    <col min="11271" max="11271" width="12.140625" style="37" bestFit="1" customWidth="1"/>
    <col min="11272" max="11272" width="14.5703125" style="37" customWidth="1"/>
    <col min="11273" max="11274" width="12.140625" style="37" bestFit="1" customWidth="1"/>
    <col min="11275" max="11275" width="11.85546875" style="37" bestFit="1" customWidth="1"/>
    <col min="11276" max="11276" width="12.140625" style="37" bestFit="1" customWidth="1"/>
    <col min="11277" max="11277" width="12" style="37" bestFit="1" customWidth="1"/>
    <col min="11278" max="11278" width="18.7109375" style="37" bestFit="1" customWidth="1"/>
    <col min="11279" max="11520" width="11.42578125" style="37"/>
    <col min="11521" max="11521" width="8.85546875" style="37" bestFit="1" customWidth="1"/>
    <col min="11522" max="11522" width="10.140625" style="37" bestFit="1" customWidth="1"/>
    <col min="11523" max="11523" width="12.140625" style="37" bestFit="1" customWidth="1"/>
    <col min="11524" max="11524" width="4.5703125" style="37" bestFit="1" customWidth="1"/>
    <col min="11525" max="11525" width="11.28515625" style="37" bestFit="1" customWidth="1"/>
    <col min="11526" max="11526" width="13.28515625" style="37" bestFit="1" customWidth="1"/>
    <col min="11527" max="11527" width="12.140625" style="37" bestFit="1" customWidth="1"/>
    <col min="11528" max="11528" width="14.5703125" style="37" customWidth="1"/>
    <col min="11529" max="11530" width="12.140625" style="37" bestFit="1" customWidth="1"/>
    <col min="11531" max="11531" width="11.85546875" style="37" bestFit="1" customWidth="1"/>
    <col min="11532" max="11532" width="12.140625" style="37" bestFit="1" customWidth="1"/>
    <col min="11533" max="11533" width="12" style="37" bestFit="1" customWidth="1"/>
    <col min="11534" max="11534" width="18.7109375" style="37" bestFit="1" customWidth="1"/>
    <col min="11535" max="11776" width="11.42578125" style="37"/>
    <col min="11777" max="11777" width="8.85546875" style="37" bestFit="1" customWidth="1"/>
    <col min="11778" max="11778" width="10.140625" style="37" bestFit="1" customWidth="1"/>
    <col min="11779" max="11779" width="12.140625" style="37" bestFit="1" customWidth="1"/>
    <col min="11780" max="11780" width="4.5703125" style="37" bestFit="1" customWidth="1"/>
    <col min="11781" max="11781" width="11.28515625" style="37" bestFit="1" customWidth="1"/>
    <col min="11782" max="11782" width="13.28515625" style="37" bestFit="1" customWidth="1"/>
    <col min="11783" max="11783" width="12.140625" style="37" bestFit="1" customWidth="1"/>
    <col min="11784" max="11784" width="14.5703125" style="37" customWidth="1"/>
    <col min="11785" max="11786" width="12.140625" style="37" bestFit="1" customWidth="1"/>
    <col min="11787" max="11787" width="11.85546875" style="37" bestFit="1" customWidth="1"/>
    <col min="11788" max="11788" width="12.140625" style="37" bestFit="1" customWidth="1"/>
    <col min="11789" max="11789" width="12" style="37" bestFit="1" customWidth="1"/>
    <col min="11790" max="11790" width="18.7109375" style="37" bestFit="1" customWidth="1"/>
    <col min="11791" max="12032" width="11.42578125" style="37"/>
    <col min="12033" max="12033" width="8.85546875" style="37" bestFit="1" customWidth="1"/>
    <col min="12034" max="12034" width="10.140625" style="37" bestFit="1" customWidth="1"/>
    <col min="12035" max="12035" width="12.140625" style="37" bestFit="1" customWidth="1"/>
    <col min="12036" max="12036" width="4.5703125" style="37" bestFit="1" customWidth="1"/>
    <col min="12037" max="12037" width="11.28515625" style="37" bestFit="1" customWidth="1"/>
    <col min="12038" max="12038" width="13.28515625" style="37" bestFit="1" customWidth="1"/>
    <col min="12039" max="12039" width="12.140625" style="37" bestFit="1" customWidth="1"/>
    <col min="12040" max="12040" width="14.5703125" style="37" customWidth="1"/>
    <col min="12041" max="12042" width="12.140625" style="37" bestFit="1" customWidth="1"/>
    <col min="12043" max="12043" width="11.85546875" style="37" bestFit="1" customWidth="1"/>
    <col min="12044" max="12044" width="12.140625" style="37" bestFit="1" customWidth="1"/>
    <col min="12045" max="12045" width="12" style="37" bestFit="1" customWidth="1"/>
    <col min="12046" max="12046" width="18.7109375" style="37" bestFit="1" customWidth="1"/>
    <col min="12047" max="12288" width="11.42578125" style="37"/>
    <col min="12289" max="12289" width="8.85546875" style="37" bestFit="1" customWidth="1"/>
    <col min="12290" max="12290" width="10.140625" style="37" bestFit="1" customWidth="1"/>
    <col min="12291" max="12291" width="12.140625" style="37" bestFit="1" customWidth="1"/>
    <col min="12292" max="12292" width="4.5703125" style="37" bestFit="1" customWidth="1"/>
    <col min="12293" max="12293" width="11.28515625" style="37" bestFit="1" customWidth="1"/>
    <col min="12294" max="12294" width="13.28515625" style="37" bestFit="1" customWidth="1"/>
    <col min="12295" max="12295" width="12.140625" style="37" bestFit="1" customWidth="1"/>
    <col min="12296" max="12296" width="14.5703125" style="37" customWidth="1"/>
    <col min="12297" max="12298" width="12.140625" style="37" bestFit="1" customWidth="1"/>
    <col min="12299" max="12299" width="11.85546875" style="37" bestFit="1" customWidth="1"/>
    <col min="12300" max="12300" width="12.140625" style="37" bestFit="1" customWidth="1"/>
    <col min="12301" max="12301" width="12" style="37" bestFit="1" customWidth="1"/>
    <col min="12302" max="12302" width="18.7109375" style="37" bestFit="1" customWidth="1"/>
    <col min="12303" max="12544" width="11.42578125" style="37"/>
    <col min="12545" max="12545" width="8.85546875" style="37" bestFit="1" customWidth="1"/>
    <col min="12546" max="12546" width="10.140625" style="37" bestFit="1" customWidth="1"/>
    <col min="12547" max="12547" width="12.140625" style="37" bestFit="1" customWidth="1"/>
    <col min="12548" max="12548" width="4.5703125" style="37" bestFit="1" customWidth="1"/>
    <col min="12549" max="12549" width="11.28515625" style="37" bestFit="1" customWidth="1"/>
    <col min="12550" max="12550" width="13.28515625" style="37" bestFit="1" customWidth="1"/>
    <col min="12551" max="12551" width="12.140625" style="37" bestFit="1" customWidth="1"/>
    <col min="12552" max="12552" width="14.5703125" style="37" customWidth="1"/>
    <col min="12553" max="12554" width="12.140625" style="37" bestFit="1" customWidth="1"/>
    <col min="12555" max="12555" width="11.85546875" style="37" bestFit="1" customWidth="1"/>
    <col min="12556" max="12556" width="12.140625" style="37" bestFit="1" customWidth="1"/>
    <col min="12557" max="12557" width="12" style="37" bestFit="1" customWidth="1"/>
    <col min="12558" max="12558" width="18.7109375" style="37" bestFit="1" customWidth="1"/>
    <col min="12559" max="12800" width="11.42578125" style="37"/>
    <col min="12801" max="12801" width="8.85546875" style="37" bestFit="1" customWidth="1"/>
    <col min="12802" max="12802" width="10.140625" style="37" bestFit="1" customWidth="1"/>
    <col min="12803" max="12803" width="12.140625" style="37" bestFit="1" customWidth="1"/>
    <col min="12804" max="12804" width="4.5703125" style="37" bestFit="1" customWidth="1"/>
    <col min="12805" max="12805" width="11.28515625" style="37" bestFit="1" customWidth="1"/>
    <col min="12806" max="12806" width="13.28515625" style="37" bestFit="1" customWidth="1"/>
    <col min="12807" max="12807" width="12.140625" style="37" bestFit="1" customWidth="1"/>
    <col min="12808" max="12808" width="14.5703125" style="37" customWidth="1"/>
    <col min="12809" max="12810" width="12.140625" style="37" bestFit="1" customWidth="1"/>
    <col min="12811" max="12811" width="11.85546875" style="37" bestFit="1" customWidth="1"/>
    <col min="12812" max="12812" width="12.140625" style="37" bestFit="1" customWidth="1"/>
    <col min="12813" max="12813" width="12" style="37" bestFit="1" customWidth="1"/>
    <col min="12814" max="12814" width="18.7109375" style="37" bestFit="1" customWidth="1"/>
    <col min="12815" max="13056" width="11.42578125" style="37"/>
    <col min="13057" max="13057" width="8.85546875" style="37" bestFit="1" customWidth="1"/>
    <col min="13058" max="13058" width="10.140625" style="37" bestFit="1" customWidth="1"/>
    <col min="13059" max="13059" width="12.140625" style="37" bestFit="1" customWidth="1"/>
    <col min="13060" max="13060" width="4.5703125" style="37" bestFit="1" customWidth="1"/>
    <col min="13061" max="13061" width="11.28515625" style="37" bestFit="1" customWidth="1"/>
    <col min="13062" max="13062" width="13.28515625" style="37" bestFit="1" customWidth="1"/>
    <col min="13063" max="13063" width="12.140625" style="37" bestFit="1" customWidth="1"/>
    <col min="13064" max="13064" width="14.5703125" style="37" customWidth="1"/>
    <col min="13065" max="13066" width="12.140625" style="37" bestFit="1" customWidth="1"/>
    <col min="13067" max="13067" width="11.85546875" style="37" bestFit="1" customWidth="1"/>
    <col min="13068" max="13068" width="12.140625" style="37" bestFit="1" customWidth="1"/>
    <col min="13069" max="13069" width="12" style="37" bestFit="1" customWidth="1"/>
    <col min="13070" max="13070" width="18.7109375" style="37" bestFit="1" customWidth="1"/>
    <col min="13071" max="13312" width="11.42578125" style="37"/>
    <col min="13313" max="13313" width="8.85546875" style="37" bestFit="1" customWidth="1"/>
    <col min="13314" max="13314" width="10.140625" style="37" bestFit="1" customWidth="1"/>
    <col min="13315" max="13315" width="12.140625" style="37" bestFit="1" customWidth="1"/>
    <col min="13316" max="13316" width="4.5703125" style="37" bestFit="1" customWidth="1"/>
    <col min="13317" max="13317" width="11.28515625" style="37" bestFit="1" customWidth="1"/>
    <col min="13318" max="13318" width="13.28515625" style="37" bestFit="1" customWidth="1"/>
    <col min="13319" max="13319" width="12.140625" style="37" bestFit="1" customWidth="1"/>
    <col min="13320" max="13320" width="14.5703125" style="37" customWidth="1"/>
    <col min="13321" max="13322" width="12.140625" style="37" bestFit="1" customWidth="1"/>
    <col min="13323" max="13323" width="11.85546875" style="37" bestFit="1" customWidth="1"/>
    <col min="13324" max="13324" width="12.140625" style="37" bestFit="1" customWidth="1"/>
    <col min="13325" max="13325" width="12" style="37" bestFit="1" customWidth="1"/>
    <col min="13326" max="13326" width="18.7109375" style="37" bestFit="1" customWidth="1"/>
    <col min="13327" max="13568" width="11.42578125" style="37"/>
    <col min="13569" max="13569" width="8.85546875" style="37" bestFit="1" customWidth="1"/>
    <col min="13570" max="13570" width="10.140625" style="37" bestFit="1" customWidth="1"/>
    <col min="13571" max="13571" width="12.140625" style="37" bestFit="1" customWidth="1"/>
    <col min="13572" max="13572" width="4.5703125" style="37" bestFit="1" customWidth="1"/>
    <col min="13573" max="13573" width="11.28515625" style="37" bestFit="1" customWidth="1"/>
    <col min="13574" max="13574" width="13.28515625" style="37" bestFit="1" customWidth="1"/>
    <col min="13575" max="13575" width="12.140625" style="37" bestFit="1" customWidth="1"/>
    <col min="13576" max="13576" width="14.5703125" style="37" customWidth="1"/>
    <col min="13577" max="13578" width="12.140625" style="37" bestFit="1" customWidth="1"/>
    <col min="13579" max="13579" width="11.85546875" style="37" bestFit="1" customWidth="1"/>
    <col min="13580" max="13580" width="12.140625" style="37" bestFit="1" customWidth="1"/>
    <col min="13581" max="13581" width="12" style="37" bestFit="1" customWidth="1"/>
    <col min="13582" max="13582" width="18.7109375" style="37" bestFit="1" customWidth="1"/>
    <col min="13583" max="13824" width="11.42578125" style="37"/>
    <col min="13825" max="13825" width="8.85546875" style="37" bestFit="1" customWidth="1"/>
    <col min="13826" max="13826" width="10.140625" style="37" bestFit="1" customWidth="1"/>
    <col min="13827" max="13827" width="12.140625" style="37" bestFit="1" customWidth="1"/>
    <col min="13828" max="13828" width="4.5703125" style="37" bestFit="1" customWidth="1"/>
    <col min="13829" max="13829" width="11.28515625" style="37" bestFit="1" customWidth="1"/>
    <col min="13830" max="13830" width="13.28515625" style="37" bestFit="1" customWidth="1"/>
    <col min="13831" max="13831" width="12.140625" style="37" bestFit="1" customWidth="1"/>
    <col min="13832" max="13832" width="14.5703125" style="37" customWidth="1"/>
    <col min="13833" max="13834" width="12.140625" style="37" bestFit="1" customWidth="1"/>
    <col min="13835" max="13835" width="11.85546875" style="37" bestFit="1" customWidth="1"/>
    <col min="13836" max="13836" width="12.140625" style="37" bestFit="1" customWidth="1"/>
    <col min="13837" max="13837" width="12" style="37" bestFit="1" customWidth="1"/>
    <col min="13838" max="13838" width="18.7109375" style="37" bestFit="1" customWidth="1"/>
    <col min="13839" max="14080" width="11.42578125" style="37"/>
    <col min="14081" max="14081" width="8.85546875" style="37" bestFit="1" customWidth="1"/>
    <col min="14082" max="14082" width="10.140625" style="37" bestFit="1" customWidth="1"/>
    <col min="14083" max="14083" width="12.140625" style="37" bestFit="1" customWidth="1"/>
    <col min="14084" max="14084" width="4.5703125" style="37" bestFit="1" customWidth="1"/>
    <col min="14085" max="14085" width="11.28515625" style="37" bestFit="1" customWidth="1"/>
    <col min="14086" max="14086" width="13.28515625" style="37" bestFit="1" customWidth="1"/>
    <col min="14087" max="14087" width="12.140625" style="37" bestFit="1" customWidth="1"/>
    <col min="14088" max="14088" width="14.5703125" style="37" customWidth="1"/>
    <col min="14089" max="14090" width="12.140625" style="37" bestFit="1" customWidth="1"/>
    <col min="14091" max="14091" width="11.85546875" style="37" bestFit="1" customWidth="1"/>
    <col min="14092" max="14092" width="12.140625" style="37" bestFit="1" customWidth="1"/>
    <col min="14093" max="14093" width="12" style="37" bestFit="1" customWidth="1"/>
    <col min="14094" max="14094" width="18.7109375" style="37" bestFit="1" customWidth="1"/>
    <col min="14095" max="14336" width="11.42578125" style="37"/>
    <col min="14337" max="14337" width="8.85546875" style="37" bestFit="1" customWidth="1"/>
    <col min="14338" max="14338" width="10.140625" style="37" bestFit="1" customWidth="1"/>
    <col min="14339" max="14339" width="12.140625" style="37" bestFit="1" customWidth="1"/>
    <col min="14340" max="14340" width="4.5703125" style="37" bestFit="1" customWidth="1"/>
    <col min="14341" max="14341" width="11.28515625" style="37" bestFit="1" customWidth="1"/>
    <col min="14342" max="14342" width="13.28515625" style="37" bestFit="1" customWidth="1"/>
    <col min="14343" max="14343" width="12.140625" style="37" bestFit="1" customWidth="1"/>
    <col min="14344" max="14344" width="14.5703125" style="37" customWidth="1"/>
    <col min="14345" max="14346" width="12.140625" style="37" bestFit="1" customWidth="1"/>
    <col min="14347" max="14347" width="11.85546875" style="37" bestFit="1" customWidth="1"/>
    <col min="14348" max="14348" width="12.140625" style="37" bestFit="1" customWidth="1"/>
    <col min="14349" max="14349" width="12" style="37" bestFit="1" customWidth="1"/>
    <col min="14350" max="14350" width="18.7109375" style="37" bestFit="1" customWidth="1"/>
    <col min="14351" max="14592" width="11.42578125" style="37"/>
    <col min="14593" max="14593" width="8.85546875" style="37" bestFit="1" customWidth="1"/>
    <col min="14594" max="14594" width="10.140625" style="37" bestFit="1" customWidth="1"/>
    <col min="14595" max="14595" width="12.140625" style="37" bestFit="1" customWidth="1"/>
    <col min="14596" max="14596" width="4.5703125" style="37" bestFit="1" customWidth="1"/>
    <col min="14597" max="14597" width="11.28515625" style="37" bestFit="1" customWidth="1"/>
    <col min="14598" max="14598" width="13.28515625" style="37" bestFit="1" customWidth="1"/>
    <col min="14599" max="14599" width="12.140625" style="37" bestFit="1" customWidth="1"/>
    <col min="14600" max="14600" width="14.5703125" style="37" customWidth="1"/>
    <col min="14601" max="14602" width="12.140625" style="37" bestFit="1" customWidth="1"/>
    <col min="14603" max="14603" width="11.85546875" style="37" bestFit="1" customWidth="1"/>
    <col min="14604" max="14604" width="12.140625" style="37" bestFit="1" customWidth="1"/>
    <col min="14605" max="14605" width="12" style="37" bestFit="1" customWidth="1"/>
    <col min="14606" max="14606" width="18.7109375" style="37" bestFit="1" customWidth="1"/>
    <col min="14607" max="14848" width="11.42578125" style="37"/>
    <col min="14849" max="14849" width="8.85546875" style="37" bestFit="1" customWidth="1"/>
    <col min="14850" max="14850" width="10.140625" style="37" bestFit="1" customWidth="1"/>
    <col min="14851" max="14851" width="12.140625" style="37" bestFit="1" customWidth="1"/>
    <col min="14852" max="14852" width="4.5703125" style="37" bestFit="1" customWidth="1"/>
    <col min="14853" max="14853" width="11.28515625" style="37" bestFit="1" customWidth="1"/>
    <col min="14854" max="14854" width="13.28515625" style="37" bestFit="1" customWidth="1"/>
    <col min="14855" max="14855" width="12.140625" style="37" bestFit="1" customWidth="1"/>
    <col min="14856" max="14856" width="14.5703125" style="37" customWidth="1"/>
    <col min="14857" max="14858" width="12.140625" style="37" bestFit="1" customWidth="1"/>
    <col min="14859" max="14859" width="11.85546875" style="37" bestFit="1" customWidth="1"/>
    <col min="14860" max="14860" width="12.140625" style="37" bestFit="1" customWidth="1"/>
    <col min="14861" max="14861" width="12" style="37" bestFit="1" customWidth="1"/>
    <col min="14862" max="14862" width="18.7109375" style="37" bestFit="1" customWidth="1"/>
    <col min="14863" max="15104" width="11.42578125" style="37"/>
    <col min="15105" max="15105" width="8.85546875" style="37" bestFit="1" customWidth="1"/>
    <col min="15106" max="15106" width="10.140625" style="37" bestFit="1" customWidth="1"/>
    <col min="15107" max="15107" width="12.140625" style="37" bestFit="1" customWidth="1"/>
    <col min="15108" max="15108" width="4.5703125" style="37" bestFit="1" customWidth="1"/>
    <col min="15109" max="15109" width="11.28515625" style="37" bestFit="1" customWidth="1"/>
    <col min="15110" max="15110" width="13.28515625" style="37" bestFit="1" customWidth="1"/>
    <col min="15111" max="15111" width="12.140625" style="37" bestFit="1" customWidth="1"/>
    <col min="15112" max="15112" width="14.5703125" style="37" customWidth="1"/>
    <col min="15113" max="15114" width="12.140625" style="37" bestFit="1" customWidth="1"/>
    <col min="15115" max="15115" width="11.85546875" style="37" bestFit="1" customWidth="1"/>
    <col min="15116" max="15116" width="12.140625" style="37" bestFit="1" customWidth="1"/>
    <col min="15117" max="15117" width="12" style="37" bestFit="1" customWidth="1"/>
    <col min="15118" max="15118" width="18.7109375" style="37" bestFit="1" customWidth="1"/>
    <col min="15119" max="15360" width="11.42578125" style="37"/>
    <col min="15361" max="15361" width="8.85546875" style="37" bestFit="1" customWidth="1"/>
    <col min="15362" max="15362" width="10.140625" style="37" bestFit="1" customWidth="1"/>
    <col min="15363" max="15363" width="12.140625" style="37" bestFit="1" customWidth="1"/>
    <col min="15364" max="15364" width="4.5703125" style="37" bestFit="1" customWidth="1"/>
    <col min="15365" max="15365" width="11.28515625" style="37" bestFit="1" customWidth="1"/>
    <col min="15366" max="15366" width="13.28515625" style="37" bestFit="1" customWidth="1"/>
    <col min="15367" max="15367" width="12.140625" style="37" bestFit="1" customWidth="1"/>
    <col min="15368" max="15368" width="14.5703125" style="37" customWidth="1"/>
    <col min="15369" max="15370" width="12.140625" style="37" bestFit="1" customWidth="1"/>
    <col min="15371" max="15371" width="11.85546875" style="37" bestFit="1" customWidth="1"/>
    <col min="15372" max="15372" width="12.140625" style="37" bestFit="1" customWidth="1"/>
    <col min="15373" max="15373" width="12" style="37" bestFit="1" customWidth="1"/>
    <col min="15374" max="15374" width="18.7109375" style="37" bestFit="1" customWidth="1"/>
    <col min="15375" max="15616" width="11.42578125" style="37"/>
    <col min="15617" max="15617" width="8.85546875" style="37" bestFit="1" customWidth="1"/>
    <col min="15618" max="15618" width="10.140625" style="37" bestFit="1" customWidth="1"/>
    <col min="15619" max="15619" width="12.140625" style="37" bestFit="1" customWidth="1"/>
    <col min="15620" max="15620" width="4.5703125" style="37" bestFit="1" customWidth="1"/>
    <col min="15621" max="15621" width="11.28515625" style="37" bestFit="1" customWidth="1"/>
    <col min="15622" max="15622" width="13.28515625" style="37" bestFit="1" customWidth="1"/>
    <col min="15623" max="15623" width="12.140625" style="37" bestFit="1" customWidth="1"/>
    <col min="15624" max="15624" width="14.5703125" style="37" customWidth="1"/>
    <col min="15625" max="15626" width="12.140625" style="37" bestFit="1" customWidth="1"/>
    <col min="15627" max="15627" width="11.85546875" style="37" bestFit="1" customWidth="1"/>
    <col min="15628" max="15628" width="12.140625" style="37" bestFit="1" customWidth="1"/>
    <col min="15629" max="15629" width="12" style="37" bestFit="1" customWidth="1"/>
    <col min="15630" max="15630" width="18.7109375" style="37" bestFit="1" customWidth="1"/>
    <col min="15631" max="15872" width="11.42578125" style="37"/>
    <col min="15873" max="15873" width="8.85546875" style="37" bestFit="1" customWidth="1"/>
    <col min="15874" max="15874" width="10.140625" style="37" bestFit="1" customWidth="1"/>
    <col min="15875" max="15875" width="12.140625" style="37" bestFit="1" customWidth="1"/>
    <col min="15876" max="15876" width="4.5703125" style="37" bestFit="1" customWidth="1"/>
    <col min="15877" max="15877" width="11.28515625" style="37" bestFit="1" customWidth="1"/>
    <col min="15878" max="15878" width="13.28515625" style="37" bestFit="1" customWidth="1"/>
    <col min="15879" max="15879" width="12.140625" style="37" bestFit="1" customWidth="1"/>
    <col min="15880" max="15880" width="14.5703125" style="37" customWidth="1"/>
    <col min="15881" max="15882" width="12.140625" style="37" bestFit="1" customWidth="1"/>
    <col min="15883" max="15883" width="11.85546875" style="37" bestFit="1" customWidth="1"/>
    <col min="15884" max="15884" width="12.140625" style="37" bestFit="1" customWidth="1"/>
    <col min="15885" max="15885" width="12" style="37" bestFit="1" customWidth="1"/>
    <col min="15886" max="15886" width="18.7109375" style="37" bestFit="1" customWidth="1"/>
    <col min="15887" max="16128" width="11.42578125" style="37"/>
    <col min="16129" max="16129" width="8.85546875" style="37" bestFit="1" customWidth="1"/>
    <col min="16130" max="16130" width="10.140625" style="37" bestFit="1" customWidth="1"/>
    <col min="16131" max="16131" width="12.140625" style="37" bestFit="1" customWidth="1"/>
    <col min="16132" max="16132" width="4.5703125" style="37" bestFit="1" customWidth="1"/>
    <col min="16133" max="16133" width="11.28515625" style="37" bestFit="1" customWidth="1"/>
    <col min="16134" max="16134" width="13.28515625" style="37" bestFit="1" customWidth="1"/>
    <col min="16135" max="16135" width="12.140625" style="37" bestFit="1" customWidth="1"/>
    <col min="16136" max="16136" width="14.5703125" style="37" customWidth="1"/>
    <col min="16137" max="16138" width="12.140625" style="37" bestFit="1" customWidth="1"/>
    <col min="16139" max="16139" width="11.85546875" style="37" bestFit="1" customWidth="1"/>
    <col min="16140" max="16140" width="12.140625" style="37" bestFit="1" customWidth="1"/>
    <col min="16141" max="16141" width="12" style="37" bestFit="1" customWidth="1"/>
    <col min="16142" max="16142" width="18.7109375" style="37" bestFit="1" customWidth="1"/>
    <col min="16143" max="16384" width="11.42578125" style="37"/>
  </cols>
  <sheetData>
    <row r="1" spans="1:16" ht="13.5" thickBot="1"/>
    <row r="2" spans="1:16" ht="13.5" thickBot="1">
      <c r="A2" s="1027" t="s">
        <v>57</v>
      </c>
      <c r="B2" s="1029" t="s">
        <v>58</v>
      </c>
      <c r="C2" s="1030"/>
      <c r="D2" s="1030"/>
      <c r="E2" s="1030"/>
      <c r="F2" s="1030"/>
      <c r="G2" s="1031"/>
      <c r="H2" s="1032" t="s">
        <v>59</v>
      </c>
      <c r="I2" s="1033"/>
      <c r="J2" s="1034"/>
      <c r="K2" s="1032" t="s">
        <v>21</v>
      </c>
      <c r="L2" s="1034"/>
      <c r="M2" s="1027" t="s">
        <v>60</v>
      </c>
    </row>
    <row r="3" spans="1:16" ht="13.5" thickBot="1">
      <c r="A3" s="1028"/>
      <c r="B3" s="40" t="s">
        <v>61</v>
      </c>
      <c r="C3" s="41" t="s">
        <v>56</v>
      </c>
      <c r="D3" s="41" t="s">
        <v>62</v>
      </c>
      <c r="E3" s="42" t="s">
        <v>63</v>
      </c>
      <c r="F3" s="43" t="s">
        <v>24</v>
      </c>
      <c r="G3" s="44" t="s">
        <v>5</v>
      </c>
      <c r="H3" s="45" t="s">
        <v>64</v>
      </c>
      <c r="I3" s="46" t="s">
        <v>65</v>
      </c>
      <c r="J3" s="47" t="s">
        <v>66</v>
      </c>
      <c r="K3" s="48" t="s">
        <v>64</v>
      </c>
      <c r="L3" s="128" t="s">
        <v>67</v>
      </c>
      <c r="M3" s="1028"/>
    </row>
    <row r="4" spans="1:16" s="58" customFormat="1" ht="13.5" thickBot="1">
      <c r="A4" s="49" t="s">
        <v>68</v>
      </c>
      <c r="B4" s="50" t="s">
        <v>69</v>
      </c>
      <c r="C4" s="51">
        <v>40680</v>
      </c>
      <c r="D4" s="52" t="s">
        <v>22</v>
      </c>
      <c r="E4" s="53">
        <v>5190.95</v>
      </c>
      <c r="F4" s="54">
        <f>+E4*1.95835</f>
        <v>10165.696932499999</v>
      </c>
      <c r="G4" s="55">
        <f>+C4+90</f>
        <v>40770</v>
      </c>
      <c r="H4" s="56"/>
      <c r="I4" s="53"/>
      <c r="J4" s="55"/>
      <c r="K4" s="57"/>
      <c r="L4" s="219"/>
      <c r="M4" s="220">
        <f>+E4-K4</f>
        <v>5190.95</v>
      </c>
    </row>
    <row r="5" spans="1:16" s="59" customFormat="1">
      <c r="A5" s="334" t="s">
        <v>211</v>
      </c>
      <c r="B5" s="335" t="s">
        <v>212</v>
      </c>
      <c r="C5" s="336">
        <v>41643</v>
      </c>
      <c r="D5" s="337" t="s">
        <v>23</v>
      </c>
      <c r="E5" s="338">
        <v>57678.55</v>
      </c>
      <c r="F5" s="339">
        <f>+E5*1.6528</f>
        <v>95331.107440000007</v>
      </c>
      <c r="G5" s="340">
        <v>41739</v>
      </c>
      <c r="H5" s="341"/>
      <c r="I5" s="336"/>
      <c r="J5" s="340"/>
      <c r="K5" s="491"/>
      <c r="L5" s="492"/>
      <c r="M5" s="342">
        <f>+E5-K5</f>
        <v>57678.55</v>
      </c>
      <c r="N5" s="37"/>
    </row>
    <row r="6" spans="1:16" s="236" customFormat="1">
      <c r="A6" s="507" t="s">
        <v>263</v>
      </c>
      <c r="B6" s="225" t="s">
        <v>264</v>
      </c>
      <c r="C6" s="226">
        <v>41908</v>
      </c>
      <c r="D6" s="227" t="s">
        <v>22</v>
      </c>
      <c r="E6" s="228">
        <v>49816.480000000003</v>
      </c>
      <c r="F6" s="229">
        <f>+E6*2.2713</f>
        <v>113148.17102400001</v>
      </c>
      <c r="G6" s="230">
        <f>+C6+30</f>
        <v>41938</v>
      </c>
      <c r="H6" s="231"/>
      <c r="I6" s="227"/>
      <c r="J6" s="230"/>
      <c r="K6" s="412">
        <f>12416.48+12500+12500+12400</f>
        <v>49816.479999999996</v>
      </c>
      <c r="L6" s="230">
        <v>42011</v>
      </c>
      <c r="M6" s="508">
        <f t="shared" ref="M6:M19" si="0">+E6-K6</f>
        <v>0</v>
      </c>
    </row>
    <row r="7" spans="1:16" s="237" customFormat="1">
      <c r="A7" s="612" t="s">
        <v>68</v>
      </c>
      <c r="B7" s="267" t="s">
        <v>270</v>
      </c>
      <c r="C7" s="269">
        <v>41932</v>
      </c>
      <c r="D7" s="268" t="s">
        <v>23</v>
      </c>
      <c r="E7" s="270">
        <v>366531.25</v>
      </c>
      <c r="F7" s="271">
        <f>+E7*1.78455</f>
        <v>654093.34218749998</v>
      </c>
      <c r="G7" s="279">
        <f>+C7+90</f>
        <v>42022</v>
      </c>
      <c r="H7" s="280">
        <v>520000</v>
      </c>
      <c r="I7" s="269">
        <v>41984</v>
      </c>
      <c r="J7" s="279">
        <v>42060</v>
      </c>
      <c r="K7" s="281">
        <f>69969+99965+181215+15211</f>
        <v>366360</v>
      </c>
      <c r="L7" s="327">
        <v>42240</v>
      </c>
      <c r="M7" s="272">
        <f t="shared" si="0"/>
        <v>171.25</v>
      </c>
    </row>
    <row r="8" spans="1:16" s="237" customFormat="1">
      <c r="A8" s="573" t="s">
        <v>139</v>
      </c>
      <c r="B8" s="212" t="s">
        <v>271</v>
      </c>
      <c r="C8" s="213">
        <v>41953</v>
      </c>
      <c r="D8" s="214" t="s">
        <v>23</v>
      </c>
      <c r="E8" s="215">
        <v>69966</v>
      </c>
      <c r="F8" s="216">
        <f>E8*1.8261</f>
        <v>127764.91260000001</v>
      </c>
      <c r="G8" s="217">
        <v>42058</v>
      </c>
      <c r="H8" s="218"/>
      <c r="I8" s="213"/>
      <c r="J8" s="217"/>
      <c r="K8" s="574">
        <v>69688.740000000005</v>
      </c>
      <c r="L8" s="230"/>
      <c r="M8" s="575">
        <f t="shared" si="0"/>
        <v>277.25999999999476</v>
      </c>
    </row>
    <row r="9" spans="1:16" s="236" customFormat="1">
      <c r="A9" s="507" t="s">
        <v>70</v>
      </c>
      <c r="B9" s="225" t="s">
        <v>272</v>
      </c>
      <c r="C9" s="226">
        <v>41954</v>
      </c>
      <c r="D9" s="227" t="s">
        <v>22</v>
      </c>
      <c r="E9" s="228">
        <v>248331.6</v>
      </c>
      <c r="F9" s="229">
        <f>E9*2.27595</f>
        <v>565190.30501999997</v>
      </c>
      <c r="G9" s="230">
        <f>C9+60</f>
        <v>42014</v>
      </c>
      <c r="H9" s="231"/>
      <c r="I9" s="226"/>
      <c r="J9" s="230"/>
      <c r="K9" s="412">
        <v>247649.36</v>
      </c>
      <c r="L9" s="230">
        <v>42059</v>
      </c>
      <c r="M9" s="508">
        <f t="shared" si="0"/>
        <v>682.24000000001979</v>
      </c>
    </row>
    <row r="10" spans="1:16" s="236" customFormat="1">
      <c r="A10" s="507" t="s">
        <v>70</v>
      </c>
      <c r="B10" s="225" t="s">
        <v>294</v>
      </c>
      <c r="C10" s="226">
        <v>41960</v>
      </c>
      <c r="D10" s="227" t="s">
        <v>22</v>
      </c>
      <c r="E10" s="228">
        <v>83127.600000000006</v>
      </c>
      <c r="F10" s="229">
        <f>+E10*2.28035</f>
        <v>189560.02266000002</v>
      </c>
      <c r="G10" s="230">
        <f>+C10+60</f>
        <v>42020</v>
      </c>
      <c r="H10" s="231"/>
      <c r="I10" s="226"/>
      <c r="J10" s="230"/>
      <c r="K10" s="412">
        <v>82361.740000000005</v>
      </c>
      <c r="L10" s="230"/>
      <c r="M10" s="508">
        <f t="shared" si="0"/>
        <v>765.86000000000058</v>
      </c>
      <c r="O10" s="694"/>
    </row>
    <row r="11" spans="1:16" s="236" customFormat="1">
      <c r="A11" s="507" t="s">
        <v>263</v>
      </c>
      <c r="B11" s="225" t="s">
        <v>295</v>
      </c>
      <c r="C11" s="226">
        <v>41964</v>
      </c>
      <c r="D11" s="227" t="s">
        <v>22</v>
      </c>
      <c r="E11" s="228">
        <v>46784.91</v>
      </c>
      <c r="F11" s="229">
        <f>+E11*2.28005</f>
        <v>106671.93404550002</v>
      </c>
      <c r="G11" s="230">
        <f>+C11+30</f>
        <v>41994</v>
      </c>
      <c r="H11" s="231"/>
      <c r="I11" s="226"/>
      <c r="J11" s="230"/>
      <c r="K11" s="412">
        <f>12500+12500+12500+9284.91</f>
        <v>46784.91</v>
      </c>
      <c r="L11" s="230"/>
      <c r="M11" s="508">
        <f t="shared" si="0"/>
        <v>0</v>
      </c>
    </row>
    <row r="12" spans="1:16" s="236" customFormat="1">
      <c r="A12" s="507" t="s">
        <v>70</v>
      </c>
      <c r="B12" s="225" t="s">
        <v>296</v>
      </c>
      <c r="C12" s="226">
        <v>41969</v>
      </c>
      <c r="D12" s="227" t="s">
        <v>22</v>
      </c>
      <c r="E12" s="228">
        <v>165800.20000000001</v>
      </c>
      <c r="F12" s="229">
        <f>+E12*2.284</f>
        <v>378687.6568</v>
      </c>
      <c r="G12" s="230">
        <f>C12+60</f>
        <v>42029</v>
      </c>
      <c r="H12" s="231"/>
      <c r="I12" s="226"/>
      <c r="J12" s="230"/>
      <c r="K12" s="412">
        <v>165268.84</v>
      </c>
      <c r="L12" s="230">
        <v>42059</v>
      </c>
      <c r="M12" s="508">
        <f t="shared" si="0"/>
        <v>531.36000000001513</v>
      </c>
    </row>
    <row r="13" spans="1:16" s="236" customFormat="1">
      <c r="A13" s="507" t="s">
        <v>70</v>
      </c>
      <c r="B13" s="225" t="s">
        <v>297</v>
      </c>
      <c r="C13" s="226">
        <v>41971</v>
      </c>
      <c r="D13" s="227" t="s">
        <v>22</v>
      </c>
      <c r="E13" s="228">
        <v>168931.3</v>
      </c>
      <c r="F13" s="229">
        <f>E13*2.28115</f>
        <v>385357.63499499991</v>
      </c>
      <c r="G13" s="230">
        <f>+C13+60</f>
        <v>42031</v>
      </c>
      <c r="H13" s="231"/>
      <c r="I13" s="226"/>
      <c r="J13" s="230"/>
      <c r="K13" s="412">
        <v>168693.58</v>
      </c>
      <c r="L13" s="230">
        <v>42058</v>
      </c>
      <c r="M13" s="508">
        <f t="shared" si="0"/>
        <v>237.72000000000116</v>
      </c>
    </row>
    <row r="14" spans="1:16" s="236" customFormat="1">
      <c r="A14" s="507" t="s">
        <v>70</v>
      </c>
      <c r="B14" s="225" t="s">
        <v>303</v>
      </c>
      <c r="C14" s="226">
        <v>41982</v>
      </c>
      <c r="D14" s="227" t="s">
        <v>22</v>
      </c>
      <c r="E14" s="228">
        <v>168781.05</v>
      </c>
      <c r="F14" s="229">
        <f>E14*2.28325</f>
        <v>385369.33241249993</v>
      </c>
      <c r="G14" s="230">
        <f>C14+60</f>
        <v>42042</v>
      </c>
      <c r="H14" s="231"/>
      <c r="I14" s="226"/>
      <c r="J14" s="230"/>
      <c r="K14" s="412">
        <v>168706</v>
      </c>
      <c r="L14" s="230">
        <v>42065</v>
      </c>
      <c r="M14" s="508">
        <f t="shared" si="0"/>
        <v>75.049999999988358</v>
      </c>
    </row>
    <row r="15" spans="1:16" s="236" customFormat="1">
      <c r="A15" s="507" t="s">
        <v>263</v>
      </c>
      <c r="B15" s="225" t="s">
        <v>306</v>
      </c>
      <c r="C15" s="226">
        <v>41992</v>
      </c>
      <c r="D15" s="227" t="s">
        <v>22</v>
      </c>
      <c r="E15" s="228">
        <v>63777.61</v>
      </c>
      <c r="F15" s="229">
        <f>+E15*2.27575</f>
        <v>145141.8959575</v>
      </c>
      <c r="G15" s="230">
        <f>+C15+60</f>
        <v>42052</v>
      </c>
      <c r="H15" s="231"/>
      <c r="I15" s="226"/>
      <c r="J15" s="230"/>
      <c r="K15" s="412">
        <f>12500+11696.48+12081.13+27500</f>
        <v>63777.61</v>
      </c>
      <c r="L15" s="230"/>
      <c r="M15" s="508">
        <f t="shared" si="0"/>
        <v>0</v>
      </c>
      <c r="P15" s="236" t="s">
        <v>29</v>
      </c>
    </row>
    <row r="16" spans="1:16" s="236" customFormat="1">
      <c r="A16" s="507" t="s">
        <v>70</v>
      </c>
      <c r="B16" s="225" t="s">
        <v>307</v>
      </c>
      <c r="C16" s="226">
        <v>41996</v>
      </c>
      <c r="D16" s="227" t="s">
        <v>22</v>
      </c>
      <c r="E16" s="228">
        <v>336267.6</v>
      </c>
      <c r="F16" s="229">
        <f>E16*2.2712</f>
        <v>763730.97311999986</v>
      </c>
      <c r="G16" s="230">
        <f>C16+60</f>
        <v>42056</v>
      </c>
      <c r="H16" s="231"/>
      <c r="I16" s="226"/>
      <c r="J16" s="230"/>
      <c r="K16" s="412">
        <v>336267</v>
      </c>
      <c r="L16" s="230">
        <v>42051</v>
      </c>
      <c r="M16" s="508">
        <f t="shared" si="0"/>
        <v>0.59999999997671694</v>
      </c>
    </row>
    <row r="17" spans="1:20" s="237" customFormat="1">
      <c r="A17" s="612" t="s">
        <v>68</v>
      </c>
      <c r="B17" s="212" t="s">
        <v>308</v>
      </c>
      <c r="C17" s="213">
        <v>41998</v>
      </c>
      <c r="D17" s="214" t="s">
        <v>23</v>
      </c>
      <c r="E17" s="215">
        <v>72221.710000000006</v>
      </c>
      <c r="F17" s="216">
        <f>E17*1.86</f>
        <v>134332.38060000003</v>
      </c>
      <c r="G17" s="217">
        <f>C17+120</f>
        <v>42118</v>
      </c>
      <c r="H17" s="218"/>
      <c r="I17" s="213"/>
      <c r="J17" s="217"/>
      <c r="K17" s="574">
        <v>72680.399999999994</v>
      </c>
      <c r="L17" s="217"/>
      <c r="M17" s="575">
        <f t="shared" si="0"/>
        <v>-458.68999999998778</v>
      </c>
    </row>
    <row r="18" spans="1:20" s="237" customFormat="1">
      <c r="A18" s="612" t="s">
        <v>68</v>
      </c>
      <c r="B18" s="212" t="s">
        <v>309</v>
      </c>
      <c r="C18" s="213">
        <v>41998</v>
      </c>
      <c r="D18" s="214" t="s">
        <v>23</v>
      </c>
      <c r="E18" s="215">
        <v>489.69</v>
      </c>
      <c r="F18" s="216">
        <f>+E18*1.86</f>
        <v>910.82339999999999</v>
      </c>
      <c r="G18" s="217">
        <f>C18+120</f>
        <v>42118</v>
      </c>
      <c r="H18" s="218"/>
      <c r="I18" s="213"/>
      <c r="J18" s="217"/>
      <c r="K18" s="574"/>
      <c r="L18" s="217"/>
      <c r="M18" s="575">
        <f t="shared" si="0"/>
        <v>489.69</v>
      </c>
      <c r="R18" s="611"/>
    </row>
    <row r="19" spans="1:20" ht="13.5" thickBot="1">
      <c r="A19" s="545" t="s">
        <v>70</v>
      </c>
      <c r="B19" s="546" t="s">
        <v>316</v>
      </c>
      <c r="C19" s="547">
        <v>41999</v>
      </c>
      <c r="D19" s="548" t="s">
        <v>22</v>
      </c>
      <c r="E19" s="549">
        <v>167220.25</v>
      </c>
      <c r="F19" s="550">
        <f>+E19*2.2631</f>
        <v>378436.14777500002</v>
      </c>
      <c r="G19" s="551">
        <f>+C19+60</f>
        <v>42059</v>
      </c>
      <c r="H19" s="552"/>
      <c r="I19" s="547"/>
      <c r="J19" s="553"/>
      <c r="K19" s="554">
        <v>167220.25</v>
      </c>
      <c r="L19" s="551">
        <v>42068</v>
      </c>
      <c r="M19" s="555">
        <f t="shared" si="0"/>
        <v>0</v>
      </c>
    </row>
    <row r="20" spans="1:20">
      <c r="A20" s="704" t="s">
        <v>70</v>
      </c>
      <c r="B20" s="705" t="s">
        <v>317</v>
      </c>
      <c r="C20" s="706">
        <v>42011</v>
      </c>
      <c r="D20" s="705" t="s">
        <v>22</v>
      </c>
      <c r="E20" s="707">
        <v>165800.20000000001</v>
      </c>
      <c r="F20" s="708">
        <f>+E20*2.236</f>
        <v>370729.24720000004</v>
      </c>
      <c r="G20" s="709">
        <f>+C20+60</f>
        <v>42071</v>
      </c>
      <c r="H20" s="710"/>
      <c r="I20" s="706"/>
      <c r="J20" s="711"/>
      <c r="K20" s="712">
        <v>165266.41</v>
      </c>
      <c r="L20" s="709">
        <v>42223</v>
      </c>
      <c r="M20" s="713">
        <f>+E20-K20</f>
        <v>533.79000000000815</v>
      </c>
    </row>
    <row r="21" spans="1:20">
      <c r="A21" s="628" t="s">
        <v>70</v>
      </c>
      <c r="B21" s="629" t="s">
        <v>431</v>
      </c>
      <c r="C21" s="630">
        <v>42031</v>
      </c>
      <c r="D21" s="629" t="s">
        <v>22</v>
      </c>
      <c r="E21" s="631">
        <v>252587.8</v>
      </c>
      <c r="F21" s="326">
        <f>E21*2.18405</f>
        <v>551664.38459000003</v>
      </c>
      <c r="G21" s="632">
        <f t="shared" ref="G21:G27" si="1">C21+60</f>
        <v>42091</v>
      </c>
      <c r="H21" s="633"/>
      <c r="I21" s="630"/>
      <c r="J21" s="634"/>
      <c r="K21" s="635">
        <v>250141.85</v>
      </c>
      <c r="L21" s="632"/>
      <c r="M21" s="636">
        <f>E21-K21</f>
        <v>2445.9499999999825</v>
      </c>
    </row>
    <row r="22" spans="1:20">
      <c r="A22" s="628" t="s">
        <v>263</v>
      </c>
      <c r="B22" s="629" t="s">
        <v>439</v>
      </c>
      <c r="C22" s="630">
        <v>42051</v>
      </c>
      <c r="D22" s="629" t="s">
        <v>22</v>
      </c>
      <c r="E22" s="631">
        <v>56976.2</v>
      </c>
      <c r="F22" s="326">
        <f>E22*2.19125</f>
        <v>124849.09825</v>
      </c>
      <c r="G22" s="632">
        <f t="shared" si="1"/>
        <v>42111</v>
      </c>
      <c r="H22" s="633"/>
      <c r="I22" s="630"/>
      <c r="J22" s="634"/>
      <c r="K22" s="635">
        <f>13500+39699.2+3777</f>
        <v>56976.2</v>
      </c>
      <c r="L22" s="632">
        <v>42223</v>
      </c>
      <c r="M22" s="636">
        <f>E22-K22</f>
        <v>0</v>
      </c>
    </row>
    <row r="23" spans="1:20">
      <c r="A23" s="696" t="s">
        <v>70</v>
      </c>
      <c r="B23" s="697" t="s">
        <v>461</v>
      </c>
      <c r="C23" s="698">
        <v>42058</v>
      </c>
      <c r="D23" s="697" t="s">
        <v>22</v>
      </c>
      <c r="E23" s="699">
        <v>306358.5</v>
      </c>
      <c r="F23" s="229">
        <f>2.18605*E23</f>
        <v>669714.99892499996</v>
      </c>
      <c r="G23" s="700">
        <f t="shared" si="1"/>
        <v>42118</v>
      </c>
      <c r="H23" s="701"/>
      <c r="I23" s="698"/>
      <c r="J23" s="702"/>
      <c r="K23" s="703">
        <v>305572.47999999998</v>
      </c>
      <c r="L23" s="700">
        <v>42227</v>
      </c>
      <c r="M23" s="636">
        <f>E23-K23</f>
        <v>786.02000000001863</v>
      </c>
    </row>
    <row r="24" spans="1:20">
      <c r="A24" s="696" t="s">
        <v>263</v>
      </c>
      <c r="B24" s="697" t="s">
        <v>474</v>
      </c>
      <c r="C24" s="698">
        <v>42089</v>
      </c>
      <c r="D24" s="697" t="s">
        <v>22</v>
      </c>
      <c r="E24" s="699">
        <v>24196.48</v>
      </c>
      <c r="F24" s="229">
        <f>+E24*2.10835</f>
        <v>51014.648608000003</v>
      </c>
      <c r="G24" s="700">
        <f t="shared" si="1"/>
        <v>42149</v>
      </c>
      <c r="H24" s="701"/>
      <c r="I24" s="698"/>
      <c r="J24" s="702"/>
      <c r="K24" s="703">
        <f>27975-3777</f>
        <v>24198</v>
      </c>
      <c r="L24" s="700"/>
      <c r="M24" s="636">
        <f t="shared" ref="M24:M68" si="2">E24-K24</f>
        <v>-1.5200000000004366</v>
      </c>
    </row>
    <row r="25" spans="1:20" s="59" customFormat="1">
      <c r="A25" s="588" t="s">
        <v>263</v>
      </c>
      <c r="B25" s="590" t="s">
        <v>475</v>
      </c>
      <c r="C25" s="589">
        <v>42089</v>
      </c>
      <c r="D25" s="590" t="s">
        <v>23</v>
      </c>
      <c r="E25" s="591">
        <v>31976.16</v>
      </c>
      <c r="F25" s="216">
        <f>+E25*1.93835</f>
        <v>61980.989736000003</v>
      </c>
      <c r="G25" s="593">
        <f t="shared" si="1"/>
        <v>42149</v>
      </c>
      <c r="H25" s="594"/>
      <c r="I25" s="589"/>
      <c r="J25" s="596"/>
      <c r="K25" s="595">
        <v>31934.16</v>
      </c>
      <c r="L25" s="593"/>
      <c r="M25" s="597">
        <f t="shared" si="2"/>
        <v>42</v>
      </c>
    </row>
    <row r="26" spans="1:20" s="59" customFormat="1">
      <c r="A26" s="588" t="s">
        <v>139</v>
      </c>
      <c r="B26" s="590" t="s">
        <v>476</v>
      </c>
      <c r="C26" s="589">
        <v>42090</v>
      </c>
      <c r="D26" s="590" t="s">
        <v>23</v>
      </c>
      <c r="E26" s="591">
        <v>60952</v>
      </c>
      <c r="F26" s="216">
        <f>+E26*1.9518</f>
        <v>118966.1136</v>
      </c>
      <c r="G26" s="593">
        <f>C26+90</f>
        <v>42180</v>
      </c>
      <c r="H26" s="594"/>
      <c r="I26" s="589"/>
      <c r="J26" s="596"/>
      <c r="K26" s="595">
        <v>60852</v>
      </c>
      <c r="L26" s="593">
        <v>42207</v>
      </c>
      <c r="M26" s="597">
        <f t="shared" si="2"/>
        <v>100</v>
      </c>
      <c r="P26" s="717"/>
      <c r="Q26" s="717"/>
    </row>
    <row r="27" spans="1:20" s="58" customFormat="1">
      <c r="A27" s="696" t="s">
        <v>70</v>
      </c>
      <c r="B27" s="697" t="s">
        <v>477</v>
      </c>
      <c r="C27" s="698">
        <v>42094</v>
      </c>
      <c r="D27" s="697" t="s">
        <v>22</v>
      </c>
      <c r="E27" s="699">
        <v>329987.84999999998</v>
      </c>
      <c r="F27" s="229">
        <f>+E27*2.10835</f>
        <v>695729.88354750001</v>
      </c>
      <c r="G27" s="700">
        <f t="shared" si="1"/>
        <v>42154</v>
      </c>
      <c r="H27" s="701"/>
      <c r="I27" s="698"/>
      <c r="J27" s="702"/>
      <c r="K27" s="412">
        <v>329581.51</v>
      </c>
      <c r="L27" s="700"/>
      <c r="M27" s="636">
        <f t="shared" si="2"/>
        <v>406.3399999999674</v>
      </c>
    </row>
    <row r="28" spans="1:20" s="59" customFormat="1">
      <c r="A28" s="588" t="s">
        <v>68</v>
      </c>
      <c r="B28" s="590" t="s">
        <v>492</v>
      </c>
      <c r="C28" s="589">
        <v>42117</v>
      </c>
      <c r="D28" s="590" t="s">
        <v>23</v>
      </c>
      <c r="E28" s="591">
        <v>104458.5</v>
      </c>
      <c r="F28" s="216">
        <f>+E28*1.9638</f>
        <v>205135.6023</v>
      </c>
      <c r="G28" s="593">
        <v>42229</v>
      </c>
      <c r="H28" s="594">
        <v>164000</v>
      </c>
      <c r="I28" s="589">
        <v>42131</v>
      </c>
      <c r="J28" s="593">
        <v>42236</v>
      </c>
      <c r="K28" s="595">
        <v>104423.5</v>
      </c>
      <c r="L28" s="593"/>
      <c r="M28" s="597">
        <f t="shared" si="2"/>
        <v>35</v>
      </c>
      <c r="P28" s="765"/>
      <c r="Q28" s="717"/>
    </row>
    <row r="29" spans="1:20">
      <c r="A29" s="696" t="s">
        <v>263</v>
      </c>
      <c r="B29" s="697" t="s">
        <v>493</v>
      </c>
      <c r="C29" s="698">
        <v>42114</v>
      </c>
      <c r="D29" s="697" t="s">
        <v>22</v>
      </c>
      <c r="E29" s="699">
        <v>74831.81</v>
      </c>
      <c r="F29" s="229">
        <f>+E29*2.1019</f>
        <v>157288.981439</v>
      </c>
      <c r="G29" s="700">
        <v>42400</v>
      </c>
      <c r="H29" s="701"/>
      <c r="I29" s="698"/>
      <c r="J29" s="702"/>
      <c r="K29" s="703">
        <f>50000+24831.81</f>
        <v>74831.81</v>
      </c>
      <c r="L29" s="700"/>
      <c r="M29" s="636">
        <f t="shared" si="2"/>
        <v>0</v>
      </c>
      <c r="P29" s="58"/>
      <c r="Q29" s="718"/>
    </row>
    <row r="30" spans="1:20" s="59" customFormat="1">
      <c r="A30" s="588" t="s">
        <v>68</v>
      </c>
      <c r="B30" s="590" t="s">
        <v>500</v>
      </c>
      <c r="C30" s="589">
        <v>42119</v>
      </c>
      <c r="D30" s="590" t="s">
        <v>23</v>
      </c>
      <c r="E30" s="591">
        <v>221063.75</v>
      </c>
      <c r="F30" s="216">
        <f>E30*1.94175</f>
        <v>429250.5365625</v>
      </c>
      <c r="G30" s="593">
        <v>42236</v>
      </c>
      <c r="H30" s="218">
        <v>345000</v>
      </c>
      <c r="I30" s="213">
        <v>42131</v>
      </c>
      <c r="J30" s="217">
        <v>42243</v>
      </c>
      <c r="K30" s="595">
        <f>133480.5+87478</f>
        <v>220958.5</v>
      </c>
      <c r="L30" s="593"/>
      <c r="M30" s="597">
        <f t="shared" si="2"/>
        <v>105.25</v>
      </c>
      <c r="T30" s="586"/>
    </row>
    <row r="31" spans="1:20">
      <c r="A31" s="696" t="s">
        <v>70</v>
      </c>
      <c r="B31" s="697" t="s">
        <v>513</v>
      </c>
      <c r="C31" s="698">
        <v>42123</v>
      </c>
      <c r="D31" s="697" t="s">
        <v>22</v>
      </c>
      <c r="E31" s="228">
        <v>253487.81</v>
      </c>
      <c r="F31" s="229">
        <f>E31*2.15215</f>
        <v>545543.79029149993</v>
      </c>
      <c r="G31" s="700">
        <v>42487</v>
      </c>
      <c r="H31" s="701"/>
      <c r="I31" s="698"/>
      <c r="J31" s="700"/>
      <c r="K31" s="703">
        <v>253240.69</v>
      </c>
      <c r="L31" s="700"/>
      <c r="M31" s="769">
        <f t="shared" si="2"/>
        <v>247.11999999999534</v>
      </c>
      <c r="O31" s="72"/>
      <c r="P31" s="38"/>
      <c r="R31" s="39"/>
      <c r="T31" s="586"/>
    </row>
    <row r="32" spans="1:20" s="59" customFormat="1">
      <c r="A32" s="588" t="s">
        <v>68</v>
      </c>
      <c r="B32" s="590" t="s">
        <v>515</v>
      </c>
      <c r="C32" s="589">
        <v>42145</v>
      </c>
      <c r="D32" s="590" t="s">
        <v>23</v>
      </c>
      <c r="E32" s="591">
        <v>69829.38</v>
      </c>
      <c r="F32" s="216">
        <f>+E32*1.89965</f>
        <v>132651.38171700001</v>
      </c>
      <c r="G32" s="593">
        <v>42272</v>
      </c>
      <c r="H32" s="594">
        <v>105000</v>
      </c>
      <c r="I32" s="589">
        <v>42166</v>
      </c>
      <c r="J32" s="593">
        <v>42208</v>
      </c>
      <c r="K32" s="595">
        <v>69765.509999999995</v>
      </c>
      <c r="L32" s="593"/>
      <c r="M32" s="695">
        <f t="shared" si="2"/>
        <v>63.870000000009895</v>
      </c>
      <c r="P32" s="666"/>
    </row>
    <row r="33" spans="1:18" s="59" customFormat="1">
      <c r="A33" s="588" t="s">
        <v>68</v>
      </c>
      <c r="B33" s="590" t="s">
        <v>516</v>
      </c>
      <c r="C33" s="589">
        <v>42145</v>
      </c>
      <c r="D33" s="590" t="s">
        <v>23</v>
      </c>
      <c r="E33" s="591">
        <v>144978.1</v>
      </c>
      <c r="F33" s="216">
        <f>+E33*1.89965</f>
        <v>275407.647665</v>
      </c>
      <c r="G33" s="593">
        <v>42272</v>
      </c>
      <c r="H33" s="594">
        <v>220000</v>
      </c>
      <c r="I33" s="589">
        <v>42166</v>
      </c>
      <c r="J33" s="593">
        <v>42208</v>
      </c>
      <c r="K33" s="595">
        <f>100014.78+44922.19</f>
        <v>144936.97</v>
      </c>
      <c r="L33" s="593"/>
      <c r="M33" s="695">
        <f t="shared" si="2"/>
        <v>41.130000000004657</v>
      </c>
      <c r="P33" s="666"/>
    </row>
    <row r="34" spans="1:18">
      <c r="A34" s="696" t="s">
        <v>70</v>
      </c>
      <c r="B34" s="697" t="s">
        <v>518</v>
      </c>
      <c r="C34" s="698">
        <v>42143</v>
      </c>
      <c r="D34" s="697" t="s">
        <v>22</v>
      </c>
      <c r="E34" s="699">
        <v>164761.72</v>
      </c>
      <c r="F34" s="229">
        <f>E34*2.15005</f>
        <v>354245.93608599994</v>
      </c>
      <c r="G34" s="700">
        <f>C34+60</f>
        <v>42203</v>
      </c>
      <c r="H34" s="701"/>
      <c r="I34" s="698"/>
      <c r="J34" s="700"/>
      <c r="K34" s="703">
        <v>164524.94</v>
      </c>
      <c r="L34" s="700">
        <v>42306</v>
      </c>
      <c r="M34" s="769">
        <f t="shared" si="2"/>
        <v>236.77999999999884</v>
      </c>
      <c r="P34" s="38"/>
    </row>
    <row r="35" spans="1:18">
      <c r="A35" s="696" t="s">
        <v>70</v>
      </c>
      <c r="B35" s="697" t="s">
        <v>517</v>
      </c>
      <c r="C35" s="698">
        <v>42152</v>
      </c>
      <c r="D35" s="697" t="s">
        <v>22</v>
      </c>
      <c r="E35" s="228">
        <v>412650.5</v>
      </c>
      <c r="F35" s="229">
        <f>+E35*2.15815</f>
        <v>890561.67657500005</v>
      </c>
      <c r="G35" s="700">
        <f>+C35+60</f>
        <v>42212</v>
      </c>
      <c r="H35" s="701"/>
      <c r="I35" s="698"/>
      <c r="J35" s="700"/>
      <c r="K35" s="703">
        <v>412384.19</v>
      </c>
      <c r="L35" s="700"/>
      <c r="M35" s="769">
        <f t="shared" si="2"/>
        <v>266.30999999999767</v>
      </c>
      <c r="N35" s="58"/>
    </row>
    <row r="36" spans="1:18">
      <c r="A36" s="696" t="s">
        <v>263</v>
      </c>
      <c r="B36" s="697" t="s">
        <v>539</v>
      </c>
      <c r="C36" s="698">
        <v>42163</v>
      </c>
      <c r="D36" s="697" t="s">
        <v>22</v>
      </c>
      <c r="E36" s="699">
        <v>68792.399999999994</v>
      </c>
      <c r="F36" s="229">
        <f>E36*2.1662</f>
        <v>149018.09687999997</v>
      </c>
      <c r="G36" s="700">
        <f>C36+60</f>
        <v>42223</v>
      </c>
      <c r="H36" s="701"/>
      <c r="I36" s="698"/>
      <c r="J36" s="700"/>
      <c r="K36" s="703">
        <f>11792.4+30000+27000</f>
        <v>68792.399999999994</v>
      </c>
      <c r="L36" s="700"/>
      <c r="M36" s="766">
        <f t="shared" si="2"/>
        <v>0</v>
      </c>
    </row>
    <row r="37" spans="1:18" s="59" customFormat="1">
      <c r="A37" s="588" t="s">
        <v>68</v>
      </c>
      <c r="B37" s="590" t="s">
        <v>540</v>
      </c>
      <c r="C37" s="589">
        <v>42167</v>
      </c>
      <c r="D37" s="590" t="s">
        <v>23</v>
      </c>
      <c r="E37" s="591">
        <v>104744.07</v>
      </c>
      <c r="F37" s="216">
        <f>E37*1.91425</f>
        <v>200506.33599750002</v>
      </c>
      <c r="G37" s="593">
        <v>42297</v>
      </c>
      <c r="H37" s="594"/>
      <c r="I37" s="589"/>
      <c r="J37" s="593"/>
      <c r="K37" s="595">
        <v>104709.07</v>
      </c>
      <c r="L37" s="593"/>
      <c r="M37" s="695">
        <f t="shared" si="2"/>
        <v>35</v>
      </c>
    </row>
    <row r="38" spans="1:18" s="59" customFormat="1">
      <c r="A38" s="588" t="s">
        <v>68</v>
      </c>
      <c r="B38" s="590" t="s">
        <v>541</v>
      </c>
      <c r="C38" s="589">
        <v>42167</v>
      </c>
      <c r="D38" s="590" t="s">
        <v>23</v>
      </c>
      <c r="E38" s="591">
        <v>181104.28</v>
      </c>
      <c r="F38" s="216">
        <f>E38*1.93475</f>
        <v>350391.50572999998</v>
      </c>
      <c r="G38" s="593">
        <v>42310</v>
      </c>
      <c r="H38" s="594"/>
      <c r="I38" s="589"/>
      <c r="J38" s="593"/>
      <c r="K38" s="595">
        <f>30189.4+150813</f>
        <v>181002.4</v>
      </c>
      <c r="L38" s="593"/>
      <c r="M38" s="695">
        <f t="shared" si="2"/>
        <v>101.88000000000466</v>
      </c>
    </row>
    <row r="39" spans="1:18">
      <c r="A39" s="696" t="s">
        <v>263</v>
      </c>
      <c r="B39" s="697" t="s">
        <v>561</v>
      </c>
      <c r="C39" s="698">
        <v>42180</v>
      </c>
      <c r="D39" s="697" t="s">
        <v>22</v>
      </c>
      <c r="E39" s="699">
        <v>53240.45</v>
      </c>
      <c r="F39" s="229">
        <f>E39*2.1593</f>
        <v>114962.10368499999</v>
      </c>
      <c r="G39" s="700">
        <f>+C39+60</f>
        <v>42240</v>
      </c>
      <c r="H39" s="701"/>
      <c r="I39" s="698"/>
      <c r="J39" s="700"/>
      <c r="K39" s="703">
        <f>3245.45+30000+19995</f>
        <v>53240.45</v>
      </c>
      <c r="L39" s="700"/>
      <c r="M39" s="769">
        <f t="shared" si="2"/>
        <v>0</v>
      </c>
    </row>
    <row r="40" spans="1:18">
      <c r="A40" s="696" t="s">
        <v>263</v>
      </c>
      <c r="B40" s="697" t="s">
        <v>586</v>
      </c>
      <c r="C40" s="698">
        <v>42185</v>
      </c>
      <c r="D40" s="697" t="s">
        <v>22</v>
      </c>
      <c r="E40" s="699">
        <v>60316.480000000003</v>
      </c>
      <c r="F40" s="229">
        <f>+E40*2.15375</f>
        <v>129906.61880000001</v>
      </c>
      <c r="G40" s="700">
        <f>+C40+60</f>
        <v>42245</v>
      </c>
      <c r="H40" s="701"/>
      <c r="I40" s="698"/>
      <c r="J40" s="700"/>
      <c r="K40" s="703">
        <f>10322+15000+12500+12500+9994.48</f>
        <v>60316.479999999996</v>
      </c>
      <c r="L40" s="700"/>
      <c r="M40" s="769">
        <f t="shared" si="2"/>
        <v>0</v>
      </c>
    </row>
    <row r="41" spans="1:18" s="59" customFormat="1">
      <c r="A41" s="588" t="s">
        <v>263</v>
      </c>
      <c r="B41" s="590" t="s">
        <v>587</v>
      </c>
      <c r="C41" s="589">
        <v>42199</v>
      </c>
      <c r="D41" s="590" t="s">
        <v>23</v>
      </c>
      <c r="E41" s="591">
        <v>21570.720000000001</v>
      </c>
      <c r="F41" s="216">
        <f>+E41*1.9564</f>
        <v>42200.956608</v>
      </c>
      <c r="G41" s="593">
        <f>+C41+60</f>
        <v>42259</v>
      </c>
      <c r="H41" s="594"/>
      <c r="I41" s="589"/>
      <c r="J41" s="593"/>
      <c r="K41" s="595">
        <v>21528.720000000001</v>
      </c>
      <c r="L41" s="593"/>
      <c r="M41" s="695">
        <f t="shared" si="2"/>
        <v>42</v>
      </c>
    </row>
    <row r="42" spans="1:18">
      <c r="A42" s="696" t="s">
        <v>263</v>
      </c>
      <c r="B42" s="697" t="s">
        <v>619</v>
      </c>
      <c r="C42" s="698">
        <v>42206</v>
      </c>
      <c r="D42" s="697" t="s">
        <v>22</v>
      </c>
      <c r="E42" s="699">
        <v>34234.15</v>
      </c>
      <c r="F42" s="229">
        <f>+E42*2.1498</f>
        <v>73596.575670000006</v>
      </c>
      <c r="G42" s="700">
        <f>+C42+60</f>
        <v>42266</v>
      </c>
      <c r="H42" s="701"/>
      <c r="I42" s="698"/>
      <c r="J42" s="700"/>
      <c r="K42" s="703">
        <v>34234.15</v>
      </c>
      <c r="L42" s="700"/>
      <c r="M42" s="769">
        <f t="shared" si="2"/>
        <v>0</v>
      </c>
    </row>
    <row r="43" spans="1:18" s="59" customFormat="1">
      <c r="A43" s="588" t="s">
        <v>68</v>
      </c>
      <c r="B43" s="590" t="s">
        <v>620</v>
      </c>
      <c r="C43" s="589">
        <v>42215</v>
      </c>
      <c r="D43" s="590" t="s">
        <v>23</v>
      </c>
      <c r="E43" s="591">
        <v>104428.44</v>
      </c>
      <c r="F43" s="216">
        <f>+E43*1.9603</f>
        <v>204711.070932</v>
      </c>
      <c r="G43" s="593">
        <v>42347</v>
      </c>
      <c r="H43" s="594">
        <v>165000</v>
      </c>
      <c r="I43" s="589">
        <v>42284</v>
      </c>
      <c r="J43" s="593">
        <v>42307</v>
      </c>
      <c r="K43" s="937">
        <v>104428.44</v>
      </c>
      <c r="L43" s="593"/>
      <c r="M43" s="695">
        <f t="shared" si="2"/>
        <v>0</v>
      </c>
    </row>
    <row r="44" spans="1:18" s="59" customFormat="1">
      <c r="A44" s="588" t="s">
        <v>68</v>
      </c>
      <c r="B44" s="590" t="s">
        <v>621</v>
      </c>
      <c r="C44" s="589">
        <v>42215</v>
      </c>
      <c r="D44" s="590" t="s">
        <v>23</v>
      </c>
      <c r="E44" s="591">
        <v>164628.14000000001</v>
      </c>
      <c r="F44" s="216">
        <f>+E44*1.9603</f>
        <v>322720.54284200002</v>
      </c>
      <c r="G44" s="593">
        <v>42347</v>
      </c>
      <c r="H44" s="594">
        <v>255000</v>
      </c>
      <c r="I44" s="589">
        <v>42284</v>
      </c>
      <c r="J44" s="593">
        <v>42307</v>
      </c>
      <c r="K44" s="937">
        <f>30189.4+134378</f>
        <v>164567.4</v>
      </c>
      <c r="L44" s="593"/>
      <c r="M44" s="695">
        <f t="shared" si="2"/>
        <v>60.740000000019791</v>
      </c>
    </row>
    <row r="45" spans="1:18">
      <c r="A45" s="696" t="s">
        <v>263</v>
      </c>
      <c r="B45" s="697" t="s">
        <v>622</v>
      </c>
      <c r="C45" s="698">
        <v>42212</v>
      </c>
      <c r="D45" s="697" t="s">
        <v>22</v>
      </c>
      <c r="E45" s="699">
        <v>53866.73</v>
      </c>
      <c r="F45" s="229">
        <f>+E45*2.15665</f>
        <v>116171.68325450001</v>
      </c>
      <c r="G45" s="700">
        <f>+C45+60</f>
        <v>42272</v>
      </c>
      <c r="H45" s="701"/>
      <c r="I45" s="698"/>
      <c r="J45" s="700"/>
      <c r="K45" s="907">
        <f>23866.73+30000</f>
        <v>53866.729999999996</v>
      </c>
      <c r="L45" s="700"/>
      <c r="M45" s="769">
        <f t="shared" si="2"/>
        <v>0</v>
      </c>
    </row>
    <row r="46" spans="1:18">
      <c r="A46" s="696" t="s">
        <v>70</v>
      </c>
      <c r="B46" s="697" t="s">
        <v>765</v>
      </c>
      <c r="C46" s="698">
        <v>42212</v>
      </c>
      <c r="D46" s="697" t="s">
        <v>22</v>
      </c>
      <c r="E46" s="699">
        <v>512068.53</v>
      </c>
      <c r="F46" s="229">
        <f>+E46*2.1567</f>
        <v>1104378.1986509999</v>
      </c>
      <c r="G46" s="700">
        <f>+C46+60</f>
        <v>42272</v>
      </c>
      <c r="H46" s="701"/>
      <c r="I46" s="698"/>
      <c r="J46" s="700"/>
      <c r="K46" s="920">
        <v>511825.4</v>
      </c>
      <c r="L46" s="700"/>
      <c r="M46" s="769">
        <f t="shared" si="2"/>
        <v>243.13000000000466</v>
      </c>
      <c r="R46" s="39"/>
    </row>
    <row r="47" spans="1:18">
      <c r="A47" s="696" t="s">
        <v>70</v>
      </c>
      <c r="B47" s="697" t="s">
        <v>766</v>
      </c>
      <c r="C47" s="698">
        <v>42241</v>
      </c>
      <c r="D47" s="697" t="s">
        <v>22</v>
      </c>
      <c r="E47" s="699">
        <v>625276.09</v>
      </c>
      <c r="F47" s="229">
        <f>E47*2.181</f>
        <v>1363727.1522899999</v>
      </c>
      <c r="G47" s="700">
        <f>C47+60</f>
        <v>42301</v>
      </c>
      <c r="H47" s="701"/>
      <c r="I47" s="698"/>
      <c r="J47" s="700"/>
      <c r="K47" s="920">
        <f>625276.09-1349</f>
        <v>623927.09</v>
      </c>
      <c r="L47" s="700"/>
      <c r="M47" s="769">
        <f t="shared" si="2"/>
        <v>1349</v>
      </c>
    </row>
    <row r="48" spans="1:18" s="59" customFormat="1">
      <c r="A48" s="292" t="s">
        <v>263</v>
      </c>
      <c r="B48" s="293" t="s">
        <v>769</v>
      </c>
      <c r="C48" s="294">
        <v>42254</v>
      </c>
      <c r="D48" s="293" t="s">
        <v>23</v>
      </c>
      <c r="E48" s="295">
        <v>14781.14</v>
      </c>
      <c r="F48" s="672">
        <f>E48*1.9484</f>
        <v>28799.573175999998</v>
      </c>
      <c r="G48" s="316">
        <f>+C48+60</f>
        <v>42314</v>
      </c>
      <c r="H48" s="320"/>
      <c r="I48" s="294"/>
      <c r="J48" s="316"/>
      <c r="K48" s="315"/>
      <c r="L48" s="316"/>
      <c r="M48" s="494">
        <f t="shared" si="2"/>
        <v>14781.14</v>
      </c>
    </row>
    <row r="49" spans="1:18">
      <c r="A49" s="60" t="s">
        <v>263</v>
      </c>
      <c r="B49" s="62" t="s">
        <v>770</v>
      </c>
      <c r="C49" s="61">
        <v>42254</v>
      </c>
      <c r="D49" s="62" t="s">
        <v>22</v>
      </c>
      <c r="E49" s="63">
        <v>54510.8</v>
      </c>
      <c r="F49" s="671">
        <f>E49*2.18515</f>
        <v>119114.27462000001</v>
      </c>
      <c r="G49" s="318">
        <f>+C49+60</f>
        <v>42314</v>
      </c>
      <c r="H49" s="321"/>
      <c r="I49" s="61"/>
      <c r="J49" s="318"/>
      <c r="K49" s="317"/>
      <c r="L49" s="318"/>
      <c r="M49" s="221">
        <f t="shared" si="2"/>
        <v>54510.8</v>
      </c>
    </row>
    <row r="50" spans="1:18" s="59" customFormat="1">
      <c r="A50" s="588" t="s">
        <v>139</v>
      </c>
      <c r="B50" s="590" t="s">
        <v>827</v>
      </c>
      <c r="C50" s="589">
        <v>42257</v>
      </c>
      <c r="D50" s="590" t="s">
        <v>23</v>
      </c>
      <c r="E50" s="591">
        <v>57199.5</v>
      </c>
      <c r="F50" s="216">
        <f>+E50*1.92765</f>
        <v>110260.616175</v>
      </c>
      <c r="G50" s="593">
        <v>42366</v>
      </c>
      <c r="H50" s="594"/>
      <c r="I50" s="589"/>
      <c r="J50" s="593"/>
      <c r="K50" s="595">
        <v>57099.15</v>
      </c>
      <c r="L50" s="593"/>
      <c r="M50" s="695">
        <f t="shared" si="2"/>
        <v>100.34999999999854</v>
      </c>
    </row>
    <row r="51" spans="1:18" s="59" customFormat="1">
      <c r="A51" s="292" t="s">
        <v>263</v>
      </c>
      <c r="B51" s="293" t="s">
        <v>828</v>
      </c>
      <c r="C51" s="294">
        <v>42257</v>
      </c>
      <c r="D51" s="293" t="s">
        <v>23</v>
      </c>
      <c r="E51" s="295">
        <v>17627.78</v>
      </c>
      <c r="F51" s="672">
        <f>+E51*1.94355</f>
        <v>34260.471818999999</v>
      </c>
      <c r="G51" s="316">
        <f>+C51+60</f>
        <v>42317</v>
      </c>
      <c r="H51" s="320"/>
      <c r="I51" s="294"/>
      <c r="J51" s="316"/>
      <c r="K51" s="315"/>
      <c r="L51" s="316"/>
      <c r="M51" s="494">
        <f t="shared" si="2"/>
        <v>17627.78</v>
      </c>
    </row>
    <row r="52" spans="1:18">
      <c r="A52" s="60" t="s">
        <v>263</v>
      </c>
      <c r="B52" s="62" t="s">
        <v>829</v>
      </c>
      <c r="C52" s="61">
        <v>42257</v>
      </c>
      <c r="D52" s="62" t="s">
        <v>22</v>
      </c>
      <c r="E52" s="63">
        <v>58227.99</v>
      </c>
      <c r="F52" s="671">
        <f>+E52*2.19075</f>
        <v>127562.96909249999</v>
      </c>
      <c r="G52" s="318">
        <f>+C52+60</f>
        <v>42317</v>
      </c>
      <c r="H52" s="321"/>
      <c r="I52" s="61"/>
      <c r="J52" s="318"/>
      <c r="K52" s="317"/>
      <c r="L52" s="318"/>
      <c r="M52" s="221">
        <f t="shared" si="2"/>
        <v>58227.99</v>
      </c>
    </row>
    <row r="53" spans="1:18" s="59" customFormat="1">
      <c r="A53" s="292" t="s">
        <v>68</v>
      </c>
      <c r="B53" s="293" t="s">
        <v>830</v>
      </c>
      <c r="C53" s="294">
        <v>42268</v>
      </c>
      <c r="D53" s="293" t="s">
        <v>23</v>
      </c>
      <c r="E53" s="295">
        <v>123391.29</v>
      </c>
      <c r="F53" s="672">
        <f>E53*1.9496</f>
        <v>240563.65898399998</v>
      </c>
      <c r="G53" s="316">
        <v>42400</v>
      </c>
      <c r="H53" s="320"/>
      <c r="I53" s="294"/>
      <c r="J53" s="316"/>
      <c r="K53" s="315">
        <v>60289.4</v>
      </c>
      <c r="L53" s="316"/>
      <c r="M53" s="494">
        <f t="shared" si="2"/>
        <v>63101.889999999992</v>
      </c>
      <c r="R53" s="760"/>
    </row>
    <row r="54" spans="1:18">
      <c r="A54" s="696" t="s">
        <v>70</v>
      </c>
      <c r="B54" s="697" t="s">
        <v>832</v>
      </c>
      <c r="C54" s="698">
        <v>42275</v>
      </c>
      <c r="D54" s="697" t="s">
        <v>22</v>
      </c>
      <c r="E54" s="699">
        <v>694484.64</v>
      </c>
      <c r="F54" s="229">
        <f>+E54*2.18915</f>
        <v>1520331.0496560002</v>
      </c>
      <c r="G54" s="700">
        <f>+C54+120</f>
        <v>42395</v>
      </c>
      <c r="H54" s="701"/>
      <c r="I54" s="698"/>
      <c r="J54" s="700"/>
      <c r="K54" s="703">
        <v>249925</v>
      </c>
      <c r="L54" s="700"/>
      <c r="M54" s="769">
        <f t="shared" si="2"/>
        <v>444559.64</v>
      </c>
    </row>
    <row r="55" spans="1:18" s="59" customFormat="1">
      <c r="A55" s="292" t="s">
        <v>263</v>
      </c>
      <c r="B55" s="293" t="s">
        <v>1089</v>
      </c>
      <c r="C55" s="294">
        <v>42282</v>
      </c>
      <c r="D55" s="293" t="s">
        <v>23</v>
      </c>
      <c r="E55" s="295">
        <v>62641.2</v>
      </c>
      <c r="F55" s="672">
        <f>+E55*1.93585</f>
        <v>121263.96702</v>
      </c>
      <c r="G55" s="316">
        <f>+C55+60</f>
        <v>42342</v>
      </c>
      <c r="H55" s="320"/>
      <c r="I55" s="294"/>
      <c r="J55" s="316"/>
      <c r="K55" s="807"/>
      <c r="L55" s="806"/>
      <c r="M55" s="494">
        <f t="shared" si="2"/>
        <v>62641.2</v>
      </c>
      <c r="R55" s="760"/>
    </row>
    <row r="56" spans="1:18" s="59" customFormat="1">
      <c r="A56" s="292" t="s">
        <v>139</v>
      </c>
      <c r="B56" s="293" t="s">
        <v>1090</v>
      </c>
      <c r="C56" s="294">
        <v>42293</v>
      </c>
      <c r="D56" s="293" t="s">
        <v>23</v>
      </c>
      <c r="E56" s="295">
        <v>57816</v>
      </c>
      <c r="F56" s="672">
        <f>E56*1.94635</f>
        <v>112530.1716</v>
      </c>
      <c r="G56" s="316">
        <v>42394</v>
      </c>
      <c r="H56" s="320"/>
      <c r="I56" s="294"/>
      <c r="J56" s="316"/>
      <c r="K56" s="315"/>
      <c r="L56" s="316"/>
      <c r="M56" s="494">
        <f t="shared" si="2"/>
        <v>57816</v>
      </c>
      <c r="R56" s="760"/>
    </row>
    <row r="57" spans="1:18" s="59" customFormat="1">
      <c r="A57" s="292" t="s">
        <v>263</v>
      </c>
      <c r="B57" s="293" t="s">
        <v>1091</v>
      </c>
      <c r="C57" s="294">
        <v>42297</v>
      </c>
      <c r="D57" s="293" t="s">
        <v>23</v>
      </c>
      <c r="E57" s="295">
        <v>16523.330000000002</v>
      </c>
      <c r="F57" s="672">
        <f>E57*1.97865</f>
        <v>32693.886904500003</v>
      </c>
      <c r="G57" s="316">
        <f>C57+60</f>
        <v>42357</v>
      </c>
      <c r="H57" s="320"/>
      <c r="I57" s="294"/>
      <c r="J57" s="316"/>
      <c r="K57" s="315"/>
      <c r="L57" s="316"/>
      <c r="M57" s="494">
        <f t="shared" si="2"/>
        <v>16523.330000000002</v>
      </c>
      <c r="R57" s="760"/>
    </row>
    <row r="58" spans="1:18" s="59" customFormat="1">
      <c r="A58" s="292" t="s">
        <v>68</v>
      </c>
      <c r="B58" s="293" t="s">
        <v>1092</v>
      </c>
      <c r="C58" s="294">
        <v>42298</v>
      </c>
      <c r="D58" s="293" t="s">
        <v>23</v>
      </c>
      <c r="E58" s="295">
        <v>247949.91</v>
      </c>
      <c r="F58" s="672">
        <f>E58*1.9907</f>
        <v>493593.88583699998</v>
      </c>
      <c r="G58" s="316">
        <v>42431</v>
      </c>
      <c r="H58" s="320">
        <v>395000</v>
      </c>
      <c r="I58" s="294"/>
      <c r="J58" s="316">
        <f>+C58+90</f>
        <v>42388</v>
      </c>
      <c r="K58" s="315"/>
      <c r="L58" s="316"/>
      <c r="M58" s="494">
        <f t="shared" si="2"/>
        <v>247949.91</v>
      </c>
      <c r="R58" s="760"/>
    </row>
    <row r="59" spans="1:18">
      <c r="A59" s="60" t="s">
        <v>263</v>
      </c>
      <c r="B59" s="62" t="s">
        <v>1093</v>
      </c>
      <c r="C59" s="61">
        <v>42300</v>
      </c>
      <c r="D59" s="62" t="s">
        <v>22</v>
      </c>
      <c r="E59" s="63">
        <v>45782.32</v>
      </c>
      <c r="F59" s="671">
        <f>E59*2.1847</f>
        <v>100020.63450399999</v>
      </c>
      <c r="G59" s="318">
        <f>C59+60</f>
        <v>42360</v>
      </c>
      <c r="H59" s="321"/>
      <c r="I59" s="61"/>
      <c r="J59" s="318"/>
      <c r="K59" s="317"/>
      <c r="L59" s="318"/>
      <c r="M59" s="221">
        <f t="shared" si="2"/>
        <v>45782.32</v>
      </c>
      <c r="R59" s="39"/>
    </row>
    <row r="60" spans="1:18">
      <c r="A60" s="696" t="s">
        <v>70</v>
      </c>
      <c r="B60" s="697" t="s">
        <v>1105</v>
      </c>
      <c r="C60" s="698">
        <v>42304</v>
      </c>
      <c r="D60" s="697" t="s">
        <v>22</v>
      </c>
      <c r="E60" s="699">
        <v>171187.14</v>
      </c>
      <c r="F60" s="229">
        <f>+E60*2.1845</f>
        <v>373958.30733000004</v>
      </c>
      <c r="G60" s="700">
        <f>+C60+60</f>
        <v>42364</v>
      </c>
      <c r="H60" s="701"/>
      <c r="I60" s="698"/>
      <c r="J60" s="700"/>
      <c r="K60" s="703">
        <v>171112</v>
      </c>
      <c r="L60" s="700"/>
      <c r="M60" s="769">
        <f t="shared" si="2"/>
        <v>75.14000000001397</v>
      </c>
      <c r="R60" s="39"/>
    </row>
    <row r="61" spans="1:18">
      <c r="A61" s="60" t="s">
        <v>263</v>
      </c>
      <c r="B61" s="62" t="s">
        <v>1104</v>
      </c>
      <c r="C61" s="61">
        <v>42304</v>
      </c>
      <c r="D61" s="62" t="s">
        <v>22</v>
      </c>
      <c r="E61" s="63">
        <v>53499.12</v>
      </c>
      <c r="F61" s="671">
        <f>E61*2.18275</f>
        <v>116775.20418</v>
      </c>
      <c r="G61" s="318">
        <f>C61+60</f>
        <v>42364</v>
      </c>
      <c r="H61" s="321"/>
      <c r="I61" s="61"/>
      <c r="J61" s="318"/>
      <c r="K61" s="317"/>
      <c r="L61" s="318"/>
      <c r="M61" s="221">
        <f t="shared" si="2"/>
        <v>53499.12</v>
      </c>
    </row>
    <row r="62" spans="1:18" s="59" customFormat="1">
      <c r="A62" s="292" t="s">
        <v>68</v>
      </c>
      <c r="B62" s="293" t="s">
        <v>1130</v>
      </c>
      <c r="C62" s="294">
        <v>42317</v>
      </c>
      <c r="D62" s="293" t="s">
        <v>23</v>
      </c>
      <c r="E62" s="295">
        <v>122472.96000000001</v>
      </c>
      <c r="F62" s="672">
        <f>+E62*2.017</f>
        <v>247027.96032000001</v>
      </c>
      <c r="G62" s="316">
        <v>42442</v>
      </c>
      <c r="H62" s="320">
        <v>195000</v>
      </c>
      <c r="I62" s="294"/>
      <c r="J62" s="316">
        <f>+C62+90</f>
        <v>42407</v>
      </c>
      <c r="K62" s="315"/>
      <c r="L62" s="316"/>
      <c r="M62" s="494">
        <f t="shared" si="2"/>
        <v>122472.96000000001</v>
      </c>
    </row>
    <row r="63" spans="1:18">
      <c r="A63" s="60" t="s">
        <v>70</v>
      </c>
      <c r="B63" s="62" t="s">
        <v>1131</v>
      </c>
      <c r="C63" s="61">
        <v>42331</v>
      </c>
      <c r="D63" s="62" t="s">
        <v>22</v>
      </c>
      <c r="E63" s="63">
        <v>164761.72</v>
      </c>
      <c r="F63" s="671">
        <f>+E63*2.169</f>
        <v>357368.17067999998</v>
      </c>
      <c r="G63" s="318">
        <f>+C63+90</f>
        <v>42421</v>
      </c>
      <c r="H63" s="321"/>
      <c r="I63" s="61"/>
      <c r="J63" s="318"/>
      <c r="K63" s="317"/>
      <c r="L63" s="318"/>
      <c r="M63" s="221">
        <f t="shared" si="2"/>
        <v>164761.72</v>
      </c>
    </row>
    <row r="64" spans="1:18" s="59" customFormat="1">
      <c r="A64" s="292" t="s">
        <v>139</v>
      </c>
      <c r="B64" s="293" t="s">
        <v>1127</v>
      </c>
      <c r="C64" s="294">
        <v>42333</v>
      </c>
      <c r="D64" s="293" t="s">
        <v>23</v>
      </c>
      <c r="E64" s="295">
        <v>61196.5</v>
      </c>
      <c r="F64" s="672">
        <f>+E64*2.0476</f>
        <v>125305.9534</v>
      </c>
      <c r="G64" s="316">
        <v>42431</v>
      </c>
      <c r="H64" s="320"/>
      <c r="I64" s="294"/>
      <c r="J64" s="316"/>
      <c r="K64" s="315"/>
      <c r="L64" s="316"/>
      <c r="M64" s="494">
        <f t="shared" si="2"/>
        <v>61196.5</v>
      </c>
    </row>
    <row r="65" spans="1:14" s="59" customFormat="1">
      <c r="A65" s="292" t="s">
        <v>139</v>
      </c>
      <c r="B65" s="293" t="s">
        <v>1128</v>
      </c>
      <c r="C65" s="294">
        <v>42333</v>
      </c>
      <c r="D65" s="293" t="s">
        <v>23</v>
      </c>
      <c r="E65" s="295">
        <v>61861.5</v>
      </c>
      <c r="F65" s="672">
        <f>+E65*2.0476</f>
        <v>126667.60740000001</v>
      </c>
      <c r="G65" s="316">
        <v>42431</v>
      </c>
      <c r="H65" s="320"/>
      <c r="I65" s="294"/>
      <c r="J65" s="316"/>
      <c r="K65" s="315"/>
      <c r="L65" s="316"/>
      <c r="M65" s="494">
        <f t="shared" si="2"/>
        <v>61861.5</v>
      </c>
    </row>
    <row r="66" spans="1:14" s="853" customFormat="1">
      <c r="A66" s="841" t="s">
        <v>68</v>
      </c>
      <c r="B66" s="842" t="s">
        <v>1137</v>
      </c>
      <c r="C66" s="843">
        <v>42356</v>
      </c>
      <c r="D66" s="844" t="s">
        <v>23</v>
      </c>
      <c r="E66" s="845">
        <v>217912.86</v>
      </c>
      <c r="F66" s="846">
        <f>E66*2.01185</f>
        <v>438407.98739099997</v>
      </c>
      <c r="G66" s="847">
        <f>+C66+120</f>
        <v>42476</v>
      </c>
      <c r="H66" s="848"/>
      <c r="I66" s="844"/>
      <c r="J66" s="849"/>
      <c r="K66" s="850"/>
      <c r="L66" s="849"/>
      <c r="M66" s="851">
        <f t="shared" si="2"/>
        <v>217912.86</v>
      </c>
      <c r="N66" s="852"/>
    </row>
    <row r="67" spans="1:14" s="866" customFormat="1">
      <c r="A67" s="854" t="s">
        <v>70</v>
      </c>
      <c r="B67" s="855" t="s">
        <v>1138</v>
      </c>
      <c r="C67" s="856">
        <v>42359</v>
      </c>
      <c r="D67" s="857" t="s">
        <v>22</v>
      </c>
      <c r="E67" s="858">
        <v>694484.64</v>
      </c>
      <c r="F67" s="859">
        <f>E67*2.19375</f>
        <v>1523525.679</v>
      </c>
      <c r="G67" s="860">
        <f>+C67+60</f>
        <v>42419</v>
      </c>
      <c r="H67" s="861"/>
      <c r="I67" s="857"/>
      <c r="J67" s="862"/>
      <c r="K67" s="863"/>
      <c r="L67" s="862"/>
      <c r="M67" s="864">
        <f t="shared" si="2"/>
        <v>694484.64</v>
      </c>
      <c r="N67" s="865"/>
    </row>
    <row r="68" spans="1:14" s="866" customFormat="1" ht="13.5" thickBot="1">
      <c r="A68" s="867" t="s">
        <v>68</v>
      </c>
      <c r="B68" s="868" t="s">
        <v>1139</v>
      </c>
      <c r="C68" s="869">
        <v>42363</v>
      </c>
      <c r="D68" s="870" t="s">
        <v>22</v>
      </c>
      <c r="E68" s="871">
        <v>2590.8000000000002</v>
      </c>
      <c r="F68" s="872">
        <f>+E68*2.19995</f>
        <v>5699.6304600000003</v>
      </c>
      <c r="G68" s="873">
        <f>+C68+120</f>
        <v>42483</v>
      </c>
      <c r="H68" s="874"/>
      <c r="I68" s="870"/>
      <c r="J68" s="875"/>
      <c r="K68" s="876"/>
      <c r="L68" s="875"/>
      <c r="M68" s="313">
        <f t="shared" si="2"/>
        <v>2590.8000000000002</v>
      </c>
      <c r="N68" s="865"/>
    </row>
    <row r="69" spans="1:14" ht="13.5" thickBot="1"/>
    <row r="70" spans="1:14" ht="13.5" thickBot="1">
      <c r="A70" s="1020" t="s">
        <v>419</v>
      </c>
      <c r="B70" s="1021"/>
      <c r="C70" s="1021"/>
      <c r="D70" s="1021"/>
      <c r="E70" s="1022"/>
      <c r="F70" s="71"/>
      <c r="G70" s="1023" t="s">
        <v>71</v>
      </c>
      <c r="H70" s="1024"/>
      <c r="J70" s="72"/>
    </row>
    <row r="71" spans="1:14">
      <c r="A71" s="1025" t="s">
        <v>72</v>
      </c>
      <c r="B71" s="1026"/>
      <c r="C71" s="1026"/>
      <c r="D71" s="1026"/>
      <c r="E71" s="73">
        <f>E25+E26+E28+E30+E32+E33+E37+E38+E41+E43+E44+E48+E50+E51+E53+E55+E56+E57+E58+E62+E64+E65</f>
        <v>2053194.65</v>
      </c>
      <c r="F71" s="73">
        <f>F25+F26+F28+F30+F32+F33+F37+F38+F41+F43+F44+F48+F50+F51+F53+F55+F56+F57+F58+F62+F64+F65</f>
        <v>4016890.4363254993</v>
      </c>
      <c r="G71" s="73">
        <f>+M38+M43+M44+M48+M50+M51+M53+M55+M56+M57++M58+M62+M64+M65</f>
        <v>726235.17999999993</v>
      </c>
      <c r="H71" s="73">
        <f>+M38*1.93475+F43+F44+F48+F50+F51+F53+F55+F56+F57+F58+F62+F64+F65</f>
        <v>2200596.4787395</v>
      </c>
      <c r="J71" s="72"/>
    </row>
    <row r="72" spans="1:14" ht="13.5" thickBot="1">
      <c r="A72" s="1018" t="s">
        <v>73</v>
      </c>
      <c r="B72" s="1019"/>
      <c r="C72" s="1019"/>
      <c r="D72" s="1019"/>
      <c r="E72" s="75">
        <f>E20+E21+E22+E23+E24+E27+E29+E31+E34+E35+E36+E39+E40+E42+E45+E46+E47+E49+E52+E54+E59+E60+E61+E63</f>
        <v>4691887.43</v>
      </c>
      <c r="F72" s="75">
        <f>F20+F21+F22+F23+F24+F27+F29+F31+F34+F35+F36+F39+F40+F42+F45+F46+F47+F49+F52+F54+F59+F60+F61+F63</f>
        <v>10178233.684805</v>
      </c>
      <c r="G72" s="232">
        <f>+M40+M42+M45+M46+M47+M49+M52+M54+M59+M61+M63</f>
        <v>822933.72</v>
      </c>
      <c r="H72" s="232">
        <f>M40*2.15375+F42+F45+F46+F47+F49+F52+M54*2.18915+F59+F61+F63</f>
        <v>4451922.5988480002</v>
      </c>
      <c r="J72" s="266"/>
    </row>
    <row r="73" spans="1:14" ht="13.5" thickBot="1">
      <c r="A73" s="77"/>
      <c r="B73" s="77"/>
      <c r="C73" s="77"/>
      <c r="D73" s="77"/>
      <c r="E73" s="78"/>
      <c r="F73" s="79">
        <f>SUM(F71:F72)</f>
        <v>14195124.1211305</v>
      </c>
      <c r="G73" s="80"/>
      <c r="H73" s="79">
        <f>SUM(H71:H72)</f>
        <v>6652519.0775875002</v>
      </c>
      <c r="J73" s="39"/>
      <c r="L73" s="38"/>
    </row>
    <row r="74" spans="1:14">
      <c r="J74" s="72"/>
    </row>
    <row r="75" spans="1:14" ht="13.5" thickBot="1">
      <c r="L75" s="266"/>
    </row>
    <row r="76" spans="1:14" ht="13.5" thickBot="1">
      <c r="A76" s="1020" t="s">
        <v>182</v>
      </c>
      <c r="B76" s="1021"/>
      <c r="C76" s="1021"/>
      <c r="D76" s="1021"/>
      <c r="E76" s="1022"/>
      <c r="F76" s="71"/>
      <c r="G76" s="1023" t="s">
        <v>71</v>
      </c>
      <c r="H76" s="1024"/>
      <c r="J76" s="72"/>
      <c r="K76" s="39"/>
      <c r="L76" s="266"/>
    </row>
    <row r="77" spans="1:14">
      <c r="A77" s="1025" t="s">
        <v>72</v>
      </c>
      <c r="B77" s="1026"/>
      <c r="C77" s="1026"/>
      <c r="D77" s="1026"/>
      <c r="E77" s="73">
        <v>2316859.31</v>
      </c>
      <c r="F77" s="73">
        <v>3832721.5344735002</v>
      </c>
      <c r="G77" s="73">
        <v>0</v>
      </c>
      <c r="H77" s="73">
        <v>0</v>
      </c>
      <c r="J77" s="72"/>
      <c r="K77" s="39"/>
      <c r="L77" s="266"/>
      <c r="M77" s="38"/>
    </row>
    <row r="78" spans="1:14" ht="13.5" thickBot="1">
      <c r="A78" s="1018" t="s">
        <v>73</v>
      </c>
      <c r="B78" s="1019"/>
      <c r="C78" s="1019"/>
      <c r="D78" s="1019"/>
      <c r="E78" s="75">
        <v>4563567.07</v>
      </c>
      <c r="F78" s="75">
        <v>10291683.928047501</v>
      </c>
      <c r="G78" s="232">
        <f>M15</f>
        <v>0</v>
      </c>
      <c r="H78" s="232">
        <f>M15*2.27575</f>
        <v>0</v>
      </c>
      <c r="J78" s="266"/>
      <c r="K78" s="39"/>
      <c r="L78" s="266"/>
    </row>
    <row r="79" spans="1:14" ht="13.5" thickBot="1">
      <c r="A79" s="77"/>
      <c r="B79" s="77"/>
      <c r="C79" s="77"/>
      <c r="D79" s="77"/>
      <c r="E79" s="78"/>
      <c r="F79" s="79">
        <v>14124405.462521002</v>
      </c>
      <c r="G79" s="80"/>
      <c r="H79" s="79">
        <f>SUM(H77:H78)</f>
        <v>0</v>
      </c>
      <c r="J79" s="72"/>
      <c r="K79" s="39"/>
      <c r="L79" s="129"/>
    </row>
    <row r="80" spans="1:14" ht="13.5" thickBot="1">
      <c r="J80" s="72"/>
    </row>
    <row r="81" spans="1:13" ht="13.5" thickBot="1">
      <c r="A81" s="1020" t="s">
        <v>119</v>
      </c>
      <c r="B81" s="1021"/>
      <c r="C81" s="1021"/>
      <c r="D81" s="1021"/>
      <c r="E81" s="1022"/>
      <c r="F81" s="71"/>
      <c r="G81" s="1023" t="s">
        <v>71</v>
      </c>
      <c r="H81" s="1024"/>
      <c r="J81" s="72"/>
    </row>
    <row r="82" spans="1:13">
      <c r="A82" s="1025" t="s">
        <v>72</v>
      </c>
      <c r="B82" s="1026"/>
      <c r="C82" s="1026"/>
      <c r="D82" s="1026"/>
      <c r="E82" s="73">
        <v>1814549.22</v>
      </c>
      <c r="F82" s="73">
        <v>2910758.8843999999</v>
      </c>
      <c r="G82" s="74">
        <v>0</v>
      </c>
      <c r="H82" s="74">
        <v>0</v>
      </c>
      <c r="J82" s="72"/>
      <c r="K82" s="438"/>
      <c r="M82" s="38"/>
    </row>
    <row r="83" spans="1:13" ht="13.5" thickBot="1">
      <c r="A83" s="1018" t="s">
        <v>73</v>
      </c>
      <c r="B83" s="1019"/>
      <c r="C83" s="1019"/>
      <c r="D83" s="1019"/>
      <c r="E83" s="75">
        <v>3550418.46</v>
      </c>
      <c r="F83" s="75">
        <v>7723711.7552525001</v>
      </c>
      <c r="G83" s="76">
        <v>0</v>
      </c>
      <c r="H83" s="76">
        <v>0</v>
      </c>
      <c r="J83" s="72"/>
      <c r="K83" s="438"/>
    </row>
    <row r="84" spans="1:13" ht="13.5" thickBot="1">
      <c r="A84" s="77"/>
      <c r="B84" s="77"/>
      <c r="C84" s="77"/>
      <c r="D84" s="77"/>
      <c r="E84" s="78"/>
      <c r="F84" s="79">
        <f>SUM(F82:F83)</f>
        <v>10634470.6396525</v>
      </c>
      <c r="G84" s="80"/>
      <c r="H84" s="79">
        <f>SUM(H82:H83)</f>
        <v>0</v>
      </c>
      <c r="J84" s="72"/>
      <c r="K84" s="438"/>
      <c r="L84" s="129"/>
    </row>
    <row r="85" spans="1:13" ht="13.5" thickBot="1">
      <c r="A85" s="81"/>
      <c r="B85" s="81"/>
      <c r="C85" s="81"/>
      <c r="D85" s="81"/>
      <c r="E85" s="82"/>
      <c r="F85" s="83"/>
      <c r="J85" s="72"/>
      <c r="M85" s="38"/>
    </row>
    <row r="86" spans="1:13" s="80" customFormat="1" ht="13.5" thickBot="1">
      <c r="A86" s="1020" t="s">
        <v>74</v>
      </c>
      <c r="B86" s="1021"/>
      <c r="C86" s="1021"/>
      <c r="D86" s="1021"/>
      <c r="E86" s="1022"/>
      <c r="F86" s="71"/>
      <c r="G86" s="1023" t="s">
        <v>71</v>
      </c>
      <c r="H86" s="1024"/>
      <c r="I86" s="84"/>
      <c r="J86" s="85"/>
      <c r="K86" s="38"/>
      <c r="L86" s="85"/>
      <c r="M86" s="38"/>
    </row>
    <row r="87" spans="1:13" s="80" customFormat="1">
      <c r="A87" s="1025" t="s">
        <v>72</v>
      </c>
      <c r="B87" s="1026"/>
      <c r="C87" s="1026"/>
      <c r="D87" s="1026"/>
      <c r="E87" s="73">
        <v>4208436.9400000004</v>
      </c>
      <c r="F87" s="73">
        <v>6584213.2779999999</v>
      </c>
      <c r="G87" s="74">
        <v>0</v>
      </c>
      <c r="H87" s="86">
        <v>0</v>
      </c>
      <c r="I87" s="84"/>
      <c r="J87" s="85"/>
      <c r="L87" s="72"/>
      <c r="M87" s="38"/>
    </row>
    <row r="88" spans="1:13" s="80" customFormat="1" ht="13.5" thickBot="1">
      <c r="A88" s="1018" t="s">
        <v>73</v>
      </c>
      <c r="B88" s="1019"/>
      <c r="C88" s="1019"/>
      <c r="D88" s="1019"/>
      <c r="E88" s="75">
        <v>2544395.33</v>
      </c>
      <c r="F88" s="75">
        <v>5072032.38</v>
      </c>
      <c r="G88" s="76">
        <v>0</v>
      </c>
      <c r="H88" s="87">
        <v>0</v>
      </c>
      <c r="J88" s="85"/>
      <c r="K88" s="38"/>
      <c r="L88" s="72"/>
      <c r="M88" s="37"/>
    </row>
    <row r="89" spans="1:13" s="80" customFormat="1" ht="13.5" thickBot="1">
      <c r="A89" s="77"/>
      <c r="B89" s="77"/>
      <c r="C89" s="77"/>
      <c r="D89" s="77"/>
      <c r="E89" s="78"/>
      <c r="F89" s="79">
        <f>SUM(F87:F88)</f>
        <v>11656245.658</v>
      </c>
      <c r="H89" s="79">
        <f>SUM(H87:H88)</f>
        <v>0</v>
      </c>
      <c r="J89" s="85"/>
      <c r="K89" s="38"/>
      <c r="L89" s="72"/>
      <c r="M89" s="37"/>
    </row>
    <row r="90" spans="1:13">
      <c r="A90" s="81"/>
      <c r="B90" s="81"/>
      <c r="C90" s="81"/>
      <c r="D90" s="81"/>
      <c r="E90" s="82"/>
      <c r="F90" s="83"/>
    </row>
  </sheetData>
  <mergeCells count="21">
    <mergeCell ref="M2:M3"/>
    <mergeCell ref="A82:D82"/>
    <mergeCell ref="A2:A3"/>
    <mergeCell ref="B2:G2"/>
    <mergeCell ref="H2:J2"/>
    <mergeCell ref="K2:L2"/>
    <mergeCell ref="A81:E81"/>
    <mergeCell ref="G81:H81"/>
    <mergeCell ref="A76:E76"/>
    <mergeCell ref="G76:H76"/>
    <mergeCell ref="A77:D77"/>
    <mergeCell ref="A78:D78"/>
    <mergeCell ref="A70:E70"/>
    <mergeCell ref="G70:H70"/>
    <mergeCell ref="A71:D71"/>
    <mergeCell ref="A72:D72"/>
    <mergeCell ref="A83:D83"/>
    <mergeCell ref="A86:E86"/>
    <mergeCell ref="G86:H86"/>
    <mergeCell ref="A87:D87"/>
    <mergeCell ref="A88:D88"/>
  </mergeCells>
  <pageMargins left="0.70866141732283472" right="0.70866141732283472" top="0.74803149606299213" bottom="0.74803149606299213" header="0.31496062992125984" footer="0.31496062992125984"/>
  <pageSetup paperSize="9" scale="59" orientation="landscape" horizontalDpi="180" verticalDpi="180" r:id="rId1"/>
  <ignoredErrors>
    <ignoredError sqref="G13:G15 G35 G26 G42 G47 G59:G60 G67" formula="1"/>
  </ignoredErrors>
</worksheet>
</file>

<file path=xl/worksheets/sheet6.xml><?xml version="1.0" encoding="utf-8"?>
<worksheet xmlns="http://schemas.openxmlformats.org/spreadsheetml/2006/main" xmlns:r="http://schemas.openxmlformats.org/officeDocument/2006/relationships">
  <sheetPr codeName="Feuil6">
    <pageSetUpPr fitToPage="1"/>
  </sheetPr>
  <dimension ref="A1:Q72"/>
  <sheetViews>
    <sheetView workbookViewId="0">
      <selection activeCell="F27" sqref="F27"/>
    </sheetView>
  </sheetViews>
  <sheetFormatPr baseColWidth="10" defaultRowHeight="12.75"/>
  <cols>
    <col min="1" max="1" width="16.5703125" style="37" bestFit="1" customWidth="1"/>
    <col min="2" max="2" width="10.140625" style="37" bestFit="1" customWidth="1"/>
    <col min="3" max="3" width="12.140625" style="37" bestFit="1" customWidth="1"/>
    <col min="4" max="4" width="4.5703125" style="37" bestFit="1" customWidth="1"/>
    <col min="5" max="5" width="11.28515625" style="38" bestFit="1" customWidth="1"/>
    <col min="6" max="6" width="13.85546875" style="39" bestFit="1" customWidth="1"/>
    <col min="7" max="7" width="12.140625" style="37" bestFit="1" customWidth="1"/>
    <col min="8" max="8" width="12.85546875" style="39" bestFit="1" customWidth="1"/>
    <col min="9" max="10" width="12.140625" style="37" bestFit="1" customWidth="1"/>
    <col min="11" max="11" width="12.28515625" style="38" bestFit="1" customWidth="1"/>
    <col min="12" max="12" width="13.28515625" style="37" bestFit="1" customWidth="1"/>
    <col min="13" max="13" width="12" style="37" bestFit="1" customWidth="1"/>
    <col min="14" max="14" width="10.140625" style="583" bestFit="1" customWidth="1"/>
    <col min="15" max="15" width="13.7109375" style="37" bestFit="1" customWidth="1"/>
    <col min="16" max="17" width="12.5703125" style="37" bestFit="1" customWidth="1"/>
    <col min="18" max="256" width="11.42578125" style="37"/>
    <col min="257" max="257" width="8.85546875" style="37" bestFit="1" customWidth="1"/>
    <col min="258" max="258" width="10.140625" style="37" bestFit="1" customWidth="1"/>
    <col min="259" max="259" width="12.140625" style="37" bestFit="1" customWidth="1"/>
    <col min="260" max="260" width="4.5703125" style="37" bestFit="1" customWidth="1"/>
    <col min="261" max="261" width="11.28515625" style="37" bestFit="1" customWidth="1"/>
    <col min="262" max="262" width="13.28515625" style="37" bestFit="1" customWidth="1"/>
    <col min="263" max="263" width="12.140625" style="37" bestFit="1" customWidth="1"/>
    <col min="264" max="264" width="14.5703125" style="37" customWidth="1"/>
    <col min="265" max="266" width="12.140625" style="37" bestFit="1" customWidth="1"/>
    <col min="267" max="267" width="11.85546875" style="37" bestFit="1" customWidth="1"/>
    <col min="268" max="268" width="12.140625" style="37" bestFit="1" customWidth="1"/>
    <col min="269" max="269" width="12" style="37" bestFit="1" customWidth="1"/>
    <col min="270" max="270" width="18.7109375" style="37" bestFit="1" customWidth="1"/>
    <col min="271" max="512" width="11.42578125" style="37"/>
    <col min="513" max="513" width="8.85546875" style="37" bestFit="1" customWidth="1"/>
    <col min="514" max="514" width="10.140625" style="37" bestFit="1" customWidth="1"/>
    <col min="515" max="515" width="12.140625" style="37" bestFit="1" customWidth="1"/>
    <col min="516" max="516" width="4.5703125" style="37" bestFit="1" customWidth="1"/>
    <col min="517" max="517" width="11.28515625" style="37" bestFit="1" customWidth="1"/>
    <col min="518" max="518" width="13.28515625" style="37" bestFit="1" customWidth="1"/>
    <col min="519" max="519" width="12.140625" style="37" bestFit="1" customWidth="1"/>
    <col min="520" max="520" width="14.5703125" style="37" customWidth="1"/>
    <col min="521" max="522" width="12.140625" style="37" bestFit="1" customWidth="1"/>
    <col min="523" max="523" width="11.85546875" style="37" bestFit="1" customWidth="1"/>
    <col min="524" max="524" width="12.140625" style="37" bestFit="1" customWidth="1"/>
    <col min="525" max="525" width="12" style="37" bestFit="1" customWidth="1"/>
    <col min="526" max="526" width="18.7109375" style="37" bestFit="1" customWidth="1"/>
    <col min="527" max="768" width="11.42578125" style="37"/>
    <col min="769" max="769" width="8.85546875" style="37" bestFit="1" customWidth="1"/>
    <col min="770" max="770" width="10.140625" style="37" bestFit="1" customWidth="1"/>
    <col min="771" max="771" width="12.140625" style="37" bestFit="1" customWidth="1"/>
    <col min="772" max="772" width="4.5703125" style="37" bestFit="1" customWidth="1"/>
    <col min="773" max="773" width="11.28515625" style="37" bestFit="1" customWidth="1"/>
    <col min="774" max="774" width="13.28515625" style="37" bestFit="1" customWidth="1"/>
    <col min="775" max="775" width="12.140625" style="37" bestFit="1" customWidth="1"/>
    <col min="776" max="776" width="14.5703125" style="37" customWidth="1"/>
    <col min="777" max="778" width="12.140625" style="37" bestFit="1" customWidth="1"/>
    <col min="779" max="779" width="11.85546875" style="37" bestFit="1" customWidth="1"/>
    <col min="780" max="780" width="12.140625" style="37" bestFit="1" customWidth="1"/>
    <col min="781" max="781" width="12" style="37" bestFit="1" customWidth="1"/>
    <col min="782" max="782" width="18.7109375" style="37" bestFit="1" customWidth="1"/>
    <col min="783" max="1024" width="11.42578125" style="37"/>
    <col min="1025" max="1025" width="8.85546875" style="37" bestFit="1" customWidth="1"/>
    <col min="1026" max="1026" width="10.140625" style="37" bestFit="1" customWidth="1"/>
    <col min="1027" max="1027" width="12.140625" style="37" bestFit="1" customWidth="1"/>
    <col min="1028" max="1028" width="4.5703125" style="37" bestFit="1" customWidth="1"/>
    <col min="1029" max="1029" width="11.28515625" style="37" bestFit="1" customWidth="1"/>
    <col min="1030" max="1030" width="13.28515625" style="37" bestFit="1" customWidth="1"/>
    <col min="1031" max="1031" width="12.140625" style="37" bestFit="1" customWidth="1"/>
    <col min="1032" max="1032" width="14.5703125" style="37" customWidth="1"/>
    <col min="1033" max="1034" width="12.140625" style="37" bestFit="1" customWidth="1"/>
    <col min="1035" max="1035" width="11.85546875" style="37" bestFit="1" customWidth="1"/>
    <col min="1036" max="1036" width="12.140625" style="37" bestFit="1" customWidth="1"/>
    <col min="1037" max="1037" width="12" style="37" bestFit="1" customWidth="1"/>
    <col min="1038" max="1038" width="18.7109375" style="37" bestFit="1" customWidth="1"/>
    <col min="1039" max="1280" width="11.42578125" style="37"/>
    <col min="1281" max="1281" width="8.85546875" style="37" bestFit="1" customWidth="1"/>
    <col min="1282" max="1282" width="10.140625" style="37" bestFit="1" customWidth="1"/>
    <col min="1283" max="1283" width="12.140625" style="37" bestFit="1" customWidth="1"/>
    <col min="1284" max="1284" width="4.5703125" style="37" bestFit="1" customWidth="1"/>
    <col min="1285" max="1285" width="11.28515625" style="37" bestFit="1" customWidth="1"/>
    <col min="1286" max="1286" width="13.28515625" style="37" bestFit="1" customWidth="1"/>
    <col min="1287" max="1287" width="12.140625" style="37" bestFit="1" customWidth="1"/>
    <col min="1288" max="1288" width="14.5703125" style="37" customWidth="1"/>
    <col min="1289" max="1290" width="12.140625" style="37" bestFit="1" customWidth="1"/>
    <col min="1291" max="1291" width="11.85546875" style="37" bestFit="1" customWidth="1"/>
    <col min="1292" max="1292" width="12.140625" style="37" bestFit="1" customWidth="1"/>
    <col min="1293" max="1293" width="12" style="37" bestFit="1" customWidth="1"/>
    <col min="1294" max="1294" width="18.7109375" style="37" bestFit="1" customWidth="1"/>
    <col min="1295" max="1536" width="11.42578125" style="37"/>
    <col min="1537" max="1537" width="8.85546875" style="37" bestFit="1" customWidth="1"/>
    <col min="1538" max="1538" width="10.140625" style="37" bestFit="1" customWidth="1"/>
    <col min="1539" max="1539" width="12.140625" style="37" bestFit="1" customWidth="1"/>
    <col min="1540" max="1540" width="4.5703125" style="37" bestFit="1" customWidth="1"/>
    <col min="1541" max="1541" width="11.28515625" style="37" bestFit="1" customWidth="1"/>
    <col min="1542" max="1542" width="13.28515625" style="37" bestFit="1" customWidth="1"/>
    <col min="1543" max="1543" width="12.140625" style="37" bestFit="1" customWidth="1"/>
    <col min="1544" max="1544" width="14.5703125" style="37" customWidth="1"/>
    <col min="1545" max="1546" width="12.140625" style="37" bestFit="1" customWidth="1"/>
    <col min="1547" max="1547" width="11.85546875" style="37" bestFit="1" customWidth="1"/>
    <col min="1548" max="1548" width="12.140625" style="37" bestFit="1" customWidth="1"/>
    <col min="1549" max="1549" width="12" style="37" bestFit="1" customWidth="1"/>
    <col min="1550" max="1550" width="18.7109375" style="37" bestFit="1" customWidth="1"/>
    <col min="1551" max="1792" width="11.42578125" style="37"/>
    <col min="1793" max="1793" width="8.85546875" style="37" bestFit="1" customWidth="1"/>
    <col min="1794" max="1794" width="10.140625" style="37" bestFit="1" customWidth="1"/>
    <col min="1795" max="1795" width="12.140625" style="37" bestFit="1" customWidth="1"/>
    <col min="1796" max="1796" width="4.5703125" style="37" bestFit="1" customWidth="1"/>
    <col min="1797" max="1797" width="11.28515625" style="37" bestFit="1" customWidth="1"/>
    <col min="1798" max="1798" width="13.28515625" style="37" bestFit="1" customWidth="1"/>
    <col min="1799" max="1799" width="12.140625" style="37" bestFit="1" customWidth="1"/>
    <col min="1800" max="1800" width="14.5703125" style="37" customWidth="1"/>
    <col min="1801" max="1802" width="12.140625" style="37" bestFit="1" customWidth="1"/>
    <col min="1803" max="1803" width="11.85546875" style="37" bestFit="1" customWidth="1"/>
    <col min="1804" max="1804" width="12.140625" style="37" bestFit="1" customWidth="1"/>
    <col min="1805" max="1805" width="12" style="37" bestFit="1" customWidth="1"/>
    <col min="1806" max="1806" width="18.7109375" style="37" bestFit="1" customWidth="1"/>
    <col min="1807" max="2048" width="11.42578125" style="37"/>
    <col min="2049" max="2049" width="8.85546875" style="37" bestFit="1" customWidth="1"/>
    <col min="2050" max="2050" width="10.140625" style="37" bestFit="1" customWidth="1"/>
    <col min="2051" max="2051" width="12.140625" style="37" bestFit="1" customWidth="1"/>
    <col min="2052" max="2052" width="4.5703125" style="37" bestFit="1" customWidth="1"/>
    <col min="2053" max="2053" width="11.28515625" style="37" bestFit="1" customWidth="1"/>
    <col min="2054" max="2054" width="13.28515625" style="37" bestFit="1" customWidth="1"/>
    <col min="2055" max="2055" width="12.140625" style="37" bestFit="1" customWidth="1"/>
    <col min="2056" max="2056" width="14.5703125" style="37" customWidth="1"/>
    <col min="2057" max="2058" width="12.140625" style="37" bestFit="1" customWidth="1"/>
    <col min="2059" max="2059" width="11.85546875" style="37" bestFit="1" customWidth="1"/>
    <col min="2060" max="2060" width="12.140625" style="37" bestFit="1" customWidth="1"/>
    <col min="2061" max="2061" width="12" style="37" bestFit="1" customWidth="1"/>
    <col min="2062" max="2062" width="18.7109375" style="37" bestFit="1" customWidth="1"/>
    <col min="2063" max="2304" width="11.42578125" style="37"/>
    <col min="2305" max="2305" width="8.85546875" style="37" bestFit="1" customWidth="1"/>
    <col min="2306" max="2306" width="10.140625" style="37" bestFit="1" customWidth="1"/>
    <col min="2307" max="2307" width="12.140625" style="37" bestFit="1" customWidth="1"/>
    <col min="2308" max="2308" width="4.5703125" style="37" bestFit="1" customWidth="1"/>
    <col min="2309" max="2309" width="11.28515625" style="37" bestFit="1" customWidth="1"/>
    <col min="2310" max="2310" width="13.28515625" style="37" bestFit="1" customWidth="1"/>
    <col min="2311" max="2311" width="12.140625" style="37" bestFit="1" customWidth="1"/>
    <col min="2312" max="2312" width="14.5703125" style="37" customWidth="1"/>
    <col min="2313" max="2314" width="12.140625" style="37" bestFit="1" customWidth="1"/>
    <col min="2315" max="2315" width="11.85546875" style="37" bestFit="1" customWidth="1"/>
    <col min="2316" max="2316" width="12.140625" style="37" bestFit="1" customWidth="1"/>
    <col min="2317" max="2317" width="12" style="37" bestFit="1" customWidth="1"/>
    <col min="2318" max="2318" width="18.7109375" style="37" bestFit="1" customWidth="1"/>
    <col min="2319" max="2560" width="11.42578125" style="37"/>
    <col min="2561" max="2561" width="8.85546875" style="37" bestFit="1" customWidth="1"/>
    <col min="2562" max="2562" width="10.140625" style="37" bestFit="1" customWidth="1"/>
    <col min="2563" max="2563" width="12.140625" style="37" bestFit="1" customWidth="1"/>
    <col min="2564" max="2564" width="4.5703125" style="37" bestFit="1" customWidth="1"/>
    <col min="2565" max="2565" width="11.28515625" style="37" bestFit="1" customWidth="1"/>
    <col min="2566" max="2566" width="13.28515625" style="37" bestFit="1" customWidth="1"/>
    <col min="2567" max="2567" width="12.140625" style="37" bestFit="1" customWidth="1"/>
    <col min="2568" max="2568" width="14.5703125" style="37" customWidth="1"/>
    <col min="2569" max="2570" width="12.140625" style="37" bestFit="1" customWidth="1"/>
    <col min="2571" max="2571" width="11.85546875" style="37" bestFit="1" customWidth="1"/>
    <col min="2572" max="2572" width="12.140625" style="37" bestFit="1" customWidth="1"/>
    <col min="2573" max="2573" width="12" style="37" bestFit="1" customWidth="1"/>
    <col min="2574" max="2574" width="18.7109375" style="37" bestFit="1" customWidth="1"/>
    <col min="2575" max="2816" width="11.42578125" style="37"/>
    <col min="2817" max="2817" width="8.85546875" style="37" bestFit="1" customWidth="1"/>
    <col min="2818" max="2818" width="10.140625" style="37" bestFit="1" customWidth="1"/>
    <col min="2819" max="2819" width="12.140625" style="37" bestFit="1" customWidth="1"/>
    <col min="2820" max="2820" width="4.5703125" style="37" bestFit="1" customWidth="1"/>
    <col min="2821" max="2821" width="11.28515625" style="37" bestFit="1" customWidth="1"/>
    <col min="2822" max="2822" width="13.28515625" style="37" bestFit="1" customWidth="1"/>
    <col min="2823" max="2823" width="12.140625" style="37" bestFit="1" customWidth="1"/>
    <col min="2824" max="2824" width="14.5703125" style="37" customWidth="1"/>
    <col min="2825" max="2826" width="12.140625" style="37" bestFit="1" customWidth="1"/>
    <col min="2827" max="2827" width="11.85546875" style="37" bestFit="1" customWidth="1"/>
    <col min="2828" max="2828" width="12.140625" style="37" bestFit="1" customWidth="1"/>
    <col min="2829" max="2829" width="12" style="37" bestFit="1" customWidth="1"/>
    <col min="2830" max="2830" width="18.7109375" style="37" bestFit="1" customWidth="1"/>
    <col min="2831" max="3072" width="11.42578125" style="37"/>
    <col min="3073" max="3073" width="8.85546875" style="37" bestFit="1" customWidth="1"/>
    <col min="3074" max="3074" width="10.140625" style="37" bestFit="1" customWidth="1"/>
    <col min="3075" max="3075" width="12.140625" style="37" bestFit="1" customWidth="1"/>
    <col min="3076" max="3076" width="4.5703125" style="37" bestFit="1" customWidth="1"/>
    <col min="3077" max="3077" width="11.28515625" style="37" bestFit="1" customWidth="1"/>
    <col min="3078" max="3078" width="13.28515625" style="37" bestFit="1" customWidth="1"/>
    <col min="3079" max="3079" width="12.140625" style="37" bestFit="1" customWidth="1"/>
    <col min="3080" max="3080" width="14.5703125" style="37" customWidth="1"/>
    <col min="3081" max="3082" width="12.140625" style="37" bestFit="1" customWidth="1"/>
    <col min="3083" max="3083" width="11.85546875" style="37" bestFit="1" customWidth="1"/>
    <col min="3084" max="3084" width="12.140625" style="37" bestFit="1" customWidth="1"/>
    <col min="3085" max="3085" width="12" style="37" bestFit="1" customWidth="1"/>
    <col min="3086" max="3086" width="18.7109375" style="37" bestFit="1" customWidth="1"/>
    <col min="3087" max="3328" width="11.42578125" style="37"/>
    <col min="3329" max="3329" width="8.85546875" style="37" bestFit="1" customWidth="1"/>
    <col min="3330" max="3330" width="10.140625" style="37" bestFit="1" customWidth="1"/>
    <col min="3331" max="3331" width="12.140625" style="37" bestFit="1" customWidth="1"/>
    <col min="3332" max="3332" width="4.5703125" style="37" bestFit="1" customWidth="1"/>
    <col min="3333" max="3333" width="11.28515625" style="37" bestFit="1" customWidth="1"/>
    <col min="3334" max="3334" width="13.28515625" style="37" bestFit="1" customWidth="1"/>
    <col min="3335" max="3335" width="12.140625" style="37" bestFit="1" customWidth="1"/>
    <col min="3336" max="3336" width="14.5703125" style="37" customWidth="1"/>
    <col min="3337" max="3338" width="12.140625" style="37" bestFit="1" customWidth="1"/>
    <col min="3339" max="3339" width="11.85546875" style="37" bestFit="1" customWidth="1"/>
    <col min="3340" max="3340" width="12.140625" style="37" bestFit="1" customWidth="1"/>
    <col min="3341" max="3341" width="12" style="37" bestFit="1" customWidth="1"/>
    <col min="3342" max="3342" width="18.7109375" style="37" bestFit="1" customWidth="1"/>
    <col min="3343" max="3584" width="11.42578125" style="37"/>
    <col min="3585" max="3585" width="8.85546875" style="37" bestFit="1" customWidth="1"/>
    <col min="3586" max="3586" width="10.140625" style="37" bestFit="1" customWidth="1"/>
    <col min="3587" max="3587" width="12.140625" style="37" bestFit="1" customWidth="1"/>
    <col min="3588" max="3588" width="4.5703125" style="37" bestFit="1" customWidth="1"/>
    <col min="3589" max="3589" width="11.28515625" style="37" bestFit="1" customWidth="1"/>
    <col min="3590" max="3590" width="13.28515625" style="37" bestFit="1" customWidth="1"/>
    <col min="3591" max="3591" width="12.140625" style="37" bestFit="1" customWidth="1"/>
    <col min="3592" max="3592" width="14.5703125" style="37" customWidth="1"/>
    <col min="3593" max="3594" width="12.140625" style="37" bestFit="1" customWidth="1"/>
    <col min="3595" max="3595" width="11.85546875" style="37" bestFit="1" customWidth="1"/>
    <col min="3596" max="3596" width="12.140625" style="37" bestFit="1" customWidth="1"/>
    <col min="3597" max="3597" width="12" style="37" bestFit="1" customWidth="1"/>
    <col min="3598" max="3598" width="18.7109375" style="37" bestFit="1" customWidth="1"/>
    <col min="3599" max="3840" width="11.42578125" style="37"/>
    <col min="3841" max="3841" width="8.85546875" style="37" bestFit="1" customWidth="1"/>
    <col min="3842" max="3842" width="10.140625" style="37" bestFit="1" customWidth="1"/>
    <col min="3843" max="3843" width="12.140625" style="37" bestFit="1" customWidth="1"/>
    <col min="3844" max="3844" width="4.5703125" style="37" bestFit="1" customWidth="1"/>
    <col min="3845" max="3845" width="11.28515625" style="37" bestFit="1" customWidth="1"/>
    <col min="3846" max="3846" width="13.28515625" style="37" bestFit="1" customWidth="1"/>
    <col min="3847" max="3847" width="12.140625" style="37" bestFit="1" customWidth="1"/>
    <col min="3848" max="3848" width="14.5703125" style="37" customWidth="1"/>
    <col min="3849" max="3850" width="12.140625" style="37" bestFit="1" customWidth="1"/>
    <col min="3851" max="3851" width="11.85546875" style="37" bestFit="1" customWidth="1"/>
    <col min="3852" max="3852" width="12.140625" style="37" bestFit="1" customWidth="1"/>
    <col min="3853" max="3853" width="12" style="37" bestFit="1" customWidth="1"/>
    <col min="3854" max="3854" width="18.7109375" style="37" bestFit="1" customWidth="1"/>
    <col min="3855" max="4096" width="11.42578125" style="37"/>
    <col min="4097" max="4097" width="8.85546875" style="37" bestFit="1" customWidth="1"/>
    <col min="4098" max="4098" width="10.140625" style="37" bestFit="1" customWidth="1"/>
    <col min="4099" max="4099" width="12.140625" style="37" bestFit="1" customWidth="1"/>
    <col min="4100" max="4100" width="4.5703125" style="37" bestFit="1" customWidth="1"/>
    <col min="4101" max="4101" width="11.28515625" style="37" bestFit="1" customWidth="1"/>
    <col min="4102" max="4102" width="13.28515625" style="37" bestFit="1" customWidth="1"/>
    <col min="4103" max="4103" width="12.140625" style="37" bestFit="1" customWidth="1"/>
    <col min="4104" max="4104" width="14.5703125" style="37" customWidth="1"/>
    <col min="4105" max="4106" width="12.140625" style="37" bestFit="1" customWidth="1"/>
    <col min="4107" max="4107" width="11.85546875" style="37" bestFit="1" customWidth="1"/>
    <col min="4108" max="4108" width="12.140625" style="37" bestFit="1" customWidth="1"/>
    <col min="4109" max="4109" width="12" style="37" bestFit="1" customWidth="1"/>
    <col min="4110" max="4110" width="18.7109375" style="37" bestFit="1" customWidth="1"/>
    <col min="4111" max="4352" width="11.42578125" style="37"/>
    <col min="4353" max="4353" width="8.85546875" style="37" bestFit="1" customWidth="1"/>
    <col min="4354" max="4354" width="10.140625" style="37" bestFit="1" customWidth="1"/>
    <col min="4355" max="4355" width="12.140625" style="37" bestFit="1" customWidth="1"/>
    <col min="4356" max="4356" width="4.5703125" style="37" bestFit="1" customWidth="1"/>
    <col min="4357" max="4357" width="11.28515625" style="37" bestFit="1" customWidth="1"/>
    <col min="4358" max="4358" width="13.28515625" style="37" bestFit="1" customWidth="1"/>
    <col min="4359" max="4359" width="12.140625" style="37" bestFit="1" customWidth="1"/>
    <col min="4360" max="4360" width="14.5703125" style="37" customWidth="1"/>
    <col min="4361" max="4362" width="12.140625" style="37" bestFit="1" customWidth="1"/>
    <col min="4363" max="4363" width="11.85546875" style="37" bestFit="1" customWidth="1"/>
    <col min="4364" max="4364" width="12.140625" style="37" bestFit="1" customWidth="1"/>
    <col min="4365" max="4365" width="12" style="37" bestFit="1" customWidth="1"/>
    <col min="4366" max="4366" width="18.7109375" style="37" bestFit="1" customWidth="1"/>
    <col min="4367" max="4608" width="11.42578125" style="37"/>
    <col min="4609" max="4609" width="8.85546875" style="37" bestFit="1" customWidth="1"/>
    <col min="4610" max="4610" width="10.140625" style="37" bestFit="1" customWidth="1"/>
    <col min="4611" max="4611" width="12.140625" style="37" bestFit="1" customWidth="1"/>
    <col min="4612" max="4612" width="4.5703125" style="37" bestFit="1" customWidth="1"/>
    <col min="4613" max="4613" width="11.28515625" style="37" bestFit="1" customWidth="1"/>
    <col min="4614" max="4614" width="13.28515625" style="37" bestFit="1" customWidth="1"/>
    <col min="4615" max="4615" width="12.140625" style="37" bestFit="1" customWidth="1"/>
    <col min="4616" max="4616" width="14.5703125" style="37" customWidth="1"/>
    <col min="4617" max="4618" width="12.140625" style="37" bestFit="1" customWidth="1"/>
    <col min="4619" max="4619" width="11.85546875" style="37" bestFit="1" customWidth="1"/>
    <col min="4620" max="4620" width="12.140625" style="37" bestFit="1" customWidth="1"/>
    <col min="4621" max="4621" width="12" style="37" bestFit="1" customWidth="1"/>
    <col min="4622" max="4622" width="18.7109375" style="37" bestFit="1" customWidth="1"/>
    <col min="4623" max="4864" width="11.42578125" style="37"/>
    <col min="4865" max="4865" width="8.85546875" style="37" bestFit="1" customWidth="1"/>
    <col min="4866" max="4866" width="10.140625" style="37" bestFit="1" customWidth="1"/>
    <col min="4867" max="4867" width="12.140625" style="37" bestFit="1" customWidth="1"/>
    <col min="4868" max="4868" width="4.5703125" style="37" bestFit="1" customWidth="1"/>
    <col min="4869" max="4869" width="11.28515625" style="37" bestFit="1" customWidth="1"/>
    <col min="4870" max="4870" width="13.28515625" style="37" bestFit="1" customWidth="1"/>
    <col min="4871" max="4871" width="12.140625" style="37" bestFit="1" customWidth="1"/>
    <col min="4872" max="4872" width="14.5703125" style="37" customWidth="1"/>
    <col min="4873" max="4874" width="12.140625" style="37" bestFit="1" customWidth="1"/>
    <col min="4875" max="4875" width="11.85546875" style="37" bestFit="1" customWidth="1"/>
    <col min="4876" max="4876" width="12.140625" style="37" bestFit="1" customWidth="1"/>
    <col min="4877" max="4877" width="12" style="37" bestFit="1" customWidth="1"/>
    <col min="4878" max="4878" width="18.7109375" style="37" bestFit="1" customWidth="1"/>
    <col min="4879" max="5120" width="11.42578125" style="37"/>
    <col min="5121" max="5121" width="8.85546875" style="37" bestFit="1" customWidth="1"/>
    <col min="5122" max="5122" width="10.140625" style="37" bestFit="1" customWidth="1"/>
    <col min="5123" max="5123" width="12.140625" style="37" bestFit="1" customWidth="1"/>
    <col min="5124" max="5124" width="4.5703125" style="37" bestFit="1" customWidth="1"/>
    <col min="5125" max="5125" width="11.28515625" style="37" bestFit="1" customWidth="1"/>
    <col min="5126" max="5126" width="13.28515625" style="37" bestFit="1" customWidth="1"/>
    <col min="5127" max="5127" width="12.140625" style="37" bestFit="1" customWidth="1"/>
    <col min="5128" max="5128" width="14.5703125" style="37" customWidth="1"/>
    <col min="5129" max="5130" width="12.140625" style="37" bestFit="1" customWidth="1"/>
    <col min="5131" max="5131" width="11.85546875" style="37" bestFit="1" customWidth="1"/>
    <col min="5132" max="5132" width="12.140625" style="37" bestFit="1" customWidth="1"/>
    <col min="5133" max="5133" width="12" style="37" bestFit="1" customWidth="1"/>
    <col min="5134" max="5134" width="18.7109375" style="37" bestFit="1" customWidth="1"/>
    <col min="5135" max="5376" width="11.42578125" style="37"/>
    <col min="5377" max="5377" width="8.85546875" style="37" bestFit="1" customWidth="1"/>
    <col min="5378" max="5378" width="10.140625" style="37" bestFit="1" customWidth="1"/>
    <col min="5379" max="5379" width="12.140625" style="37" bestFit="1" customWidth="1"/>
    <col min="5380" max="5380" width="4.5703125" style="37" bestFit="1" customWidth="1"/>
    <col min="5381" max="5381" width="11.28515625" style="37" bestFit="1" customWidth="1"/>
    <col min="5382" max="5382" width="13.28515625" style="37" bestFit="1" customWidth="1"/>
    <col min="5383" max="5383" width="12.140625" style="37" bestFit="1" customWidth="1"/>
    <col min="5384" max="5384" width="14.5703125" style="37" customWidth="1"/>
    <col min="5385" max="5386" width="12.140625" style="37" bestFit="1" customWidth="1"/>
    <col min="5387" max="5387" width="11.85546875" style="37" bestFit="1" customWidth="1"/>
    <col min="5388" max="5388" width="12.140625" style="37" bestFit="1" customWidth="1"/>
    <col min="5389" max="5389" width="12" style="37" bestFit="1" customWidth="1"/>
    <col min="5390" max="5390" width="18.7109375" style="37" bestFit="1" customWidth="1"/>
    <col min="5391" max="5632" width="11.42578125" style="37"/>
    <col min="5633" max="5633" width="8.85546875" style="37" bestFit="1" customWidth="1"/>
    <col min="5634" max="5634" width="10.140625" style="37" bestFit="1" customWidth="1"/>
    <col min="5635" max="5635" width="12.140625" style="37" bestFit="1" customWidth="1"/>
    <col min="5636" max="5636" width="4.5703125" style="37" bestFit="1" customWidth="1"/>
    <col min="5637" max="5637" width="11.28515625" style="37" bestFit="1" customWidth="1"/>
    <col min="5638" max="5638" width="13.28515625" style="37" bestFit="1" customWidth="1"/>
    <col min="5639" max="5639" width="12.140625" style="37" bestFit="1" customWidth="1"/>
    <col min="5640" max="5640" width="14.5703125" style="37" customWidth="1"/>
    <col min="5641" max="5642" width="12.140625" style="37" bestFit="1" customWidth="1"/>
    <col min="5643" max="5643" width="11.85546875" style="37" bestFit="1" customWidth="1"/>
    <col min="5644" max="5644" width="12.140625" style="37" bestFit="1" customWidth="1"/>
    <col min="5645" max="5645" width="12" style="37" bestFit="1" customWidth="1"/>
    <col min="5646" max="5646" width="18.7109375" style="37" bestFit="1" customWidth="1"/>
    <col min="5647" max="5888" width="11.42578125" style="37"/>
    <col min="5889" max="5889" width="8.85546875" style="37" bestFit="1" customWidth="1"/>
    <col min="5890" max="5890" width="10.140625" style="37" bestFit="1" customWidth="1"/>
    <col min="5891" max="5891" width="12.140625" style="37" bestFit="1" customWidth="1"/>
    <col min="5892" max="5892" width="4.5703125" style="37" bestFit="1" customWidth="1"/>
    <col min="5893" max="5893" width="11.28515625" style="37" bestFit="1" customWidth="1"/>
    <col min="5894" max="5894" width="13.28515625" style="37" bestFit="1" customWidth="1"/>
    <col min="5895" max="5895" width="12.140625" style="37" bestFit="1" customWidth="1"/>
    <col min="5896" max="5896" width="14.5703125" style="37" customWidth="1"/>
    <col min="5897" max="5898" width="12.140625" style="37" bestFit="1" customWidth="1"/>
    <col min="5899" max="5899" width="11.85546875" style="37" bestFit="1" customWidth="1"/>
    <col min="5900" max="5900" width="12.140625" style="37" bestFit="1" customWidth="1"/>
    <col min="5901" max="5901" width="12" style="37" bestFit="1" customWidth="1"/>
    <col min="5902" max="5902" width="18.7109375" style="37" bestFit="1" customWidth="1"/>
    <col min="5903" max="6144" width="11.42578125" style="37"/>
    <col min="6145" max="6145" width="8.85546875" style="37" bestFit="1" customWidth="1"/>
    <col min="6146" max="6146" width="10.140625" style="37" bestFit="1" customWidth="1"/>
    <col min="6147" max="6147" width="12.140625" style="37" bestFit="1" customWidth="1"/>
    <col min="6148" max="6148" width="4.5703125" style="37" bestFit="1" customWidth="1"/>
    <col min="6149" max="6149" width="11.28515625" style="37" bestFit="1" customWidth="1"/>
    <col min="6150" max="6150" width="13.28515625" style="37" bestFit="1" customWidth="1"/>
    <col min="6151" max="6151" width="12.140625" style="37" bestFit="1" customWidth="1"/>
    <col min="6152" max="6152" width="14.5703125" style="37" customWidth="1"/>
    <col min="6153" max="6154" width="12.140625" style="37" bestFit="1" customWidth="1"/>
    <col min="6155" max="6155" width="11.85546875" style="37" bestFit="1" customWidth="1"/>
    <col min="6156" max="6156" width="12.140625" style="37" bestFit="1" customWidth="1"/>
    <col min="6157" max="6157" width="12" style="37" bestFit="1" customWidth="1"/>
    <col min="6158" max="6158" width="18.7109375" style="37" bestFit="1" customWidth="1"/>
    <col min="6159" max="6400" width="11.42578125" style="37"/>
    <col min="6401" max="6401" width="8.85546875" style="37" bestFit="1" customWidth="1"/>
    <col min="6402" max="6402" width="10.140625" style="37" bestFit="1" customWidth="1"/>
    <col min="6403" max="6403" width="12.140625" style="37" bestFit="1" customWidth="1"/>
    <col min="6404" max="6404" width="4.5703125" style="37" bestFit="1" customWidth="1"/>
    <col min="6405" max="6405" width="11.28515625" style="37" bestFit="1" customWidth="1"/>
    <col min="6406" max="6406" width="13.28515625" style="37" bestFit="1" customWidth="1"/>
    <col min="6407" max="6407" width="12.140625" style="37" bestFit="1" customWidth="1"/>
    <col min="6408" max="6408" width="14.5703125" style="37" customWidth="1"/>
    <col min="6409" max="6410" width="12.140625" style="37" bestFit="1" customWidth="1"/>
    <col min="6411" max="6411" width="11.85546875" style="37" bestFit="1" customWidth="1"/>
    <col min="6412" max="6412" width="12.140625" style="37" bestFit="1" customWidth="1"/>
    <col min="6413" max="6413" width="12" style="37" bestFit="1" customWidth="1"/>
    <col min="6414" max="6414" width="18.7109375" style="37" bestFit="1" customWidth="1"/>
    <col min="6415" max="6656" width="11.42578125" style="37"/>
    <col min="6657" max="6657" width="8.85546875" style="37" bestFit="1" customWidth="1"/>
    <col min="6658" max="6658" width="10.140625" style="37" bestFit="1" customWidth="1"/>
    <col min="6659" max="6659" width="12.140625" style="37" bestFit="1" customWidth="1"/>
    <col min="6660" max="6660" width="4.5703125" style="37" bestFit="1" customWidth="1"/>
    <col min="6661" max="6661" width="11.28515625" style="37" bestFit="1" customWidth="1"/>
    <col min="6662" max="6662" width="13.28515625" style="37" bestFit="1" customWidth="1"/>
    <col min="6663" max="6663" width="12.140625" style="37" bestFit="1" customWidth="1"/>
    <col min="6664" max="6664" width="14.5703125" style="37" customWidth="1"/>
    <col min="6665" max="6666" width="12.140625" style="37" bestFit="1" customWidth="1"/>
    <col min="6667" max="6667" width="11.85546875" style="37" bestFit="1" customWidth="1"/>
    <col min="6668" max="6668" width="12.140625" style="37" bestFit="1" customWidth="1"/>
    <col min="6669" max="6669" width="12" style="37" bestFit="1" customWidth="1"/>
    <col min="6670" max="6670" width="18.7109375" style="37" bestFit="1" customWidth="1"/>
    <col min="6671" max="6912" width="11.42578125" style="37"/>
    <col min="6913" max="6913" width="8.85546875" style="37" bestFit="1" customWidth="1"/>
    <col min="6914" max="6914" width="10.140625" style="37" bestFit="1" customWidth="1"/>
    <col min="6915" max="6915" width="12.140625" style="37" bestFit="1" customWidth="1"/>
    <col min="6916" max="6916" width="4.5703125" style="37" bestFit="1" customWidth="1"/>
    <col min="6917" max="6917" width="11.28515625" style="37" bestFit="1" customWidth="1"/>
    <col min="6918" max="6918" width="13.28515625" style="37" bestFit="1" customWidth="1"/>
    <col min="6919" max="6919" width="12.140625" style="37" bestFit="1" customWidth="1"/>
    <col min="6920" max="6920" width="14.5703125" style="37" customWidth="1"/>
    <col min="6921" max="6922" width="12.140625" style="37" bestFit="1" customWidth="1"/>
    <col min="6923" max="6923" width="11.85546875" style="37" bestFit="1" customWidth="1"/>
    <col min="6924" max="6924" width="12.140625" style="37" bestFit="1" customWidth="1"/>
    <col min="6925" max="6925" width="12" style="37" bestFit="1" customWidth="1"/>
    <col min="6926" max="6926" width="18.7109375" style="37" bestFit="1" customWidth="1"/>
    <col min="6927" max="7168" width="11.42578125" style="37"/>
    <col min="7169" max="7169" width="8.85546875" style="37" bestFit="1" customWidth="1"/>
    <col min="7170" max="7170" width="10.140625" style="37" bestFit="1" customWidth="1"/>
    <col min="7171" max="7171" width="12.140625" style="37" bestFit="1" customWidth="1"/>
    <col min="7172" max="7172" width="4.5703125" style="37" bestFit="1" customWidth="1"/>
    <col min="7173" max="7173" width="11.28515625" style="37" bestFit="1" customWidth="1"/>
    <col min="7174" max="7174" width="13.28515625" style="37" bestFit="1" customWidth="1"/>
    <col min="7175" max="7175" width="12.140625" style="37" bestFit="1" customWidth="1"/>
    <col min="7176" max="7176" width="14.5703125" style="37" customWidth="1"/>
    <col min="7177" max="7178" width="12.140625" style="37" bestFit="1" customWidth="1"/>
    <col min="7179" max="7179" width="11.85546875" style="37" bestFit="1" customWidth="1"/>
    <col min="7180" max="7180" width="12.140625" style="37" bestFit="1" customWidth="1"/>
    <col min="7181" max="7181" width="12" style="37" bestFit="1" customWidth="1"/>
    <col min="7182" max="7182" width="18.7109375" style="37" bestFit="1" customWidth="1"/>
    <col min="7183" max="7424" width="11.42578125" style="37"/>
    <col min="7425" max="7425" width="8.85546875" style="37" bestFit="1" customWidth="1"/>
    <col min="7426" max="7426" width="10.140625" style="37" bestFit="1" customWidth="1"/>
    <col min="7427" max="7427" width="12.140625" style="37" bestFit="1" customWidth="1"/>
    <col min="7428" max="7428" width="4.5703125" style="37" bestFit="1" customWidth="1"/>
    <col min="7429" max="7429" width="11.28515625" style="37" bestFit="1" customWidth="1"/>
    <col min="7430" max="7430" width="13.28515625" style="37" bestFit="1" customWidth="1"/>
    <col min="7431" max="7431" width="12.140625" style="37" bestFit="1" customWidth="1"/>
    <col min="7432" max="7432" width="14.5703125" style="37" customWidth="1"/>
    <col min="7433" max="7434" width="12.140625" style="37" bestFit="1" customWidth="1"/>
    <col min="7435" max="7435" width="11.85546875" style="37" bestFit="1" customWidth="1"/>
    <col min="7436" max="7436" width="12.140625" style="37" bestFit="1" customWidth="1"/>
    <col min="7437" max="7437" width="12" style="37" bestFit="1" customWidth="1"/>
    <col min="7438" max="7438" width="18.7109375" style="37" bestFit="1" customWidth="1"/>
    <col min="7439" max="7680" width="11.42578125" style="37"/>
    <col min="7681" max="7681" width="8.85546875" style="37" bestFit="1" customWidth="1"/>
    <col min="7682" max="7682" width="10.140625" style="37" bestFit="1" customWidth="1"/>
    <col min="7683" max="7683" width="12.140625" style="37" bestFit="1" customWidth="1"/>
    <col min="7684" max="7684" width="4.5703125" style="37" bestFit="1" customWidth="1"/>
    <col min="7685" max="7685" width="11.28515625" style="37" bestFit="1" customWidth="1"/>
    <col min="7686" max="7686" width="13.28515625" style="37" bestFit="1" customWidth="1"/>
    <col min="7687" max="7687" width="12.140625" style="37" bestFit="1" customWidth="1"/>
    <col min="7688" max="7688" width="14.5703125" style="37" customWidth="1"/>
    <col min="7689" max="7690" width="12.140625" style="37" bestFit="1" customWidth="1"/>
    <col min="7691" max="7691" width="11.85546875" style="37" bestFit="1" customWidth="1"/>
    <col min="7692" max="7692" width="12.140625" style="37" bestFit="1" customWidth="1"/>
    <col min="7693" max="7693" width="12" style="37" bestFit="1" customWidth="1"/>
    <col min="7694" max="7694" width="18.7109375" style="37" bestFit="1" customWidth="1"/>
    <col min="7695" max="7936" width="11.42578125" style="37"/>
    <col min="7937" max="7937" width="8.85546875" style="37" bestFit="1" customWidth="1"/>
    <col min="7938" max="7938" width="10.140625" style="37" bestFit="1" customWidth="1"/>
    <col min="7939" max="7939" width="12.140625" style="37" bestFit="1" customWidth="1"/>
    <col min="7940" max="7940" width="4.5703125" style="37" bestFit="1" customWidth="1"/>
    <col min="7941" max="7941" width="11.28515625" style="37" bestFit="1" customWidth="1"/>
    <col min="7942" max="7942" width="13.28515625" style="37" bestFit="1" customWidth="1"/>
    <col min="7943" max="7943" width="12.140625" style="37" bestFit="1" customWidth="1"/>
    <col min="7944" max="7944" width="14.5703125" style="37" customWidth="1"/>
    <col min="7945" max="7946" width="12.140625" style="37" bestFit="1" customWidth="1"/>
    <col min="7947" max="7947" width="11.85546875" style="37" bestFit="1" customWidth="1"/>
    <col min="7948" max="7948" width="12.140625" style="37" bestFit="1" customWidth="1"/>
    <col min="7949" max="7949" width="12" style="37" bestFit="1" customWidth="1"/>
    <col min="7950" max="7950" width="18.7109375" style="37" bestFit="1" customWidth="1"/>
    <col min="7951" max="8192" width="11.42578125" style="37"/>
    <col min="8193" max="8193" width="8.85546875" style="37" bestFit="1" customWidth="1"/>
    <col min="8194" max="8194" width="10.140625" style="37" bestFit="1" customWidth="1"/>
    <col min="8195" max="8195" width="12.140625" style="37" bestFit="1" customWidth="1"/>
    <col min="8196" max="8196" width="4.5703125" style="37" bestFit="1" customWidth="1"/>
    <col min="8197" max="8197" width="11.28515625" style="37" bestFit="1" customWidth="1"/>
    <col min="8198" max="8198" width="13.28515625" style="37" bestFit="1" customWidth="1"/>
    <col min="8199" max="8199" width="12.140625" style="37" bestFit="1" customWidth="1"/>
    <col min="8200" max="8200" width="14.5703125" style="37" customWidth="1"/>
    <col min="8201" max="8202" width="12.140625" style="37" bestFit="1" customWidth="1"/>
    <col min="8203" max="8203" width="11.85546875" style="37" bestFit="1" customWidth="1"/>
    <col min="8204" max="8204" width="12.140625" style="37" bestFit="1" customWidth="1"/>
    <col min="8205" max="8205" width="12" style="37" bestFit="1" customWidth="1"/>
    <col min="8206" max="8206" width="18.7109375" style="37" bestFit="1" customWidth="1"/>
    <col min="8207" max="8448" width="11.42578125" style="37"/>
    <col min="8449" max="8449" width="8.85546875" style="37" bestFit="1" customWidth="1"/>
    <col min="8450" max="8450" width="10.140625" style="37" bestFit="1" customWidth="1"/>
    <col min="8451" max="8451" width="12.140625" style="37" bestFit="1" customWidth="1"/>
    <col min="8452" max="8452" width="4.5703125" style="37" bestFit="1" customWidth="1"/>
    <col min="8453" max="8453" width="11.28515625" style="37" bestFit="1" customWidth="1"/>
    <col min="8454" max="8454" width="13.28515625" style="37" bestFit="1" customWidth="1"/>
    <col min="8455" max="8455" width="12.140625" style="37" bestFit="1" customWidth="1"/>
    <col min="8456" max="8456" width="14.5703125" style="37" customWidth="1"/>
    <col min="8457" max="8458" width="12.140625" style="37" bestFit="1" customWidth="1"/>
    <col min="8459" max="8459" width="11.85546875" style="37" bestFit="1" customWidth="1"/>
    <col min="8460" max="8460" width="12.140625" style="37" bestFit="1" customWidth="1"/>
    <col min="8461" max="8461" width="12" style="37" bestFit="1" customWidth="1"/>
    <col min="8462" max="8462" width="18.7109375" style="37" bestFit="1" customWidth="1"/>
    <col min="8463" max="8704" width="11.42578125" style="37"/>
    <col min="8705" max="8705" width="8.85546875" style="37" bestFit="1" customWidth="1"/>
    <col min="8706" max="8706" width="10.140625" style="37" bestFit="1" customWidth="1"/>
    <col min="8707" max="8707" width="12.140625" style="37" bestFit="1" customWidth="1"/>
    <col min="8708" max="8708" width="4.5703125" style="37" bestFit="1" customWidth="1"/>
    <col min="8709" max="8709" width="11.28515625" style="37" bestFit="1" customWidth="1"/>
    <col min="8710" max="8710" width="13.28515625" style="37" bestFit="1" customWidth="1"/>
    <col min="8711" max="8711" width="12.140625" style="37" bestFit="1" customWidth="1"/>
    <col min="8712" max="8712" width="14.5703125" style="37" customWidth="1"/>
    <col min="8713" max="8714" width="12.140625" style="37" bestFit="1" customWidth="1"/>
    <col min="8715" max="8715" width="11.85546875" style="37" bestFit="1" customWidth="1"/>
    <col min="8716" max="8716" width="12.140625" style="37" bestFit="1" customWidth="1"/>
    <col min="8717" max="8717" width="12" style="37" bestFit="1" customWidth="1"/>
    <col min="8718" max="8718" width="18.7109375" style="37" bestFit="1" customWidth="1"/>
    <col min="8719" max="8960" width="11.42578125" style="37"/>
    <col min="8961" max="8961" width="8.85546875" style="37" bestFit="1" customWidth="1"/>
    <col min="8962" max="8962" width="10.140625" style="37" bestFit="1" customWidth="1"/>
    <col min="8963" max="8963" width="12.140625" style="37" bestFit="1" customWidth="1"/>
    <col min="8964" max="8964" width="4.5703125" style="37" bestFit="1" customWidth="1"/>
    <col min="8965" max="8965" width="11.28515625" style="37" bestFit="1" customWidth="1"/>
    <col min="8966" max="8966" width="13.28515625" style="37" bestFit="1" customWidth="1"/>
    <col min="8967" max="8967" width="12.140625" style="37" bestFit="1" customWidth="1"/>
    <col min="8968" max="8968" width="14.5703125" style="37" customWidth="1"/>
    <col min="8969" max="8970" width="12.140625" style="37" bestFit="1" customWidth="1"/>
    <col min="8971" max="8971" width="11.85546875" style="37" bestFit="1" customWidth="1"/>
    <col min="8972" max="8972" width="12.140625" style="37" bestFit="1" customWidth="1"/>
    <col min="8973" max="8973" width="12" style="37" bestFit="1" customWidth="1"/>
    <col min="8974" max="8974" width="18.7109375" style="37" bestFit="1" customWidth="1"/>
    <col min="8975" max="9216" width="11.42578125" style="37"/>
    <col min="9217" max="9217" width="8.85546875" style="37" bestFit="1" customWidth="1"/>
    <col min="9218" max="9218" width="10.140625" style="37" bestFit="1" customWidth="1"/>
    <col min="9219" max="9219" width="12.140625" style="37" bestFit="1" customWidth="1"/>
    <col min="9220" max="9220" width="4.5703125" style="37" bestFit="1" customWidth="1"/>
    <col min="9221" max="9221" width="11.28515625" style="37" bestFit="1" customWidth="1"/>
    <col min="9222" max="9222" width="13.28515625" style="37" bestFit="1" customWidth="1"/>
    <col min="9223" max="9223" width="12.140625" style="37" bestFit="1" customWidth="1"/>
    <col min="9224" max="9224" width="14.5703125" style="37" customWidth="1"/>
    <col min="9225" max="9226" width="12.140625" style="37" bestFit="1" customWidth="1"/>
    <col min="9227" max="9227" width="11.85546875" style="37" bestFit="1" customWidth="1"/>
    <col min="9228" max="9228" width="12.140625" style="37" bestFit="1" customWidth="1"/>
    <col min="9229" max="9229" width="12" style="37" bestFit="1" customWidth="1"/>
    <col min="9230" max="9230" width="18.7109375" style="37" bestFit="1" customWidth="1"/>
    <col min="9231" max="9472" width="11.42578125" style="37"/>
    <col min="9473" max="9473" width="8.85546875" style="37" bestFit="1" customWidth="1"/>
    <col min="9474" max="9474" width="10.140625" style="37" bestFit="1" customWidth="1"/>
    <col min="9475" max="9475" width="12.140625" style="37" bestFit="1" customWidth="1"/>
    <col min="9476" max="9476" width="4.5703125" style="37" bestFit="1" customWidth="1"/>
    <col min="9477" max="9477" width="11.28515625" style="37" bestFit="1" customWidth="1"/>
    <col min="9478" max="9478" width="13.28515625" style="37" bestFit="1" customWidth="1"/>
    <col min="9479" max="9479" width="12.140625" style="37" bestFit="1" customWidth="1"/>
    <col min="9480" max="9480" width="14.5703125" style="37" customWidth="1"/>
    <col min="9481" max="9482" width="12.140625" style="37" bestFit="1" customWidth="1"/>
    <col min="9483" max="9483" width="11.85546875" style="37" bestFit="1" customWidth="1"/>
    <col min="9484" max="9484" width="12.140625" style="37" bestFit="1" customWidth="1"/>
    <col min="9485" max="9485" width="12" style="37" bestFit="1" customWidth="1"/>
    <col min="9486" max="9486" width="18.7109375" style="37" bestFit="1" customWidth="1"/>
    <col min="9487" max="9728" width="11.42578125" style="37"/>
    <col min="9729" max="9729" width="8.85546875" style="37" bestFit="1" customWidth="1"/>
    <col min="9730" max="9730" width="10.140625" style="37" bestFit="1" customWidth="1"/>
    <col min="9731" max="9731" width="12.140625" style="37" bestFit="1" customWidth="1"/>
    <col min="9732" max="9732" width="4.5703125" style="37" bestFit="1" customWidth="1"/>
    <col min="9733" max="9733" width="11.28515625" style="37" bestFit="1" customWidth="1"/>
    <col min="9734" max="9734" width="13.28515625" style="37" bestFit="1" customWidth="1"/>
    <col min="9735" max="9735" width="12.140625" style="37" bestFit="1" customWidth="1"/>
    <col min="9736" max="9736" width="14.5703125" style="37" customWidth="1"/>
    <col min="9737" max="9738" width="12.140625" style="37" bestFit="1" customWidth="1"/>
    <col min="9739" max="9739" width="11.85546875" style="37" bestFit="1" customWidth="1"/>
    <col min="9740" max="9740" width="12.140625" style="37" bestFit="1" customWidth="1"/>
    <col min="9741" max="9741" width="12" style="37" bestFit="1" customWidth="1"/>
    <col min="9742" max="9742" width="18.7109375" style="37" bestFit="1" customWidth="1"/>
    <col min="9743" max="9984" width="11.42578125" style="37"/>
    <col min="9985" max="9985" width="8.85546875" style="37" bestFit="1" customWidth="1"/>
    <col min="9986" max="9986" width="10.140625" style="37" bestFit="1" customWidth="1"/>
    <col min="9987" max="9987" width="12.140625" style="37" bestFit="1" customWidth="1"/>
    <col min="9988" max="9988" width="4.5703125" style="37" bestFit="1" customWidth="1"/>
    <col min="9989" max="9989" width="11.28515625" style="37" bestFit="1" customWidth="1"/>
    <col min="9990" max="9990" width="13.28515625" style="37" bestFit="1" customWidth="1"/>
    <col min="9991" max="9991" width="12.140625" style="37" bestFit="1" customWidth="1"/>
    <col min="9992" max="9992" width="14.5703125" style="37" customWidth="1"/>
    <col min="9993" max="9994" width="12.140625" style="37" bestFit="1" customWidth="1"/>
    <col min="9995" max="9995" width="11.85546875" style="37" bestFit="1" customWidth="1"/>
    <col min="9996" max="9996" width="12.140625" style="37" bestFit="1" customWidth="1"/>
    <col min="9997" max="9997" width="12" style="37" bestFit="1" customWidth="1"/>
    <col min="9998" max="9998" width="18.7109375" style="37" bestFit="1" customWidth="1"/>
    <col min="9999" max="10240" width="11.42578125" style="37"/>
    <col min="10241" max="10241" width="8.85546875" style="37" bestFit="1" customWidth="1"/>
    <col min="10242" max="10242" width="10.140625" style="37" bestFit="1" customWidth="1"/>
    <col min="10243" max="10243" width="12.140625" style="37" bestFit="1" customWidth="1"/>
    <col min="10244" max="10244" width="4.5703125" style="37" bestFit="1" customWidth="1"/>
    <col min="10245" max="10245" width="11.28515625" style="37" bestFit="1" customWidth="1"/>
    <col min="10246" max="10246" width="13.28515625" style="37" bestFit="1" customWidth="1"/>
    <col min="10247" max="10247" width="12.140625" style="37" bestFit="1" customWidth="1"/>
    <col min="10248" max="10248" width="14.5703125" style="37" customWidth="1"/>
    <col min="10249" max="10250" width="12.140625" style="37" bestFit="1" customWidth="1"/>
    <col min="10251" max="10251" width="11.85546875" style="37" bestFit="1" customWidth="1"/>
    <col min="10252" max="10252" width="12.140625" style="37" bestFit="1" customWidth="1"/>
    <col min="10253" max="10253" width="12" style="37" bestFit="1" customWidth="1"/>
    <col min="10254" max="10254" width="18.7109375" style="37" bestFit="1" customWidth="1"/>
    <col min="10255" max="10496" width="11.42578125" style="37"/>
    <col min="10497" max="10497" width="8.85546875" style="37" bestFit="1" customWidth="1"/>
    <col min="10498" max="10498" width="10.140625" style="37" bestFit="1" customWidth="1"/>
    <col min="10499" max="10499" width="12.140625" style="37" bestFit="1" customWidth="1"/>
    <col min="10500" max="10500" width="4.5703125" style="37" bestFit="1" customWidth="1"/>
    <col min="10501" max="10501" width="11.28515625" style="37" bestFit="1" customWidth="1"/>
    <col min="10502" max="10502" width="13.28515625" style="37" bestFit="1" customWidth="1"/>
    <col min="10503" max="10503" width="12.140625" style="37" bestFit="1" customWidth="1"/>
    <col min="10504" max="10504" width="14.5703125" style="37" customWidth="1"/>
    <col min="10505" max="10506" width="12.140625" style="37" bestFit="1" customWidth="1"/>
    <col min="10507" max="10507" width="11.85546875" style="37" bestFit="1" customWidth="1"/>
    <col min="10508" max="10508" width="12.140625" style="37" bestFit="1" customWidth="1"/>
    <col min="10509" max="10509" width="12" style="37" bestFit="1" customWidth="1"/>
    <col min="10510" max="10510" width="18.7109375" style="37" bestFit="1" customWidth="1"/>
    <col min="10511" max="10752" width="11.42578125" style="37"/>
    <col min="10753" max="10753" width="8.85546875" style="37" bestFit="1" customWidth="1"/>
    <col min="10754" max="10754" width="10.140625" style="37" bestFit="1" customWidth="1"/>
    <col min="10755" max="10755" width="12.140625" style="37" bestFit="1" customWidth="1"/>
    <col min="10756" max="10756" width="4.5703125" style="37" bestFit="1" customWidth="1"/>
    <col min="10757" max="10757" width="11.28515625" style="37" bestFit="1" customWidth="1"/>
    <col min="10758" max="10758" width="13.28515625" style="37" bestFit="1" customWidth="1"/>
    <col min="10759" max="10759" width="12.140625" style="37" bestFit="1" customWidth="1"/>
    <col min="10760" max="10760" width="14.5703125" style="37" customWidth="1"/>
    <col min="10761" max="10762" width="12.140625" style="37" bestFit="1" customWidth="1"/>
    <col min="10763" max="10763" width="11.85546875" style="37" bestFit="1" customWidth="1"/>
    <col min="10764" max="10764" width="12.140625" style="37" bestFit="1" customWidth="1"/>
    <col min="10765" max="10765" width="12" style="37" bestFit="1" customWidth="1"/>
    <col min="10766" max="10766" width="18.7109375" style="37" bestFit="1" customWidth="1"/>
    <col min="10767" max="11008" width="11.42578125" style="37"/>
    <col min="11009" max="11009" width="8.85546875" style="37" bestFit="1" customWidth="1"/>
    <col min="11010" max="11010" width="10.140625" style="37" bestFit="1" customWidth="1"/>
    <col min="11011" max="11011" width="12.140625" style="37" bestFit="1" customWidth="1"/>
    <col min="11012" max="11012" width="4.5703125" style="37" bestFit="1" customWidth="1"/>
    <col min="11013" max="11013" width="11.28515625" style="37" bestFit="1" customWidth="1"/>
    <col min="11014" max="11014" width="13.28515625" style="37" bestFit="1" customWidth="1"/>
    <col min="11015" max="11015" width="12.140625" style="37" bestFit="1" customWidth="1"/>
    <col min="11016" max="11016" width="14.5703125" style="37" customWidth="1"/>
    <col min="11017" max="11018" width="12.140625" style="37" bestFit="1" customWidth="1"/>
    <col min="11019" max="11019" width="11.85546875" style="37" bestFit="1" customWidth="1"/>
    <col min="11020" max="11020" width="12.140625" style="37" bestFit="1" customWidth="1"/>
    <col min="11021" max="11021" width="12" style="37" bestFit="1" customWidth="1"/>
    <col min="11022" max="11022" width="18.7109375" style="37" bestFit="1" customWidth="1"/>
    <col min="11023" max="11264" width="11.42578125" style="37"/>
    <col min="11265" max="11265" width="8.85546875" style="37" bestFit="1" customWidth="1"/>
    <col min="11266" max="11266" width="10.140625" style="37" bestFit="1" customWidth="1"/>
    <col min="11267" max="11267" width="12.140625" style="37" bestFit="1" customWidth="1"/>
    <col min="11268" max="11268" width="4.5703125" style="37" bestFit="1" customWidth="1"/>
    <col min="11269" max="11269" width="11.28515625" style="37" bestFit="1" customWidth="1"/>
    <col min="11270" max="11270" width="13.28515625" style="37" bestFit="1" customWidth="1"/>
    <col min="11271" max="11271" width="12.140625" style="37" bestFit="1" customWidth="1"/>
    <col min="11272" max="11272" width="14.5703125" style="37" customWidth="1"/>
    <col min="11273" max="11274" width="12.140625" style="37" bestFit="1" customWidth="1"/>
    <col min="11275" max="11275" width="11.85546875" style="37" bestFit="1" customWidth="1"/>
    <col min="11276" max="11276" width="12.140625" style="37" bestFit="1" customWidth="1"/>
    <col min="11277" max="11277" width="12" style="37" bestFit="1" customWidth="1"/>
    <col min="11278" max="11278" width="18.7109375" style="37" bestFit="1" customWidth="1"/>
    <col min="11279" max="11520" width="11.42578125" style="37"/>
    <col min="11521" max="11521" width="8.85546875" style="37" bestFit="1" customWidth="1"/>
    <col min="11522" max="11522" width="10.140625" style="37" bestFit="1" customWidth="1"/>
    <col min="11523" max="11523" width="12.140625" style="37" bestFit="1" customWidth="1"/>
    <col min="11524" max="11524" width="4.5703125" style="37" bestFit="1" customWidth="1"/>
    <col min="11525" max="11525" width="11.28515625" style="37" bestFit="1" customWidth="1"/>
    <col min="11526" max="11526" width="13.28515625" style="37" bestFit="1" customWidth="1"/>
    <col min="11527" max="11527" width="12.140625" style="37" bestFit="1" customWidth="1"/>
    <col min="11528" max="11528" width="14.5703125" style="37" customWidth="1"/>
    <col min="11529" max="11530" width="12.140625" style="37" bestFit="1" customWidth="1"/>
    <col min="11531" max="11531" width="11.85546875" style="37" bestFit="1" customWidth="1"/>
    <col min="11532" max="11532" width="12.140625" style="37" bestFit="1" customWidth="1"/>
    <col min="11533" max="11533" width="12" style="37" bestFit="1" customWidth="1"/>
    <col min="11534" max="11534" width="18.7109375" style="37" bestFit="1" customWidth="1"/>
    <col min="11535" max="11776" width="11.42578125" style="37"/>
    <col min="11777" max="11777" width="8.85546875" style="37" bestFit="1" customWidth="1"/>
    <col min="11778" max="11778" width="10.140625" style="37" bestFit="1" customWidth="1"/>
    <col min="11779" max="11779" width="12.140625" style="37" bestFit="1" customWidth="1"/>
    <col min="11780" max="11780" width="4.5703125" style="37" bestFit="1" customWidth="1"/>
    <col min="11781" max="11781" width="11.28515625" style="37" bestFit="1" customWidth="1"/>
    <col min="11782" max="11782" width="13.28515625" style="37" bestFit="1" customWidth="1"/>
    <col min="11783" max="11783" width="12.140625" style="37" bestFit="1" customWidth="1"/>
    <col min="11784" max="11784" width="14.5703125" style="37" customWidth="1"/>
    <col min="11785" max="11786" width="12.140625" style="37" bestFit="1" customWidth="1"/>
    <col min="11787" max="11787" width="11.85546875" style="37" bestFit="1" customWidth="1"/>
    <col min="11788" max="11788" width="12.140625" style="37" bestFit="1" customWidth="1"/>
    <col min="11789" max="11789" width="12" style="37" bestFit="1" customWidth="1"/>
    <col min="11790" max="11790" width="18.7109375" style="37" bestFit="1" customWidth="1"/>
    <col min="11791" max="12032" width="11.42578125" style="37"/>
    <col min="12033" max="12033" width="8.85546875" style="37" bestFit="1" customWidth="1"/>
    <col min="12034" max="12034" width="10.140625" style="37" bestFit="1" customWidth="1"/>
    <col min="12035" max="12035" width="12.140625" style="37" bestFit="1" customWidth="1"/>
    <col min="12036" max="12036" width="4.5703125" style="37" bestFit="1" customWidth="1"/>
    <col min="12037" max="12037" width="11.28515625" style="37" bestFit="1" customWidth="1"/>
    <col min="12038" max="12038" width="13.28515625" style="37" bestFit="1" customWidth="1"/>
    <col min="12039" max="12039" width="12.140625" style="37" bestFit="1" customWidth="1"/>
    <col min="12040" max="12040" width="14.5703125" style="37" customWidth="1"/>
    <col min="12041" max="12042" width="12.140625" style="37" bestFit="1" customWidth="1"/>
    <col min="12043" max="12043" width="11.85546875" style="37" bestFit="1" customWidth="1"/>
    <col min="12044" max="12044" width="12.140625" style="37" bestFit="1" customWidth="1"/>
    <col min="12045" max="12045" width="12" style="37" bestFit="1" customWidth="1"/>
    <col min="12046" max="12046" width="18.7109375" style="37" bestFit="1" customWidth="1"/>
    <col min="12047" max="12288" width="11.42578125" style="37"/>
    <col min="12289" max="12289" width="8.85546875" style="37" bestFit="1" customWidth="1"/>
    <col min="12290" max="12290" width="10.140625" style="37" bestFit="1" customWidth="1"/>
    <col min="12291" max="12291" width="12.140625" style="37" bestFit="1" customWidth="1"/>
    <col min="12292" max="12292" width="4.5703125" style="37" bestFit="1" customWidth="1"/>
    <col min="12293" max="12293" width="11.28515625" style="37" bestFit="1" customWidth="1"/>
    <col min="12294" max="12294" width="13.28515625" style="37" bestFit="1" customWidth="1"/>
    <col min="12295" max="12295" width="12.140625" style="37" bestFit="1" customWidth="1"/>
    <col min="12296" max="12296" width="14.5703125" style="37" customWidth="1"/>
    <col min="12297" max="12298" width="12.140625" style="37" bestFit="1" customWidth="1"/>
    <col min="12299" max="12299" width="11.85546875" style="37" bestFit="1" customWidth="1"/>
    <col min="12300" max="12300" width="12.140625" style="37" bestFit="1" customWidth="1"/>
    <col min="12301" max="12301" width="12" style="37" bestFit="1" customWidth="1"/>
    <col min="12302" max="12302" width="18.7109375" style="37" bestFit="1" customWidth="1"/>
    <col min="12303" max="12544" width="11.42578125" style="37"/>
    <col min="12545" max="12545" width="8.85546875" style="37" bestFit="1" customWidth="1"/>
    <col min="12546" max="12546" width="10.140625" style="37" bestFit="1" customWidth="1"/>
    <col min="12547" max="12547" width="12.140625" style="37" bestFit="1" customWidth="1"/>
    <col min="12548" max="12548" width="4.5703125" style="37" bestFit="1" customWidth="1"/>
    <col min="12549" max="12549" width="11.28515625" style="37" bestFit="1" customWidth="1"/>
    <col min="12550" max="12550" width="13.28515625" style="37" bestFit="1" customWidth="1"/>
    <col min="12551" max="12551" width="12.140625" style="37" bestFit="1" customWidth="1"/>
    <col min="12552" max="12552" width="14.5703125" style="37" customWidth="1"/>
    <col min="12553" max="12554" width="12.140625" style="37" bestFit="1" customWidth="1"/>
    <col min="12555" max="12555" width="11.85546875" style="37" bestFit="1" customWidth="1"/>
    <col min="12556" max="12556" width="12.140625" style="37" bestFit="1" customWidth="1"/>
    <col min="12557" max="12557" width="12" style="37" bestFit="1" customWidth="1"/>
    <col min="12558" max="12558" width="18.7109375" style="37" bestFit="1" customWidth="1"/>
    <col min="12559" max="12800" width="11.42578125" style="37"/>
    <col min="12801" max="12801" width="8.85546875" style="37" bestFit="1" customWidth="1"/>
    <col min="12802" max="12802" width="10.140625" style="37" bestFit="1" customWidth="1"/>
    <col min="12803" max="12803" width="12.140625" style="37" bestFit="1" customWidth="1"/>
    <col min="12804" max="12804" width="4.5703125" style="37" bestFit="1" customWidth="1"/>
    <col min="12805" max="12805" width="11.28515625" style="37" bestFit="1" customWidth="1"/>
    <col min="12806" max="12806" width="13.28515625" style="37" bestFit="1" customWidth="1"/>
    <col min="12807" max="12807" width="12.140625" style="37" bestFit="1" customWidth="1"/>
    <col min="12808" max="12808" width="14.5703125" style="37" customWidth="1"/>
    <col min="12809" max="12810" width="12.140625" style="37" bestFit="1" customWidth="1"/>
    <col min="12811" max="12811" width="11.85546875" style="37" bestFit="1" customWidth="1"/>
    <col min="12812" max="12812" width="12.140625" style="37" bestFit="1" customWidth="1"/>
    <col min="12813" max="12813" width="12" style="37" bestFit="1" customWidth="1"/>
    <col min="12814" max="12814" width="18.7109375" style="37" bestFit="1" customWidth="1"/>
    <col min="12815" max="13056" width="11.42578125" style="37"/>
    <col min="13057" max="13057" width="8.85546875" style="37" bestFit="1" customWidth="1"/>
    <col min="13058" max="13058" width="10.140625" style="37" bestFit="1" customWidth="1"/>
    <col min="13059" max="13059" width="12.140625" style="37" bestFit="1" customWidth="1"/>
    <col min="13060" max="13060" width="4.5703125" style="37" bestFit="1" customWidth="1"/>
    <col min="13061" max="13061" width="11.28515625" style="37" bestFit="1" customWidth="1"/>
    <col min="13062" max="13062" width="13.28515625" style="37" bestFit="1" customWidth="1"/>
    <col min="13063" max="13063" width="12.140625" style="37" bestFit="1" customWidth="1"/>
    <col min="13064" max="13064" width="14.5703125" style="37" customWidth="1"/>
    <col min="13065" max="13066" width="12.140625" style="37" bestFit="1" customWidth="1"/>
    <col min="13067" max="13067" width="11.85546875" style="37" bestFit="1" customWidth="1"/>
    <col min="13068" max="13068" width="12.140625" style="37" bestFit="1" customWidth="1"/>
    <col min="13069" max="13069" width="12" style="37" bestFit="1" customWidth="1"/>
    <col min="13070" max="13070" width="18.7109375" style="37" bestFit="1" customWidth="1"/>
    <col min="13071" max="13312" width="11.42578125" style="37"/>
    <col min="13313" max="13313" width="8.85546875" style="37" bestFit="1" customWidth="1"/>
    <col min="13314" max="13314" width="10.140625" style="37" bestFit="1" customWidth="1"/>
    <col min="13315" max="13315" width="12.140625" style="37" bestFit="1" customWidth="1"/>
    <col min="13316" max="13316" width="4.5703125" style="37" bestFit="1" customWidth="1"/>
    <col min="13317" max="13317" width="11.28515625" style="37" bestFit="1" customWidth="1"/>
    <col min="13318" max="13318" width="13.28515625" style="37" bestFit="1" customWidth="1"/>
    <col min="13319" max="13319" width="12.140625" style="37" bestFit="1" customWidth="1"/>
    <col min="13320" max="13320" width="14.5703125" style="37" customWidth="1"/>
    <col min="13321" max="13322" width="12.140625" style="37" bestFit="1" customWidth="1"/>
    <col min="13323" max="13323" width="11.85546875" style="37" bestFit="1" customWidth="1"/>
    <col min="13324" max="13324" width="12.140625" style="37" bestFit="1" customWidth="1"/>
    <col min="13325" max="13325" width="12" style="37" bestFit="1" customWidth="1"/>
    <col min="13326" max="13326" width="18.7109375" style="37" bestFit="1" customWidth="1"/>
    <col min="13327" max="13568" width="11.42578125" style="37"/>
    <col min="13569" max="13569" width="8.85546875" style="37" bestFit="1" customWidth="1"/>
    <col min="13570" max="13570" width="10.140625" style="37" bestFit="1" customWidth="1"/>
    <col min="13571" max="13571" width="12.140625" style="37" bestFit="1" customWidth="1"/>
    <col min="13572" max="13572" width="4.5703125" style="37" bestFit="1" customWidth="1"/>
    <col min="13573" max="13573" width="11.28515625" style="37" bestFit="1" customWidth="1"/>
    <col min="13574" max="13574" width="13.28515625" style="37" bestFit="1" customWidth="1"/>
    <col min="13575" max="13575" width="12.140625" style="37" bestFit="1" customWidth="1"/>
    <col min="13576" max="13576" width="14.5703125" style="37" customWidth="1"/>
    <col min="13577" max="13578" width="12.140625" style="37" bestFit="1" customWidth="1"/>
    <col min="13579" max="13579" width="11.85546875" style="37" bestFit="1" customWidth="1"/>
    <col min="13580" max="13580" width="12.140625" style="37" bestFit="1" customWidth="1"/>
    <col min="13581" max="13581" width="12" style="37" bestFit="1" customWidth="1"/>
    <col min="13582" max="13582" width="18.7109375" style="37" bestFit="1" customWidth="1"/>
    <col min="13583" max="13824" width="11.42578125" style="37"/>
    <col min="13825" max="13825" width="8.85546875" style="37" bestFit="1" customWidth="1"/>
    <col min="13826" max="13826" width="10.140625" style="37" bestFit="1" customWidth="1"/>
    <col min="13827" max="13827" width="12.140625" style="37" bestFit="1" customWidth="1"/>
    <col min="13828" max="13828" width="4.5703125" style="37" bestFit="1" customWidth="1"/>
    <col min="13829" max="13829" width="11.28515625" style="37" bestFit="1" customWidth="1"/>
    <col min="13830" max="13830" width="13.28515625" style="37" bestFit="1" customWidth="1"/>
    <col min="13831" max="13831" width="12.140625" style="37" bestFit="1" customWidth="1"/>
    <col min="13832" max="13832" width="14.5703125" style="37" customWidth="1"/>
    <col min="13833" max="13834" width="12.140625" style="37" bestFit="1" customWidth="1"/>
    <col min="13835" max="13835" width="11.85546875" style="37" bestFit="1" customWidth="1"/>
    <col min="13836" max="13836" width="12.140625" style="37" bestFit="1" customWidth="1"/>
    <col min="13837" max="13837" width="12" style="37" bestFit="1" customWidth="1"/>
    <col min="13838" max="13838" width="18.7109375" style="37" bestFit="1" customWidth="1"/>
    <col min="13839" max="14080" width="11.42578125" style="37"/>
    <col min="14081" max="14081" width="8.85546875" style="37" bestFit="1" customWidth="1"/>
    <col min="14082" max="14082" width="10.140625" style="37" bestFit="1" customWidth="1"/>
    <col min="14083" max="14083" width="12.140625" style="37" bestFit="1" customWidth="1"/>
    <col min="14084" max="14084" width="4.5703125" style="37" bestFit="1" customWidth="1"/>
    <col min="14085" max="14085" width="11.28515625" style="37" bestFit="1" customWidth="1"/>
    <col min="14086" max="14086" width="13.28515625" style="37" bestFit="1" customWidth="1"/>
    <col min="14087" max="14087" width="12.140625" style="37" bestFit="1" customWidth="1"/>
    <col min="14088" max="14088" width="14.5703125" style="37" customWidth="1"/>
    <col min="14089" max="14090" width="12.140625" style="37" bestFit="1" customWidth="1"/>
    <col min="14091" max="14091" width="11.85546875" style="37" bestFit="1" customWidth="1"/>
    <col min="14092" max="14092" width="12.140625" style="37" bestFit="1" customWidth="1"/>
    <col min="14093" max="14093" width="12" style="37" bestFit="1" customWidth="1"/>
    <col min="14094" max="14094" width="18.7109375" style="37" bestFit="1" customWidth="1"/>
    <col min="14095" max="14336" width="11.42578125" style="37"/>
    <col min="14337" max="14337" width="8.85546875" style="37" bestFit="1" customWidth="1"/>
    <col min="14338" max="14338" width="10.140625" style="37" bestFit="1" customWidth="1"/>
    <col min="14339" max="14339" width="12.140625" style="37" bestFit="1" customWidth="1"/>
    <col min="14340" max="14340" width="4.5703125" style="37" bestFit="1" customWidth="1"/>
    <col min="14341" max="14341" width="11.28515625" style="37" bestFit="1" customWidth="1"/>
    <col min="14342" max="14342" width="13.28515625" style="37" bestFit="1" customWidth="1"/>
    <col min="14343" max="14343" width="12.140625" style="37" bestFit="1" customWidth="1"/>
    <col min="14344" max="14344" width="14.5703125" style="37" customWidth="1"/>
    <col min="14345" max="14346" width="12.140625" style="37" bestFit="1" customWidth="1"/>
    <col min="14347" max="14347" width="11.85546875" style="37" bestFit="1" customWidth="1"/>
    <col min="14348" max="14348" width="12.140625" style="37" bestFit="1" customWidth="1"/>
    <col min="14349" max="14349" width="12" style="37" bestFit="1" customWidth="1"/>
    <col min="14350" max="14350" width="18.7109375" style="37" bestFit="1" customWidth="1"/>
    <col min="14351" max="14592" width="11.42578125" style="37"/>
    <col min="14593" max="14593" width="8.85546875" style="37" bestFit="1" customWidth="1"/>
    <col min="14594" max="14594" width="10.140625" style="37" bestFit="1" customWidth="1"/>
    <col min="14595" max="14595" width="12.140625" style="37" bestFit="1" customWidth="1"/>
    <col min="14596" max="14596" width="4.5703125" style="37" bestFit="1" customWidth="1"/>
    <col min="14597" max="14597" width="11.28515625" style="37" bestFit="1" customWidth="1"/>
    <col min="14598" max="14598" width="13.28515625" style="37" bestFit="1" customWidth="1"/>
    <col min="14599" max="14599" width="12.140625" style="37" bestFit="1" customWidth="1"/>
    <col min="14600" max="14600" width="14.5703125" style="37" customWidth="1"/>
    <col min="14601" max="14602" width="12.140625" style="37" bestFit="1" customWidth="1"/>
    <col min="14603" max="14603" width="11.85546875" style="37" bestFit="1" customWidth="1"/>
    <col min="14604" max="14604" width="12.140625" style="37" bestFit="1" customWidth="1"/>
    <col min="14605" max="14605" width="12" style="37" bestFit="1" customWidth="1"/>
    <col min="14606" max="14606" width="18.7109375" style="37" bestFit="1" customWidth="1"/>
    <col min="14607" max="14848" width="11.42578125" style="37"/>
    <col min="14849" max="14849" width="8.85546875" style="37" bestFit="1" customWidth="1"/>
    <col min="14850" max="14850" width="10.140625" style="37" bestFit="1" customWidth="1"/>
    <col min="14851" max="14851" width="12.140625" style="37" bestFit="1" customWidth="1"/>
    <col min="14852" max="14852" width="4.5703125" style="37" bestFit="1" customWidth="1"/>
    <col min="14853" max="14853" width="11.28515625" style="37" bestFit="1" customWidth="1"/>
    <col min="14854" max="14854" width="13.28515625" style="37" bestFit="1" customWidth="1"/>
    <col min="14855" max="14855" width="12.140625" style="37" bestFit="1" customWidth="1"/>
    <col min="14856" max="14856" width="14.5703125" style="37" customWidth="1"/>
    <col min="14857" max="14858" width="12.140625" style="37" bestFit="1" customWidth="1"/>
    <col min="14859" max="14859" width="11.85546875" style="37" bestFit="1" customWidth="1"/>
    <col min="14860" max="14860" width="12.140625" style="37" bestFit="1" customWidth="1"/>
    <col min="14861" max="14861" width="12" style="37" bestFit="1" customWidth="1"/>
    <col min="14862" max="14862" width="18.7109375" style="37" bestFit="1" customWidth="1"/>
    <col min="14863" max="15104" width="11.42578125" style="37"/>
    <col min="15105" max="15105" width="8.85546875" style="37" bestFit="1" customWidth="1"/>
    <col min="15106" max="15106" width="10.140625" style="37" bestFit="1" customWidth="1"/>
    <col min="15107" max="15107" width="12.140625" style="37" bestFit="1" customWidth="1"/>
    <col min="15108" max="15108" width="4.5703125" style="37" bestFit="1" customWidth="1"/>
    <col min="15109" max="15109" width="11.28515625" style="37" bestFit="1" customWidth="1"/>
    <col min="15110" max="15110" width="13.28515625" style="37" bestFit="1" customWidth="1"/>
    <col min="15111" max="15111" width="12.140625" style="37" bestFit="1" customWidth="1"/>
    <col min="15112" max="15112" width="14.5703125" style="37" customWidth="1"/>
    <col min="15113" max="15114" width="12.140625" style="37" bestFit="1" customWidth="1"/>
    <col min="15115" max="15115" width="11.85546875" style="37" bestFit="1" customWidth="1"/>
    <col min="15116" max="15116" width="12.140625" style="37" bestFit="1" customWidth="1"/>
    <col min="15117" max="15117" width="12" style="37" bestFit="1" customWidth="1"/>
    <col min="15118" max="15118" width="18.7109375" style="37" bestFit="1" customWidth="1"/>
    <col min="15119" max="15360" width="11.42578125" style="37"/>
    <col min="15361" max="15361" width="8.85546875" style="37" bestFit="1" customWidth="1"/>
    <col min="15362" max="15362" width="10.140625" style="37" bestFit="1" customWidth="1"/>
    <col min="15363" max="15363" width="12.140625" style="37" bestFit="1" customWidth="1"/>
    <col min="15364" max="15364" width="4.5703125" style="37" bestFit="1" customWidth="1"/>
    <col min="15365" max="15365" width="11.28515625" style="37" bestFit="1" customWidth="1"/>
    <col min="15366" max="15366" width="13.28515625" style="37" bestFit="1" customWidth="1"/>
    <col min="15367" max="15367" width="12.140625" style="37" bestFit="1" customWidth="1"/>
    <col min="15368" max="15368" width="14.5703125" style="37" customWidth="1"/>
    <col min="15369" max="15370" width="12.140625" style="37" bestFit="1" customWidth="1"/>
    <col min="15371" max="15371" width="11.85546875" style="37" bestFit="1" customWidth="1"/>
    <col min="15372" max="15372" width="12.140625" style="37" bestFit="1" customWidth="1"/>
    <col min="15373" max="15373" width="12" style="37" bestFit="1" customWidth="1"/>
    <col min="15374" max="15374" width="18.7109375" style="37" bestFit="1" customWidth="1"/>
    <col min="15375" max="15616" width="11.42578125" style="37"/>
    <col min="15617" max="15617" width="8.85546875" style="37" bestFit="1" customWidth="1"/>
    <col min="15618" max="15618" width="10.140625" style="37" bestFit="1" customWidth="1"/>
    <col min="15619" max="15619" width="12.140625" style="37" bestFit="1" customWidth="1"/>
    <col min="15620" max="15620" width="4.5703125" style="37" bestFit="1" customWidth="1"/>
    <col min="15621" max="15621" width="11.28515625" style="37" bestFit="1" customWidth="1"/>
    <col min="15622" max="15622" width="13.28515625" style="37" bestFit="1" customWidth="1"/>
    <col min="15623" max="15623" width="12.140625" style="37" bestFit="1" customWidth="1"/>
    <col min="15624" max="15624" width="14.5703125" style="37" customWidth="1"/>
    <col min="15625" max="15626" width="12.140625" style="37" bestFit="1" customWidth="1"/>
    <col min="15627" max="15627" width="11.85546875" style="37" bestFit="1" customWidth="1"/>
    <col min="15628" max="15628" width="12.140625" style="37" bestFit="1" customWidth="1"/>
    <col min="15629" max="15629" width="12" style="37" bestFit="1" customWidth="1"/>
    <col min="15630" max="15630" width="18.7109375" style="37" bestFit="1" customWidth="1"/>
    <col min="15631" max="15872" width="11.42578125" style="37"/>
    <col min="15873" max="15873" width="8.85546875" style="37" bestFit="1" customWidth="1"/>
    <col min="15874" max="15874" width="10.140625" style="37" bestFit="1" customWidth="1"/>
    <col min="15875" max="15875" width="12.140625" style="37" bestFit="1" customWidth="1"/>
    <col min="15876" max="15876" width="4.5703125" style="37" bestFit="1" customWidth="1"/>
    <col min="15877" max="15877" width="11.28515625" style="37" bestFit="1" customWidth="1"/>
    <col min="15878" max="15878" width="13.28515625" style="37" bestFit="1" customWidth="1"/>
    <col min="15879" max="15879" width="12.140625" style="37" bestFit="1" customWidth="1"/>
    <col min="15880" max="15880" width="14.5703125" style="37" customWidth="1"/>
    <col min="15881" max="15882" width="12.140625" style="37" bestFit="1" customWidth="1"/>
    <col min="15883" max="15883" width="11.85546875" style="37" bestFit="1" customWidth="1"/>
    <col min="15884" max="15884" width="12.140625" style="37" bestFit="1" customWidth="1"/>
    <col min="15885" max="15885" width="12" style="37" bestFit="1" customWidth="1"/>
    <col min="15886" max="15886" width="18.7109375" style="37" bestFit="1" customWidth="1"/>
    <col min="15887" max="16128" width="11.42578125" style="37"/>
    <col min="16129" max="16129" width="8.85546875" style="37" bestFit="1" customWidth="1"/>
    <col min="16130" max="16130" width="10.140625" style="37" bestFit="1" customWidth="1"/>
    <col min="16131" max="16131" width="12.140625" style="37" bestFit="1" customWidth="1"/>
    <col min="16132" max="16132" width="4.5703125" style="37" bestFit="1" customWidth="1"/>
    <col min="16133" max="16133" width="11.28515625" style="37" bestFit="1" customWidth="1"/>
    <col min="16134" max="16134" width="13.28515625" style="37" bestFit="1" customWidth="1"/>
    <col min="16135" max="16135" width="12.140625" style="37" bestFit="1" customWidth="1"/>
    <col min="16136" max="16136" width="14.5703125" style="37" customWidth="1"/>
    <col min="16137" max="16138" width="12.140625" style="37" bestFit="1" customWidth="1"/>
    <col min="16139" max="16139" width="11.85546875" style="37" bestFit="1" customWidth="1"/>
    <col min="16140" max="16140" width="12.140625" style="37" bestFit="1" customWidth="1"/>
    <col min="16141" max="16141" width="12" style="37" bestFit="1" customWidth="1"/>
    <col min="16142" max="16142" width="18.7109375" style="37" bestFit="1" customWidth="1"/>
    <col min="16143" max="16384" width="11.42578125" style="37"/>
  </cols>
  <sheetData>
    <row r="1" spans="1:16" ht="13.5" thickBot="1"/>
    <row r="2" spans="1:16" ht="13.5" thickBot="1">
      <c r="A2" s="1027" t="s">
        <v>57</v>
      </c>
      <c r="B2" s="1029" t="s">
        <v>58</v>
      </c>
      <c r="C2" s="1030"/>
      <c r="D2" s="1030"/>
      <c r="E2" s="1030"/>
      <c r="F2" s="1030"/>
      <c r="G2" s="1031"/>
      <c r="H2" s="1032" t="s">
        <v>59</v>
      </c>
      <c r="I2" s="1033"/>
      <c r="J2" s="1034"/>
      <c r="K2" s="1032" t="s">
        <v>21</v>
      </c>
      <c r="L2" s="1034"/>
      <c r="M2" s="1027" t="s">
        <v>60</v>
      </c>
    </row>
    <row r="3" spans="1:16" ht="13.5" thickBot="1">
      <c r="A3" s="1028"/>
      <c r="B3" s="40" t="s">
        <v>61</v>
      </c>
      <c r="C3" s="41" t="s">
        <v>56</v>
      </c>
      <c r="D3" s="41" t="s">
        <v>62</v>
      </c>
      <c r="E3" s="42" t="s">
        <v>63</v>
      </c>
      <c r="F3" s="43" t="s">
        <v>24</v>
      </c>
      <c r="G3" s="44" t="s">
        <v>5</v>
      </c>
      <c r="H3" s="45" t="s">
        <v>64</v>
      </c>
      <c r="I3" s="46" t="s">
        <v>65</v>
      </c>
      <c r="J3" s="47" t="s">
        <v>66</v>
      </c>
      <c r="K3" s="259" t="s">
        <v>64</v>
      </c>
      <c r="L3" s="260" t="s">
        <v>67</v>
      </c>
      <c r="M3" s="1028"/>
    </row>
    <row r="4" spans="1:16" s="59" customFormat="1">
      <c r="A4" s="257" t="s">
        <v>68</v>
      </c>
      <c r="B4" s="251" t="s">
        <v>132</v>
      </c>
      <c r="C4" s="252">
        <v>41535</v>
      </c>
      <c r="D4" s="253" t="s">
        <v>23</v>
      </c>
      <c r="E4" s="254">
        <v>234660.38</v>
      </c>
      <c r="F4" s="255">
        <f>E4*1.631</f>
        <v>382731.07978000003</v>
      </c>
      <c r="G4" s="256">
        <f>+C4+90</f>
        <v>41625</v>
      </c>
      <c r="H4" s="258"/>
      <c r="I4" s="252"/>
      <c r="J4" s="256"/>
      <c r="K4" s="261">
        <f>91004+143540.25</f>
        <v>234544.25</v>
      </c>
      <c r="L4" s="252">
        <v>41641</v>
      </c>
      <c r="M4" s="262">
        <f t="shared" ref="M4:M10" si="0">E4-K4</f>
        <v>116.13000000000466</v>
      </c>
      <c r="N4" s="583"/>
    </row>
    <row r="5" spans="1:16" s="59" customFormat="1">
      <c r="A5" s="278" t="s">
        <v>68</v>
      </c>
      <c r="B5" s="267" t="s">
        <v>135</v>
      </c>
      <c r="C5" s="269">
        <v>41565</v>
      </c>
      <c r="D5" s="268" t="s">
        <v>23</v>
      </c>
      <c r="E5" s="270">
        <v>149461.17000000001</v>
      </c>
      <c r="F5" s="271">
        <f>+E5*1.631</f>
        <v>243771.16827000002</v>
      </c>
      <c r="G5" s="279">
        <f>+C5+120</f>
        <v>41685</v>
      </c>
      <c r="H5" s="280"/>
      <c r="I5" s="269"/>
      <c r="J5" s="279"/>
      <c r="K5" s="281">
        <f>93414.5+55940</f>
        <v>149354.5</v>
      </c>
      <c r="L5" s="269">
        <v>41699</v>
      </c>
      <c r="M5" s="282">
        <f t="shared" si="0"/>
        <v>106.67000000001281</v>
      </c>
      <c r="N5" s="583"/>
    </row>
    <row r="6" spans="1:16" s="237" customFormat="1" ht="13.5" thickBot="1">
      <c r="A6" s="298" t="s">
        <v>68</v>
      </c>
      <c r="B6" s="299" t="s">
        <v>137</v>
      </c>
      <c r="C6" s="300">
        <v>41591</v>
      </c>
      <c r="D6" s="301" t="s">
        <v>23</v>
      </c>
      <c r="E6" s="302">
        <v>385996.63</v>
      </c>
      <c r="F6" s="303">
        <f>E6*1.66385</f>
        <v>642240.49282550009</v>
      </c>
      <c r="G6" s="304">
        <f>C6+120</f>
        <v>41711</v>
      </c>
      <c r="H6" s="305"/>
      <c r="I6" s="300"/>
      <c r="J6" s="304"/>
      <c r="K6" s="306">
        <f>236302.5+149619</f>
        <v>385921.5</v>
      </c>
      <c r="L6" s="300">
        <v>41718</v>
      </c>
      <c r="M6" s="307">
        <f t="shared" si="0"/>
        <v>75.130000000004657</v>
      </c>
      <c r="N6" s="584"/>
    </row>
    <row r="7" spans="1:16" s="59" customFormat="1">
      <c r="A7" s="397" t="s">
        <v>68</v>
      </c>
      <c r="B7" s="398" t="s">
        <v>219</v>
      </c>
      <c r="C7" s="399">
        <v>41691</v>
      </c>
      <c r="D7" s="400" t="s">
        <v>23</v>
      </c>
      <c r="E7" s="401">
        <v>154245.10999999999</v>
      </c>
      <c r="F7" s="402">
        <f>+E7*1.5807</f>
        <v>243815.24537699998</v>
      </c>
      <c r="G7" s="403">
        <f>+C7+120</f>
        <v>41811</v>
      </c>
      <c r="H7" s="404"/>
      <c r="I7" s="399"/>
      <c r="J7" s="403"/>
      <c r="K7" s="405">
        <f>94478.25+59643.65</f>
        <v>154121.9</v>
      </c>
      <c r="L7" s="406"/>
      <c r="M7" s="407">
        <f t="shared" si="0"/>
        <v>123.20999999999185</v>
      </c>
      <c r="N7" s="585"/>
    </row>
    <row r="8" spans="1:16">
      <c r="A8" s="408" t="s">
        <v>139</v>
      </c>
      <c r="B8" s="322" t="s">
        <v>232</v>
      </c>
      <c r="C8" s="323">
        <v>41751</v>
      </c>
      <c r="D8" s="324" t="s">
        <v>22</v>
      </c>
      <c r="E8" s="325">
        <v>43867.9</v>
      </c>
      <c r="F8" s="326">
        <f>E8*2.19265</f>
        <v>96186.950935000001</v>
      </c>
      <c r="G8" s="327">
        <f>+C8+60</f>
        <v>41811</v>
      </c>
      <c r="H8" s="328"/>
      <c r="I8" s="323"/>
      <c r="J8" s="327"/>
      <c r="K8" s="281">
        <v>43747.9</v>
      </c>
      <c r="L8" s="329"/>
      <c r="M8" s="272">
        <f t="shared" si="0"/>
        <v>120</v>
      </c>
    </row>
    <row r="9" spans="1:16">
      <c r="A9" s="408" t="s">
        <v>139</v>
      </c>
      <c r="B9" s="322" t="s">
        <v>239</v>
      </c>
      <c r="C9" s="323">
        <v>41771</v>
      </c>
      <c r="D9" s="324" t="s">
        <v>22</v>
      </c>
      <c r="E9" s="325">
        <v>46708.5</v>
      </c>
      <c r="F9" s="326">
        <f>E9*2.2192</f>
        <v>103655.50319999999</v>
      </c>
      <c r="G9" s="327">
        <v>41840</v>
      </c>
      <c r="H9" s="231"/>
      <c r="I9" s="226"/>
      <c r="J9" s="230"/>
      <c r="K9" s="330">
        <v>46588.5</v>
      </c>
      <c r="L9" s="329"/>
      <c r="M9" s="272">
        <f t="shared" si="0"/>
        <v>120</v>
      </c>
    </row>
    <row r="10" spans="1:16" s="59" customFormat="1">
      <c r="A10" s="415" t="s">
        <v>68</v>
      </c>
      <c r="B10" s="212" t="s">
        <v>244</v>
      </c>
      <c r="C10" s="213">
        <v>41802</v>
      </c>
      <c r="D10" s="214" t="s">
        <v>23</v>
      </c>
      <c r="E10" s="215">
        <v>145710.64000000001</v>
      </c>
      <c r="F10" s="216">
        <f>+E10*1.6482</f>
        <v>240160.27684800004</v>
      </c>
      <c r="G10" s="217">
        <f>+C10+120</f>
        <v>41922</v>
      </c>
      <c r="H10" s="218">
        <v>195000</v>
      </c>
      <c r="I10" s="213">
        <v>41829</v>
      </c>
      <c r="J10" s="217">
        <v>41932</v>
      </c>
      <c r="K10" s="281">
        <f>140324.5+4890</f>
        <v>145214.5</v>
      </c>
      <c r="L10" s="319"/>
      <c r="M10" s="272">
        <f t="shared" si="0"/>
        <v>496.14000000001397</v>
      </c>
      <c r="N10" s="585"/>
      <c r="P10" s="586"/>
    </row>
    <row r="11" spans="1:16" s="59" customFormat="1">
      <c r="A11" s="415" t="s">
        <v>68</v>
      </c>
      <c r="B11" s="212" t="s">
        <v>245</v>
      </c>
      <c r="C11" s="213">
        <v>41816</v>
      </c>
      <c r="D11" s="214" t="s">
        <v>23</v>
      </c>
      <c r="E11" s="215">
        <v>280483.92</v>
      </c>
      <c r="F11" s="216">
        <f>+E11*1.6734</f>
        <v>469361.79172799998</v>
      </c>
      <c r="G11" s="217">
        <f>+C11+120</f>
        <v>41936</v>
      </c>
      <c r="H11" s="218">
        <v>375000</v>
      </c>
      <c r="I11" s="213">
        <v>41829</v>
      </c>
      <c r="J11" s="217">
        <v>41943</v>
      </c>
      <c r="K11" s="281">
        <f>137761.4+142607.52</f>
        <v>280368.92</v>
      </c>
      <c r="L11" s="279">
        <v>41969</v>
      </c>
      <c r="M11" s="272">
        <f t="shared" ref="M11:M16" si="1">E11-K11</f>
        <v>115</v>
      </c>
      <c r="N11" s="585"/>
      <c r="P11" s="586"/>
    </row>
    <row r="12" spans="1:16" s="59" customFormat="1">
      <c r="A12" s="415" t="s">
        <v>68</v>
      </c>
      <c r="B12" s="212" t="s">
        <v>246</v>
      </c>
      <c r="C12" s="213">
        <v>41817</v>
      </c>
      <c r="D12" s="214" t="s">
        <v>23</v>
      </c>
      <c r="E12" s="215">
        <v>4203</v>
      </c>
      <c r="F12" s="216">
        <f>+E12*1.6734</f>
        <v>7033.3001999999997</v>
      </c>
      <c r="G12" s="217">
        <f>+C12+120</f>
        <v>41937</v>
      </c>
      <c r="H12" s="218"/>
      <c r="I12" s="213"/>
      <c r="J12" s="217"/>
      <c r="K12" s="281">
        <v>4103</v>
      </c>
      <c r="L12" s="319"/>
      <c r="M12" s="272">
        <f t="shared" si="1"/>
        <v>100</v>
      </c>
      <c r="N12" s="585"/>
      <c r="P12" s="586"/>
    </row>
    <row r="13" spans="1:16">
      <c r="A13" s="416" t="s">
        <v>139</v>
      </c>
      <c r="B13" s="225" t="s">
        <v>248</v>
      </c>
      <c r="C13" s="226">
        <v>41822</v>
      </c>
      <c r="D13" s="227" t="s">
        <v>22</v>
      </c>
      <c r="E13" s="228">
        <v>45561.1</v>
      </c>
      <c r="F13" s="229">
        <f>+E13*2.2945</f>
        <v>104539.94395</v>
      </c>
      <c r="G13" s="230">
        <v>41920</v>
      </c>
      <c r="H13" s="231"/>
      <c r="I13" s="226"/>
      <c r="J13" s="230"/>
      <c r="K13" s="412">
        <v>45441.1</v>
      </c>
      <c r="L13" s="413"/>
      <c r="M13" s="272">
        <f t="shared" si="1"/>
        <v>120</v>
      </c>
      <c r="O13" s="59"/>
      <c r="P13" s="586"/>
    </row>
    <row r="14" spans="1:16" s="59" customFormat="1">
      <c r="A14" s="587" t="s">
        <v>68</v>
      </c>
      <c r="B14" s="588" t="s">
        <v>251</v>
      </c>
      <c r="C14" s="589">
        <v>41846</v>
      </c>
      <c r="D14" s="590" t="s">
        <v>23</v>
      </c>
      <c r="E14" s="591">
        <v>280637.76</v>
      </c>
      <c r="F14" s="592">
        <f>E14*1.71995</f>
        <v>482682.91531200003</v>
      </c>
      <c r="G14" s="593">
        <f>C14+120</f>
        <v>41966</v>
      </c>
      <c r="H14" s="594"/>
      <c r="I14" s="589"/>
      <c r="J14" s="593"/>
      <c r="K14" s="595">
        <f>137761.4+123014.48+19430</f>
        <v>280205.88</v>
      </c>
      <c r="L14" s="596"/>
      <c r="M14" s="597">
        <f t="shared" si="1"/>
        <v>431.88000000000466</v>
      </c>
      <c r="N14" s="585"/>
      <c r="P14" s="586"/>
    </row>
    <row r="15" spans="1:16">
      <c r="A15" s="416" t="s">
        <v>70</v>
      </c>
      <c r="B15" s="225" t="s">
        <v>262</v>
      </c>
      <c r="C15" s="226">
        <v>41890</v>
      </c>
      <c r="D15" s="227" t="s">
        <v>22</v>
      </c>
      <c r="E15" s="228">
        <v>339892.5</v>
      </c>
      <c r="F15" s="229">
        <f>+E15*2.27945</f>
        <v>774767.95912500005</v>
      </c>
      <c r="G15" s="230">
        <f>+C15+60</f>
        <v>41950</v>
      </c>
      <c r="H15" s="231"/>
      <c r="I15" s="226"/>
      <c r="J15" s="230"/>
      <c r="K15" s="412">
        <v>335852.48</v>
      </c>
      <c r="L15" s="413"/>
      <c r="M15" s="272">
        <f t="shared" si="1"/>
        <v>4040.0200000000186</v>
      </c>
      <c r="O15" s="59"/>
      <c r="P15" s="586"/>
    </row>
    <row r="16" spans="1:16" s="59" customFormat="1" ht="13.5" thickBot="1">
      <c r="A16" s="598" t="s">
        <v>68</v>
      </c>
      <c r="B16" s="599" t="s">
        <v>265</v>
      </c>
      <c r="C16" s="557">
        <v>41905</v>
      </c>
      <c r="D16" s="600" t="s">
        <v>23</v>
      </c>
      <c r="E16" s="601">
        <v>295410.59000000003</v>
      </c>
      <c r="F16" s="602">
        <f>E16*1.77235</f>
        <v>523570.95918650005</v>
      </c>
      <c r="G16" s="558">
        <f>C16+120</f>
        <v>42025</v>
      </c>
      <c r="H16" s="556">
        <v>410000</v>
      </c>
      <c r="I16" s="557">
        <v>41984</v>
      </c>
      <c r="J16" s="558">
        <v>42009</v>
      </c>
      <c r="K16" s="603">
        <f>272535+22143</f>
        <v>294678</v>
      </c>
      <c r="L16" s="604"/>
      <c r="M16" s="605">
        <f t="shared" si="1"/>
        <v>732.59000000002561</v>
      </c>
      <c r="N16" s="585"/>
      <c r="P16" s="586"/>
    </row>
    <row r="17" spans="1:17" s="59" customFormat="1">
      <c r="A17" s="639" t="s">
        <v>68</v>
      </c>
      <c r="B17" s="640" t="s">
        <v>432</v>
      </c>
      <c r="C17" s="641">
        <v>42026</v>
      </c>
      <c r="D17" s="642" t="s">
        <v>23</v>
      </c>
      <c r="E17" s="643">
        <v>70402.5</v>
      </c>
      <c r="F17" s="644">
        <f>E17*1.9432</f>
        <v>136806.13800000001</v>
      </c>
      <c r="G17" s="645">
        <f>C17+120</f>
        <v>42146</v>
      </c>
      <c r="H17" s="646">
        <v>110000</v>
      </c>
      <c r="I17" s="641">
        <v>42068</v>
      </c>
      <c r="J17" s="645">
        <v>42124</v>
      </c>
      <c r="K17" s="647">
        <v>70371.5</v>
      </c>
      <c r="L17" s="645">
        <v>42156</v>
      </c>
      <c r="M17" s="648">
        <f t="shared" ref="M17:M32" si="2">E17-K17</f>
        <v>31</v>
      </c>
      <c r="N17" s="585"/>
      <c r="O17" s="664"/>
      <c r="P17" s="666"/>
    </row>
    <row r="18" spans="1:17">
      <c r="A18" s="767" t="s">
        <v>70</v>
      </c>
      <c r="B18" s="696" t="s">
        <v>457</v>
      </c>
      <c r="C18" s="698">
        <v>42058</v>
      </c>
      <c r="D18" s="697" t="s">
        <v>22</v>
      </c>
      <c r="E18" s="699">
        <v>408582.46</v>
      </c>
      <c r="F18" s="768">
        <f>E18*2.18605</f>
        <v>893181.68668299995</v>
      </c>
      <c r="G18" s="700">
        <f>+C18+90</f>
        <v>42148</v>
      </c>
      <c r="H18" s="701"/>
      <c r="I18" s="698"/>
      <c r="J18" s="700"/>
      <c r="K18" s="703">
        <v>407619.1</v>
      </c>
      <c r="L18" s="702"/>
      <c r="M18" s="769">
        <f t="shared" si="2"/>
        <v>963.36000000004424</v>
      </c>
    </row>
    <row r="19" spans="1:17" s="59" customFormat="1">
      <c r="A19" s="587" t="s">
        <v>68</v>
      </c>
      <c r="B19" s="588" t="s">
        <v>458</v>
      </c>
      <c r="C19" s="589">
        <v>42066</v>
      </c>
      <c r="D19" s="590" t="s">
        <v>23</v>
      </c>
      <c r="E19" s="591">
        <v>55000</v>
      </c>
      <c r="F19" s="592">
        <f>E19*1.9238</f>
        <v>105809</v>
      </c>
      <c r="G19" s="593">
        <v>42179</v>
      </c>
      <c r="H19" s="594">
        <v>85000</v>
      </c>
      <c r="I19" s="589">
        <v>42108</v>
      </c>
      <c r="J19" s="593">
        <v>42186</v>
      </c>
      <c r="K19" s="595">
        <f>23369+31565</f>
        <v>54934</v>
      </c>
      <c r="L19" s="593">
        <v>42200</v>
      </c>
      <c r="M19" s="695">
        <f t="shared" si="2"/>
        <v>66</v>
      </c>
      <c r="N19" s="585"/>
      <c r="O19" s="625"/>
      <c r="Q19" s="666"/>
    </row>
    <row r="20" spans="1:17" s="59" customFormat="1">
      <c r="A20" s="587" t="s">
        <v>68</v>
      </c>
      <c r="B20" s="588" t="s">
        <v>459</v>
      </c>
      <c r="C20" s="589">
        <v>42066</v>
      </c>
      <c r="D20" s="590" t="s">
        <v>23</v>
      </c>
      <c r="E20" s="591">
        <v>138777</v>
      </c>
      <c r="F20" s="592">
        <f>E20*1.9238</f>
        <v>266979.19260000001</v>
      </c>
      <c r="G20" s="593">
        <v>42179</v>
      </c>
      <c r="H20" s="594">
        <v>215000</v>
      </c>
      <c r="I20" s="589">
        <v>42108</v>
      </c>
      <c r="J20" s="593">
        <v>42186</v>
      </c>
      <c r="K20" s="595">
        <v>138742</v>
      </c>
      <c r="L20" s="593">
        <v>42187</v>
      </c>
      <c r="M20" s="695">
        <f t="shared" si="2"/>
        <v>35</v>
      </c>
      <c r="N20" s="585"/>
      <c r="O20" s="666"/>
    </row>
    <row r="21" spans="1:17" s="59" customFormat="1">
      <c r="A21" s="587" t="s">
        <v>68</v>
      </c>
      <c r="B21" s="588" t="s">
        <v>460</v>
      </c>
      <c r="C21" s="589">
        <v>42083</v>
      </c>
      <c r="D21" s="590" t="s">
        <v>23</v>
      </c>
      <c r="E21" s="591">
        <v>189389</v>
      </c>
      <c r="F21" s="592">
        <f>E21*1.9238</f>
        <v>364346.55819999997</v>
      </c>
      <c r="G21" s="593">
        <v>42198</v>
      </c>
      <c r="H21" s="594">
        <v>295000</v>
      </c>
      <c r="I21" s="589">
        <v>42108</v>
      </c>
      <c r="J21" s="593">
        <v>42205</v>
      </c>
      <c r="K21" s="595">
        <f>67698.25+121624</f>
        <v>189322.25</v>
      </c>
      <c r="L21" s="593">
        <v>42187</v>
      </c>
      <c r="M21" s="695">
        <f t="shared" si="2"/>
        <v>66.75</v>
      </c>
      <c r="N21" s="585"/>
      <c r="O21" s="664"/>
    </row>
    <row r="22" spans="1:17" s="59" customFormat="1">
      <c r="A22" s="587" t="s">
        <v>139</v>
      </c>
      <c r="B22" s="588" t="s">
        <v>514</v>
      </c>
      <c r="C22" s="589">
        <v>42131</v>
      </c>
      <c r="D22" s="590" t="s">
        <v>23</v>
      </c>
      <c r="E22" s="591">
        <v>61210</v>
      </c>
      <c r="F22" s="592">
        <f>E22*1.9474</f>
        <v>119200.35400000001</v>
      </c>
      <c r="G22" s="593">
        <v>42241</v>
      </c>
      <c r="H22" s="594"/>
      <c r="I22" s="589"/>
      <c r="J22" s="593"/>
      <c r="K22" s="595">
        <v>61110</v>
      </c>
      <c r="L22" s="593">
        <v>42264</v>
      </c>
      <c r="M22" s="695">
        <f t="shared" si="2"/>
        <v>100</v>
      </c>
      <c r="N22" s="585"/>
      <c r="O22" s="664"/>
      <c r="P22" s="665"/>
      <c r="Q22" s="665"/>
    </row>
    <row r="23" spans="1:17" s="59" customFormat="1">
      <c r="A23" s="415" t="s">
        <v>68</v>
      </c>
      <c r="B23" s="212" t="s">
        <v>519</v>
      </c>
      <c r="C23" s="213">
        <v>42167</v>
      </c>
      <c r="D23" s="214" t="s">
        <v>23</v>
      </c>
      <c r="E23" s="215">
        <v>34914.69</v>
      </c>
      <c r="F23" s="216">
        <f>E23*1.9339</f>
        <v>67521.518991000004</v>
      </c>
      <c r="G23" s="217">
        <v>42289</v>
      </c>
      <c r="H23" s="218">
        <v>55000</v>
      </c>
      <c r="I23" s="213">
        <v>42200</v>
      </c>
      <c r="J23" s="217">
        <v>42294</v>
      </c>
      <c r="K23" s="574">
        <v>34883.69</v>
      </c>
      <c r="L23" s="938"/>
      <c r="M23" s="575">
        <f t="shared" si="2"/>
        <v>31</v>
      </c>
      <c r="N23" s="585"/>
      <c r="O23" s="664"/>
      <c r="Q23" s="665"/>
    </row>
    <row r="24" spans="1:17" s="59" customFormat="1">
      <c r="A24" s="415" t="s">
        <v>68</v>
      </c>
      <c r="B24" s="212" t="s">
        <v>520</v>
      </c>
      <c r="C24" s="213">
        <v>42164</v>
      </c>
      <c r="D24" s="214" t="s">
        <v>23</v>
      </c>
      <c r="E24" s="215">
        <v>94313.02</v>
      </c>
      <c r="F24" s="216">
        <f>E24*1.92495</f>
        <v>181547.84784900001</v>
      </c>
      <c r="G24" s="217">
        <v>42289</v>
      </c>
      <c r="H24" s="218">
        <v>145000</v>
      </c>
      <c r="I24" s="213">
        <v>42200</v>
      </c>
      <c r="J24" s="217">
        <v>42301</v>
      </c>
      <c r="K24" s="574">
        <v>4863</v>
      </c>
      <c r="L24" s="938"/>
      <c r="M24" s="575">
        <f t="shared" si="2"/>
        <v>89450.02</v>
      </c>
      <c r="N24" s="585"/>
      <c r="O24" s="664"/>
    </row>
    <row r="25" spans="1:17" s="59" customFormat="1">
      <c r="A25" s="587" t="s">
        <v>139</v>
      </c>
      <c r="B25" s="588" t="s">
        <v>618</v>
      </c>
      <c r="C25" s="589">
        <v>42208</v>
      </c>
      <c r="D25" s="590" t="s">
        <v>23</v>
      </c>
      <c r="E25" s="591">
        <v>60164</v>
      </c>
      <c r="F25" s="592">
        <f>E25*1.96285</f>
        <v>118092.9074</v>
      </c>
      <c r="G25" s="593">
        <v>42282</v>
      </c>
      <c r="H25" s="594"/>
      <c r="I25" s="589"/>
      <c r="J25" s="593"/>
      <c r="K25" s="595">
        <v>60064</v>
      </c>
      <c r="L25" s="596"/>
      <c r="M25" s="695">
        <f t="shared" si="2"/>
        <v>100</v>
      </c>
      <c r="N25" s="585"/>
    </row>
    <row r="26" spans="1:17" s="59" customFormat="1">
      <c r="A26" s="373" t="s">
        <v>263</v>
      </c>
      <c r="B26" s="292" t="s">
        <v>653</v>
      </c>
      <c r="C26" s="294">
        <v>42235</v>
      </c>
      <c r="D26" s="293" t="s">
        <v>23</v>
      </c>
      <c r="E26" s="295">
        <v>65240.4</v>
      </c>
      <c r="F26" s="296">
        <f>+E26*1.9509</f>
        <v>127277.49636</v>
      </c>
      <c r="G26" s="316">
        <f>+C26+60</f>
        <v>42295</v>
      </c>
      <c r="H26" s="320"/>
      <c r="I26" s="294"/>
      <c r="J26" s="316"/>
      <c r="K26" s="315"/>
      <c r="L26" s="410"/>
      <c r="M26" s="494">
        <f t="shared" si="2"/>
        <v>65240.4</v>
      </c>
      <c r="N26" s="585"/>
    </row>
    <row r="27" spans="1:17" s="59" customFormat="1">
      <c r="A27" s="373" t="s">
        <v>68</v>
      </c>
      <c r="B27" s="292" t="s">
        <v>767</v>
      </c>
      <c r="C27" s="294">
        <v>42241</v>
      </c>
      <c r="D27" s="293" t="s">
        <v>23</v>
      </c>
      <c r="E27" s="295">
        <v>69618.960000000006</v>
      </c>
      <c r="F27" s="296">
        <f>+E27*1.9411</f>
        <v>135137.36325600001</v>
      </c>
      <c r="G27" s="316">
        <v>42371</v>
      </c>
      <c r="H27" s="320"/>
      <c r="I27" s="294"/>
      <c r="J27" s="316"/>
      <c r="K27" s="315">
        <v>60289.4</v>
      </c>
      <c r="L27" s="410"/>
      <c r="M27" s="494">
        <f t="shared" si="2"/>
        <v>9329.5600000000049</v>
      </c>
      <c r="N27" s="585"/>
    </row>
    <row r="28" spans="1:17" s="59" customFormat="1">
      <c r="A28" s="373" t="s">
        <v>68</v>
      </c>
      <c r="B28" s="292" t="s">
        <v>768</v>
      </c>
      <c r="C28" s="294">
        <v>42241</v>
      </c>
      <c r="D28" s="293" t="s">
        <v>23</v>
      </c>
      <c r="E28" s="295">
        <v>192402.54</v>
      </c>
      <c r="F28" s="296">
        <f>+E28*1.9411</f>
        <v>373472.57039400004</v>
      </c>
      <c r="G28" s="316">
        <v>42371</v>
      </c>
      <c r="H28" s="320"/>
      <c r="I28" s="294"/>
      <c r="J28" s="316"/>
      <c r="K28" s="315">
        <v>69726.960000000006</v>
      </c>
      <c r="L28" s="410"/>
      <c r="M28" s="494">
        <f t="shared" si="2"/>
        <v>122675.58</v>
      </c>
      <c r="N28" s="585"/>
    </row>
    <row r="29" spans="1:17" s="59" customFormat="1">
      <c r="A29" s="373" t="s">
        <v>68</v>
      </c>
      <c r="B29" s="292" t="s">
        <v>831</v>
      </c>
      <c r="C29" s="294">
        <v>42268</v>
      </c>
      <c r="D29" s="293" t="s">
        <v>23</v>
      </c>
      <c r="E29" s="295">
        <v>58910.559999999998</v>
      </c>
      <c r="F29" s="296">
        <f>+E29*1.9447</f>
        <v>114563.36603200001</v>
      </c>
      <c r="G29" s="316">
        <v>42400</v>
      </c>
      <c r="H29" s="320"/>
      <c r="I29" s="294"/>
      <c r="J29" s="316"/>
      <c r="K29" s="315">
        <v>7731.42</v>
      </c>
      <c r="L29" s="410"/>
      <c r="M29" s="494">
        <f t="shared" si="2"/>
        <v>51179.14</v>
      </c>
      <c r="N29" s="585"/>
    </row>
    <row r="30" spans="1:17">
      <c r="A30" s="802" t="s">
        <v>263</v>
      </c>
      <c r="B30" s="60" t="s">
        <v>1112</v>
      </c>
      <c r="C30" s="61">
        <v>42320</v>
      </c>
      <c r="D30" s="62" t="s">
        <v>22</v>
      </c>
      <c r="E30" s="63">
        <v>52789.93</v>
      </c>
      <c r="F30" s="803">
        <f>+E30*2.16865</f>
        <v>114482.8816945</v>
      </c>
      <c r="G30" s="318">
        <f>+C30+60</f>
        <v>42380</v>
      </c>
      <c r="H30" s="321"/>
      <c r="I30" s="61"/>
      <c r="J30" s="318"/>
      <c r="K30" s="317"/>
      <c r="L30" s="804"/>
      <c r="M30" s="221">
        <f t="shared" si="2"/>
        <v>52789.93</v>
      </c>
    </row>
    <row r="31" spans="1:17" s="59" customFormat="1">
      <c r="A31" s="373" t="s">
        <v>68</v>
      </c>
      <c r="B31" s="292" t="s">
        <v>1129</v>
      </c>
      <c r="C31" s="294">
        <v>42338</v>
      </c>
      <c r="D31" s="293" t="s">
        <v>23</v>
      </c>
      <c r="E31" s="295">
        <v>185713.44</v>
      </c>
      <c r="F31" s="296">
        <f>+E31*2.0433</f>
        <v>379468.27195199998</v>
      </c>
      <c r="G31" s="316">
        <v>42458</v>
      </c>
      <c r="H31" s="320">
        <v>305000</v>
      </c>
      <c r="I31" s="294"/>
      <c r="J31" s="316">
        <f>+C31+90</f>
        <v>42428</v>
      </c>
      <c r="K31" s="315"/>
      <c r="L31" s="410"/>
      <c r="M31" s="494">
        <f t="shared" si="2"/>
        <v>185713.44</v>
      </c>
      <c r="N31" s="585"/>
      <c r="O31" s="664"/>
    </row>
    <row r="32" spans="1:17" s="59" customFormat="1" ht="13.5" thickBot="1">
      <c r="A32" s="314" t="s">
        <v>263</v>
      </c>
      <c r="B32" s="64" t="s">
        <v>1136</v>
      </c>
      <c r="C32" s="65">
        <v>42353</v>
      </c>
      <c r="D32" s="66" t="s">
        <v>23</v>
      </c>
      <c r="E32" s="67">
        <v>14741.5</v>
      </c>
      <c r="F32" s="68">
        <f>E32*2.00595</f>
        <v>29570.711925</v>
      </c>
      <c r="G32" s="69">
        <f>C32+60</f>
        <v>42413</v>
      </c>
      <c r="H32" s="70"/>
      <c r="I32" s="65"/>
      <c r="J32" s="69"/>
      <c r="K32" s="312"/>
      <c r="L32" s="386"/>
      <c r="M32" s="313">
        <f t="shared" si="2"/>
        <v>14741.5</v>
      </c>
      <c r="N32" s="585"/>
    </row>
    <row r="33" spans="1:16" ht="13.5" thickBot="1"/>
    <row r="34" spans="1:16" ht="13.5" thickBot="1">
      <c r="A34" s="1020" t="s">
        <v>419</v>
      </c>
      <c r="B34" s="1021"/>
      <c r="C34" s="1021"/>
      <c r="D34" s="1021"/>
      <c r="E34" s="1022"/>
      <c r="F34" s="71"/>
      <c r="G34" s="1023" t="s">
        <v>71</v>
      </c>
      <c r="H34" s="1024"/>
      <c r="J34" s="72"/>
    </row>
    <row r="35" spans="1:16">
      <c r="A35" s="1025" t="s">
        <v>72</v>
      </c>
      <c r="B35" s="1026"/>
      <c r="C35" s="1026"/>
      <c r="D35" s="1026"/>
      <c r="E35" s="73">
        <f>+E17+E19+E20+E21+E22+E23+E24+E25+E26+E27+E28+E29+E31</f>
        <v>1276056.1099999999</v>
      </c>
      <c r="F35" s="73">
        <f>+F17+F19+F20+F21+F22+F23+F24+F25+F26+F27+F28+F29+F31</f>
        <v>2490222.5850339998</v>
      </c>
      <c r="G35" s="559">
        <f>M24+M25+M26+M27+M28+M29+M31</f>
        <v>523688.14</v>
      </c>
      <c r="H35" s="759">
        <f>+M24*1.92495+F25+F26+M27*1.9411+M28*1.9411+F29+F31</f>
        <v>1167824.0349969999</v>
      </c>
      <c r="J35" s="72"/>
      <c r="L35" s="38"/>
      <c r="O35" s="38"/>
      <c r="P35" s="38"/>
    </row>
    <row r="36" spans="1:16" ht="13.5" thickBot="1">
      <c r="A36" s="1018" t="s">
        <v>73</v>
      </c>
      <c r="B36" s="1019"/>
      <c r="C36" s="1019"/>
      <c r="D36" s="1019"/>
      <c r="E36" s="75">
        <f>+E18+E30</f>
        <v>461372.39</v>
      </c>
      <c r="F36" s="75">
        <f>+F18+F30</f>
        <v>1007664.5683774999</v>
      </c>
      <c r="G36" s="560">
        <f>M30</f>
        <v>52789.93</v>
      </c>
      <c r="H36" s="232">
        <f>+F30</f>
        <v>114482.8816945</v>
      </c>
      <c r="J36" s="72"/>
      <c r="L36" s="38"/>
      <c r="O36" s="38"/>
    </row>
    <row r="37" spans="1:16" ht="13.5" thickBot="1">
      <c r="A37" s="77"/>
      <c r="B37" s="77"/>
      <c r="C37" s="77"/>
      <c r="D37" s="77"/>
      <c r="E37" s="78"/>
      <c r="F37" s="79">
        <f>SUM(F35:F36)</f>
        <v>3497887.1534114997</v>
      </c>
      <c r="G37" s="80"/>
      <c r="H37" s="79">
        <f>SUM(H35:H36)</f>
        <v>1282306.9166915</v>
      </c>
      <c r="L37" s="39"/>
      <c r="O37" s="39"/>
      <c r="P37" s="38"/>
    </row>
    <row r="38" spans="1:16" ht="13.5" thickBot="1">
      <c r="O38" s="39"/>
      <c r="P38" s="667"/>
    </row>
    <row r="39" spans="1:16" ht="13.5" thickBot="1">
      <c r="A39" s="1020" t="s">
        <v>182</v>
      </c>
      <c r="B39" s="1021"/>
      <c r="C39" s="1021"/>
      <c r="D39" s="1021"/>
      <c r="E39" s="1022"/>
      <c r="F39" s="71"/>
      <c r="G39" s="1023" t="s">
        <v>71</v>
      </c>
      <c r="H39" s="1024"/>
      <c r="L39" s="39"/>
    </row>
    <row r="40" spans="1:16">
      <c r="A40" s="1025" t="s">
        <v>72</v>
      </c>
      <c r="B40" s="1026"/>
      <c r="C40" s="1026"/>
      <c r="D40" s="1026"/>
      <c r="E40" s="73">
        <v>1160691.02</v>
      </c>
      <c r="F40" s="73">
        <v>1966624.4886515001</v>
      </c>
      <c r="G40" s="559">
        <v>0</v>
      </c>
      <c r="H40" s="759">
        <v>0</v>
      </c>
      <c r="L40" s="38"/>
    </row>
    <row r="41" spans="1:16" ht="13.5" thickBot="1">
      <c r="A41" s="1018" t="s">
        <v>73</v>
      </c>
      <c r="B41" s="1019"/>
      <c r="C41" s="1019"/>
      <c r="D41" s="1019"/>
      <c r="E41" s="75">
        <v>476030</v>
      </c>
      <c r="F41" s="75">
        <v>1079150.35721</v>
      </c>
      <c r="G41" s="560">
        <v>0</v>
      </c>
      <c r="H41" s="232">
        <v>0</v>
      </c>
      <c r="L41" s="38"/>
    </row>
    <row r="42" spans="1:16" ht="13.5" thickBot="1">
      <c r="K42" s="39"/>
    </row>
    <row r="43" spans="1:16" ht="13.5" thickBot="1">
      <c r="A43" s="1020" t="s">
        <v>119</v>
      </c>
      <c r="B43" s="1021"/>
      <c r="C43" s="1021"/>
      <c r="D43" s="1021"/>
      <c r="E43" s="1022"/>
      <c r="F43" s="71"/>
      <c r="G43" s="1023" t="s">
        <v>71</v>
      </c>
      <c r="H43" s="1024"/>
      <c r="K43" s="39"/>
      <c r="L43" s="266"/>
    </row>
    <row r="44" spans="1:16">
      <c r="A44" s="1025" t="s">
        <v>72</v>
      </c>
      <c r="B44" s="1026"/>
      <c r="C44" s="1026"/>
      <c r="D44" s="1026"/>
      <c r="E44" s="73">
        <f>E4+E5+E6</f>
        <v>770118.18</v>
      </c>
      <c r="F44" s="73">
        <f>F4+F5+F6</f>
        <v>1268742.7408755003</v>
      </c>
      <c r="G44" s="559">
        <v>0</v>
      </c>
      <c r="H44" s="73">
        <v>0</v>
      </c>
      <c r="J44" s="39"/>
      <c r="K44" s="39"/>
    </row>
    <row r="45" spans="1:16" ht="13.5" thickBot="1">
      <c r="A45" s="1018" t="s">
        <v>73</v>
      </c>
      <c r="B45" s="1019"/>
      <c r="C45" s="1019"/>
      <c r="D45" s="1019"/>
      <c r="E45" s="75">
        <v>234225.88</v>
      </c>
      <c r="F45" s="75">
        <v>508545.74099999998</v>
      </c>
      <c r="G45" s="560">
        <v>0</v>
      </c>
      <c r="H45" s="75">
        <v>0</v>
      </c>
      <c r="J45" s="39"/>
    </row>
    <row r="46" spans="1:16" ht="13.5" thickBot="1">
      <c r="A46" s="77"/>
      <c r="B46" s="77"/>
      <c r="C46" s="77"/>
      <c r="D46" s="77"/>
      <c r="E46" s="78"/>
      <c r="F46" s="79">
        <f>SUM(F44:F45)</f>
        <v>1777288.4818755002</v>
      </c>
      <c r="G46" s="80"/>
      <c r="H46" s="79">
        <f>SUM(H44:H45)</f>
        <v>0</v>
      </c>
    </row>
    <row r="47" spans="1:16">
      <c r="D47" s="37" t="s">
        <v>29</v>
      </c>
    </row>
    <row r="48" spans="1:16">
      <c r="I48" s="37" t="s">
        <v>29</v>
      </c>
    </row>
    <row r="49" spans="1:8">
      <c r="A49" s="37" t="s">
        <v>29</v>
      </c>
    </row>
    <row r="50" spans="1:8">
      <c r="G50" s="72">
        <v>42366</v>
      </c>
    </row>
    <row r="51" spans="1:8">
      <c r="G51" s="72"/>
    </row>
    <row r="52" spans="1:8">
      <c r="G52" s="266"/>
    </row>
    <row r="53" spans="1:8">
      <c r="C53" s="72"/>
      <c r="G53" s="72">
        <v>42400</v>
      </c>
    </row>
    <row r="55" spans="1:8">
      <c r="H55" s="437"/>
    </row>
    <row r="56" spans="1:8">
      <c r="G56" s="72">
        <v>42394</v>
      </c>
    </row>
    <row r="64" spans="1:8">
      <c r="G64" s="72">
        <v>42431</v>
      </c>
    </row>
    <row r="65" spans="5:8">
      <c r="G65" s="72">
        <v>42431</v>
      </c>
    </row>
    <row r="72" spans="5:8">
      <c r="E72" s="38">
        <f>E25+E26+E28+E30+E32+E33+E37+E38+E41+E43+E44+E48+E50+E51+E53+E55+E56+E57+E58+E62+E64+E65</f>
        <v>1631486.55</v>
      </c>
      <c r="F72" s="39">
        <f>F25+F26+F28+F30+F32+F33+F37+F38+F41+F43+F44+F48+F50+F51+F53+F55+F56+F57+F58+F62+F64+F65</f>
        <v>6608676.8192705</v>
      </c>
      <c r="G72" s="37">
        <f>+M38+M43+M44+M48+M50+M51+M53+M55+M56+M57++M58+M62+M64+M65</f>
        <v>0</v>
      </c>
      <c r="H72" s="39">
        <f>+M38*1.93475+F43+F44+F48+F50+F51+F53+F55+F56+F57+F58+F62+F64+F65</f>
        <v>1268742.7408755003</v>
      </c>
    </row>
  </sheetData>
  <mergeCells count="17">
    <mergeCell ref="G34:H34"/>
    <mergeCell ref="A35:D35"/>
    <mergeCell ref="A36:D36"/>
    <mergeCell ref="K2:L2"/>
    <mergeCell ref="M2:M3"/>
    <mergeCell ref="A45:D45"/>
    <mergeCell ref="A43:E43"/>
    <mergeCell ref="G43:H43"/>
    <mergeCell ref="A44:D44"/>
    <mergeCell ref="A2:A3"/>
    <mergeCell ref="B2:G2"/>
    <mergeCell ref="H2:J2"/>
    <mergeCell ref="A39:E39"/>
    <mergeCell ref="G39:H39"/>
    <mergeCell ref="A40:D40"/>
    <mergeCell ref="A41:D41"/>
    <mergeCell ref="A34:E34"/>
  </mergeCells>
  <pageMargins left="0.70866141732283472" right="0.70866141732283472" top="0.74803149606299213" bottom="0.74803149606299213" header="0.31496062992125984" footer="0.31496062992125984"/>
  <pageSetup paperSize="9" scale="84" orientation="landscape" horizontalDpi="180" verticalDpi="180" r:id="rId1"/>
  <ignoredErrors>
    <ignoredError sqref="G6 G15 G30" formula="1"/>
  </ignoredErrors>
</worksheet>
</file>

<file path=xl/worksheets/sheet7.xml><?xml version="1.0" encoding="utf-8"?>
<worksheet xmlns="http://schemas.openxmlformats.org/spreadsheetml/2006/main" xmlns:r="http://schemas.openxmlformats.org/officeDocument/2006/relationships">
  <sheetPr codeName="Feuil9" filterMode="1">
    <pageSetUpPr fitToPage="1"/>
  </sheetPr>
  <dimension ref="A1:L111"/>
  <sheetViews>
    <sheetView zoomScale="85" zoomScaleNormal="85" workbookViewId="0">
      <pane ySplit="4" topLeftCell="A5" activePane="bottomLeft" state="frozen"/>
      <selection activeCell="P28" sqref="P28"/>
      <selection pane="bottomLeft" activeCell="I151" sqref="I151"/>
    </sheetView>
  </sheetViews>
  <sheetFormatPr baseColWidth="10" defaultColWidth="11.42578125" defaultRowHeight="12.75"/>
  <cols>
    <col min="1" max="1" width="11" style="122" customWidth="1"/>
    <col min="2" max="2" width="34.28515625" style="122" bestFit="1" customWidth="1"/>
    <col min="3" max="3" width="29.5703125" style="122" bestFit="1" customWidth="1"/>
    <col min="4" max="4" width="14.42578125" style="195" bestFit="1" customWidth="1"/>
    <col min="5" max="5" width="16.5703125" style="195" bestFit="1" customWidth="1"/>
    <col min="6" max="6" width="15.140625" style="122" bestFit="1" customWidth="1"/>
    <col min="7" max="7" width="2.140625" style="155" bestFit="1" customWidth="1"/>
    <col min="8" max="8" width="2.140625" style="123" bestFit="1" customWidth="1"/>
    <col min="9" max="9" width="11.28515625" style="122" bestFit="1" customWidth="1"/>
    <col min="10" max="10" width="9.42578125" style="122" bestFit="1" customWidth="1"/>
    <col min="11" max="11" width="15.28515625" style="122" bestFit="1" customWidth="1"/>
    <col min="12" max="12" width="13.28515625" style="196" bestFit="1" customWidth="1"/>
    <col min="13" max="16384" width="11.42578125" style="122"/>
  </cols>
  <sheetData>
    <row r="1" spans="1:12" ht="13.5" thickBot="1">
      <c r="A1" s="88"/>
      <c r="B1" s="88"/>
      <c r="C1" s="88"/>
      <c r="D1" s="97"/>
      <c r="E1" s="97"/>
      <c r="F1" s="108"/>
      <c r="G1" s="150"/>
      <c r="H1" s="88"/>
      <c r="I1" s="6"/>
      <c r="J1" s="89"/>
      <c r="K1" s="111"/>
      <c r="L1" s="89"/>
    </row>
    <row r="2" spans="1:12" ht="13.5" thickBot="1">
      <c r="A2" s="88"/>
      <c r="B2" s="112" t="s">
        <v>106</v>
      </c>
      <c r="C2" s="88"/>
      <c r="D2" s="97"/>
      <c r="E2" s="97"/>
      <c r="F2" s="108"/>
      <c r="G2" s="114"/>
      <c r="H2" s="88"/>
      <c r="I2" s="6"/>
      <c r="J2" s="89"/>
      <c r="K2" s="111"/>
      <c r="L2" s="89"/>
    </row>
    <row r="3" spans="1:12">
      <c r="A3" s="121"/>
      <c r="B3" s="121"/>
      <c r="C3" s="121"/>
      <c r="D3" s="193"/>
      <c r="E3" s="193"/>
      <c r="F3" s="121"/>
      <c r="G3" s="194"/>
      <c r="H3" s="121"/>
      <c r="I3" s="121"/>
      <c r="J3" s="121"/>
      <c r="K3" s="121"/>
      <c r="L3" s="125"/>
    </row>
    <row r="4" spans="1:12">
      <c r="A4" s="182" t="s">
        <v>0</v>
      </c>
      <c r="B4" s="182" t="s">
        <v>1</v>
      </c>
      <c r="C4" s="183" t="s">
        <v>2</v>
      </c>
      <c r="D4" s="182" t="s">
        <v>123</v>
      </c>
      <c r="E4" s="184" t="s">
        <v>124</v>
      </c>
      <c r="F4" s="185" t="s">
        <v>125</v>
      </c>
      <c r="G4" s="1035" t="s">
        <v>126</v>
      </c>
      <c r="H4" s="1036"/>
      <c r="I4" s="186" t="s">
        <v>3</v>
      </c>
      <c r="J4" s="183" t="s">
        <v>4</v>
      </c>
      <c r="K4" s="184" t="s">
        <v>5</v>
      </c>
      <c r="L4" s="183" t="s">
        <v>6</v>
      </c>
    </row>
    <row r="5" spans="1:12" hidden="1">
      <c r="A5" s="116" t="s">
        <v>7</v>
      </c>
      <c r="B5" s="192" t="s">
        <v>446</v>
      </c>
      <c r="C5" s="116" t="s">
        <v>505</v>
      </c>
      <c r="D5" s="117">
        <v>42130</v>
      </c>
      <c r="E5" s="117">
        <v>42130</v>
      </c>
      <c r="F5" s="495">
        <f t="shared" ref="F5:F36" si="0">SUM(I5*G5)</f>
        <v>100595.5</v>
      </c>
      <c r="G5" s="90">
        <v>1</v>
      </c>
      <c r="H5" s="152">
        <f t="shared" ref="H5:H36" si="1">IF(E5="",1,0)</f>
        <v>0</v>
      </c>
      <c r="I5" s="361">
        <v>100595.5</v>
      </c>
      <c r="J5" s="116" t="s">
        <v>8</v>
      </c>
      <c r="K5" s="117">
        <v>42130</v>
      </c>
      <c r="L5" s="119" t="s">
        <v>506</v>
      </c>
    </row>
    <row r="6" spans="1:12" hidden="1">
      <c r="A6" s="116" t="s">
        <v>7</v>
      </c>
      <c r="B6" s="192" t="s">
        <v>446</v>
      </c>
      <c r="C6" s="116" t="s">
        <v>507</v>
      </c>
      <c r="D6" s="117">
        <v>42130</v>
      </c>
      <c r="E6" s="117">
        <v>42130</v>
      </c>
      <c r="F6" s="495">
        <f t="shared" si="0"/>
        <v>102205.02</v>
      </c>
      <c r="G6" s="90">
        <v>1</v>
      </c>
      <c r="H6" s="152">
        <f t="shared" si="1"/>
        <v>0</v>
      </c>
      <c r="I6" s="361">
        <v>102205.02</v>
      </c>
      <c r="J6" s="116" t="s">
        <v>8</v>
      </c>
      <c r="K6" s="117">
        <v>42130</v>
      </c>
      <c r="L6" s="119" t="s">
        <v>508</v>
      </c>
    </row>
    <row r="7" spans="1:12" hidden="1">
      <c r="A7" s="116" t="s">
        <v>7</v>
      </c>
      <c r="B7" s="192" t="s">
        <v>446</v>
      </c>
      <c r="C7" s="116" t="s">
        <v>127</v>
      </c>
      <c r="D7" s="117">
        <v>42130</v>
      </c>
      <c r="E7" s="117">
        <v>42130</v>
      </c>
      <c r="F7" s="495">
        <f t="shared" si="0"/>
        <v>130591.1</v>
      </c>
      <c r="G7" s="90">
        <v>1</v>
      </c>
      <c r="H7" s="152">
        <f t="shared" si="1"/>
        <v>0</v>
      </c>
      <c r="I7" s="361">
        <v>130591.1</v>
      </c>
      <c r="J7" s="116" t="s">
        <v>8</v>
      </c>
      <c r="K7" s="117">
        <v>42130</v>
      </c>
      <c r="L7" s="119" t="s">
        <v>509</v>
      </c>
    </row>
    <row r="8" spans="1:12" hidden="1">
      <c r="A8" s="116" t="s">
        <v>11</v>
      </c>
      <c r="B8" s="372" t="s">
        <v>183</v>
      </c>
      <c r="C8" s="116" t="s">
        <v>184</v>
      </c>
      <c r="D8" s="117">
        <v>41639</v>
      </c>
      <c r="E8" s="117">
        <v>41639</v>
      </c>
      <c r="F8" s="495">
        <f t="shared" si="0"/>
        <v>200000</v>
      </c>
      <c r="G8" s="90">
        <v>1</v>
      </c>
      <c r="H8" s="152">
        <f t="shared" si="1"/>
        <v>0</v>
      </c>
      <c r="I8" s="118">
        <v>200000</v>
      </c>
      <c r="J8" s="116" t="s">
        <v>8</v>
      </c>
      <c r="K8" s="117">
        <v>42185</v>
      </c>
      <c r="L8" s="119" t="s">
        <v>185</v>
      </c>
    </row>
    <row r="9" spans="1:12">
      <c r="A9" s="116" t="s">
        <v>11</v>
      </c>
      <c r="B9" s="192" t="s">
        <v>250</v>
      </c>
      <c r="C9" s="116" t="s">
        <v>498</v>
      </c>
      <c r="D9" s="117">
        <v>42114</v>
      </c>
      <c r="E9" s="117"/>
      <c r="F9" s="495">
        <f t="shared" si="0"/>
        <v>714.99400000000003</v>
      </c>
      <c r="G9" s="90">
        <v>1</v>
      </c>
      <c r="H9" s="152">
        <f t="shared" si="1"/>
        <v>1</v>
      </c>
      <c r="I9" s="361">
        <v>714.99400000000003</v>
      </c>
      <c r="J9" s="116" t="s">
        <v>8</v>
      </c>
      <c r="K9" s="117">
        <v>42185</v>
      </c>
      <c r="L9" s="119" t="s">
        <v>499</v>
      </c>
    </row>
    <row r="10" spans="1:12" hidden="1">
      <c r="A10" s="116" t="s">
        <v>7</v>
      </c>
      <c r="B10" s="192" t="s">
        <v>578</v>
      </c>
      <c r="C10" s="116" t="s">
        <v>579</v>
      </c>
      <c r="D10" s="117">
        <v>42187</v>
      </c>
      <c r="E10" s="117"/>
      <c r="F10" s="495">
        <f t="shared" si="0"/>
        <v>118.5</v>
      </c>
      <c r="G10" s="90">
        <v>1</v>
      </c>
      <c r="H10" s="152">
        <f t="shared" si="1"/>
        <v>1</v>
      </c>
      <c r="I10" s="361">
        <v>118.5</v>
      </c>
      <c r="J10" s="116" t="s">
        <v>236</v>
      </c>
      <c r="K10" s="117">
        <v>42193</v>
      </c>
      <c r="L10" s="119" t="s">
        <v>580</v>
      </c>
    </row>
    <row r="11" spans="1:12">
      <c r="A11" s="116" t="s">
        <v>7</v>
      </c>
      <c r="B11" s="192" t="s">
        <v>250</v>
      </c>
      <c r="C11" s="116" t="s">
        <v>584</v>
      </c>
      <c r="D11" s="117">
        <v>42187</v>
      </c>
      <c r="E11" s="117"/>
      <c r="F11" s="495">
        <f t="shared" si="0"/>
        <v>45.734999999999999</v>
      </c>
      <c r="G11" s="90">
        <v>1</v>
      </c>
      <c r="H11" s="152">
        <f t="shared" si="1"/>
        <v>1</v>
      </c>
      <c r="I11" s="361">
        <v>45.734999999999999</v>
      </c>
      <c r="J11" s="116" t="s">
        <v>236</v>
      </c>
      <c r="K11" s="117">
        <v>42193</v>
      </c>
      <c r="L11" s="119" t="s">
        <v>585</v>
      </c>
    </row>
    <row r="12" spans="1:12" hidden="1">
      <c r="A12" s="116" t="s">
        <v>7</v>
      </c>
      <c r="B12" s="192" t="s">
        <v>269</v>
      </c>
      <c r="C12" s="116" t="s">
        <v>557</v>
      </c>
      <c r="D12" s="117">
        <v>42187</v>
      </c>
      <c r="E12" s="117"/>
      <c r="F12" s="495">
        <f t="shared" si="0"/>
        <v>5641.1930000000002</v>
      </c>
      <c r="G12" s="90">
        <v>1</v>
      </c>
      <c r="H12" s="152">
        <f t="shared" si="1"/>
        <v>1</v>
      </c>
      <c r="I12" s="361">
        <v>5641.1930000000002</v>
      </c>
      <c r="J12" s="116" t="s">
        <v>8</v>
      </c>
      <c r="K12" s="117">
        <v>42193</v>
      </c>
      <c r="L12" s="119" t="s">
        <v>581</v>
      </c>
    </row>
    <row r="13" spans="1:12" hidden="1">
      <c r="A13" s="116" t="s">
        <v>7</v>
      </c>
      <c r="B13" s="192" t="s">
        <v>569</v>
      </c>
      <c r="C13" s="116" t="s">
        <v>610</v>
      </c>
      <c r="D13" s="117">
        <v>42198</v>
      </c>
      <c r="E13" s="117"/>
      <c r="F13" s="495">
        <f t="shared" si="0"/>
        <v>633.47900000000004</v>
      </c>
      <c r="G13" s="90">
        <v>1</v>
      </c>
      <c r="H13" s="152">
        <f t="shared" si="1"/>
        <v>1</v>
      </c>
      <c r="I13" s="361">
        <v>633.47900000000004</v>
      </c>
      <c r="J13" s="116" t="s">
        <v>236</v>
      </c>
      <c r="K13" s="117">
        <v>42198</v>
      </c>
      <c r="L13" s="119" t="s">
        <v>611</v>
      </c>
    </row>
    <row r="14" spans="1:12" hidden="1">
      <c r="A14" s="116" t="s">
        <v>7</v>
      </c>
      <c r="B14" s="192" t="s">
        <v>558</v>
      </c>
      <c r="C14" s="211" t="s">
        <v>623</v>
      </c>
      <c r="D14" s="117">
        <v>42214</v>
      </c>
      <c r="E14" s="117"/>
      <c r="F14" s="495">
        <f t="shared" si="0"/>
        <v>0</v>
      </c>
      <c r="G14" s="90">
        <v>1</v>
      </c>
      <c r="H14" s="152">
        <f t="shared" si="1"/>
        <v>1</v>
      </c>
      <c r="I14" s="361">
        <v>0</v>
      </c>
      <c r="J14" s="116" t="s">
        <v>8</v>
      </c>
      <c r="K14" s="117">
        <v>42214</v>
      </c>
      <c r="L14" s="119" t="s">
        <v>635</v>
      </c>
    </row>
    <row r="15" spans="1:12" hidden="1">
      <c r="A15" s="116" t="s">
        <v>7</v>
      </c>
      <c r="B15" s="192" t="s">
        <v>543</v>
      </c>
      <c r="C15" s="116" t="s">
        <v>636</v>
      </c>
      <c r="D15" s="117">
        <v>42217</v>
      </c>
      <c r="E15" s="117"/>
      <c r="F15" s="495">
        <f t="shared" si="0"/>
        <v>12060.8</v>
      </c>
      <c r="G15" s="90">
        <v>1</v>
      </c>
      <c r="H15" s="152">
        <f t="shared" si="1"/>
        <v>1</v>
      </c>
      <c r="I15" s="118">
        <v>12060.8</v>
      </c>
      <c r="J15" s="116" t="s">
        <v>8</v>
      </c>
      <c r="K15" s="117">
        <v>42215</v>
      </c>
      <c r="L15" s="119" t="s">
        <v>637</v>
      </c>
    </row>
    <row r="16" spans="1:12" hidden="1">
      <c r="A16" s="116" t="s">
        <v>7</v>
      </c>
      <c r="B16" s="192" t="s">
        <v>292</v>
      </c>
      <c r="C16" s="116" t="s">
        <v>638</v>
      </c>
      <c r="D16" s="117">
        <v>42217</v>
      </c>
      <c r="E16" s="117"/>
      <c r="F16" s="495">
        <f t="shared" si="0"/>
        <v>298.55</v>
      </c>
      <c r="G16" s="90">
        <v>1</v>
      </c>
      <c r="H16" s="152">
        <f t="shared" si="1"/>
        <v>1</v>
      </c>
      <c r="I16" s="118">
        <v>298.55</v>
      </c>
      <c r="J16" s="116" t="s">
        <v>236</v>
      </c>
      <c r="K16" s="117">
        <v>42217</v>
      </c>
      <c r="L16" s="119" t="s">
        <v>639</v>
      </c>
    </row>
    <row r="17" spans="1:12" hidden="1">
      <c r="A17" s="116" t="s">
        <v>7</v>
      </c>
      <c r="B17" s="192" t="s">
        <v>625</v>
      </c>
      <c r="C17" s="116" t="s">
        <v>640</v>
      </c>
      <c r="D17" s="117">
        <v>42217</v>
      </c>
      <c r="E17" s="117"/>
      <c r="F17" s="495">
        <f t="shared" si="0"/>
        <v>200</v>
      </c>
      <c r="G17" s="90">
        <v>1</v>
      </c>
      <c r="H17" s="152">
        <f t="shared" si="1"/>
        <v>1</v>
      </c>
      <c r="I17" s="118">
        <v>200</v>
      </c>
      <c r="J17" s="116" t="s">
        <v>236</v>
      </c>
      <c r="K17" s="117">
        <v>42217</v>
      </c>
      <c r="L17" s="119" t="s">
        <v>641</v>
      </c>
    </row>
    <row r="18" spans="1:12" hidden="1">
      <c r="A18" s="116" t="s">
        <v>7</v>
      </c>
      <c r="B18" s="192" t="s">
        <v>569</v>
      </c>
      <c r="C18" s="116" t="s">
        <v>642</v>
      </c>
      <c r="D18" s="117">
        <v>42217</v>
      </c>
      <c r="E18" s="117"/>
      <c r="F18" s="495">
        <f t="shared" si="0"/>
        <v>1215.2739999999999</v>
      </c>
      <c r="G18" s="90">
        <v>1</v>
      </c>
      <c r="H18" s="152">
        <f t="shared" si="1"/>
        <v>1</v>
      </c>
      <c r="I18" s="118">
        <v>1215.2739999999999</v>
      </c>
      <c r="J18" s="116" t="s">
        <v>236</v>
      </c>
      <c r="K18" s="117">
        <v>42217</v>
      </c>
      <c r="L18" s="119" t="s">
        <v>643</v>
      </c>
    </row>
    <row r="19" spans="1:12" hidden="1">
      <c r="A19" s="116" t="s">
        <v>7</v>
      </c>
      <c r="B19" s="192" t="s">
        <v>542</v>
      </c>
      <c r="C19" s="116" t="s">
        <v>644</v>
      </c>
      <c r="D19" s="117">
        <v>42217</v>
      </c>
      <c r="E19" s="117"/>
      <c r="F19" s="495">
        <f t="shared" si="0"/>
        <v>248.50899999999999</v>
      </c>
      <c r="G19" s="90">
        <v>1</v>
      </c>
      <c r="H19" s="152">
        <f t="shared" si="1"/>
        <v>1</v>
      </c>
      <c r="I19" s="118">
        <v>248.50899999999999</v>
      </c>
      <c r="J19" s="116" t="s">
        <v>236</v>
      </c>
      <c r="K19" s="117">
        <v>42217</v>
      </c>
      <c r="L19" s="119" t="s">
        <v>645</v>
      </c>
    </row>
    <row r="20" spans="1:12">
      <c r="A20" s="116" t="s">
        <v>11</v>
      </c>
      <c r="B20" s="192" t="s">
        <v>250</v>
      </c>
      <c r="C20" s="116" t="s">
        <v>524</v>
      </c>
      <c r="D20" s="117">
        <v>42142</v>
      </c>
      <c r="E20" s="117"/>
      <c r="F20" s="495">
        <f t="shared" si="0"/>
        <v>619.50699999999995</v>
      </c>
      <c r="G20" s="90">
        <v>1</v>
      </c>
      <c r="H20" s="152">
        <f t="shared" si="1"/>
        <v>1</v>
      </c>
      <c r="I20" s="361">
        <v>619.50699999999995</v>
      </c>
      <c r="J20" s="116" t="s">
        <v>8</v>
      </c>
      <c r="K20" s="117">
        <v>42226</v>
      </c>
      <c r="L20" s="119" t="s">
        <v>525</v>
      </c>
    </row>
    <row r="21" spans="1:12" hidden="1">
      <c r="A21" s="116" t="s">
        <v>11</v>
      </c>
      <c r="B21" s="192" t="s">
        <v>438</v>
      </c>
      <c r="C21" s="116" t="s">
        <v>559</v>
      </c>
      <c r="D21" s="117">
        <v>42172</v>
      </c>
      <c r="E21" s="117"/>
      <c r="F21" s="495">
        <f t="shared" si="0"/>
        <v>2007.9010000000001</v>
      </c>
      <c r="G21" s="90">
        <v>1</v>
      </c>
      <c r="H21" s="152">
        <f t="shared" si="1"/>
        <v>1</v>
      </c>
      <c r="I21" s="361">
        <v>2007.9010000000001</v>
      </c>
      <c r="J21" s="116" t="s">
        <v>8</v>
      </c>
      <c r="K21" s="117">
        <v>42241</v>
      </c>
      <c r="L21" s="119" t="s">
        <v>560</v>
      </c>
    </row>
    <row r="22" spans="1:12" hidden="1">
      <c r="A22" s="116" t="s">
        <v>7</v>
      </c>
      <c r="B22" s="192" t="s">
        <v>569</v>
      </c>
      <c r="C22" s="116" t="s">
        <v>739</v>
      </c>
      <c r="D22" s="117">
        <v>42243</v>
      </c>
      <c r="E22" s="117"/>
      <c r="F22" s="495">
        <f t="shared" si="0"/>
        <v>1262.7660000000001</v>
      </c>
      <c r="G22" s="90">
        <v>1</v>
      </c>
      <c r="H22" s="152">
        <f t="shared" si="1"/>
        <v>1</v>
      </c>
      <c r="I22" s="118">
        <v>1262.7660000000001</v>
      </c>
      <c r="J22" s="116" t="s">
        <v>236</v>
      </c>
      <c r="K22" s="117">
        <v>42243</v>
      </c>
      <c r="L22" s="119" t="s">
        <v>740</v>
      </c>
    </row>
    <row r="23" spans="1:12" hidden="1">
      <c r="A23" s="116" t="s">
        <v>7</v>
      </c>
      <c r="B23" s="192" t="s">
        <v>554</v>
      </c>
      <c r="C23" s="116" t="s">
        <v>741</v>
      </c>
      <c r="D23" s="117">
        <v>42243</v>
      </c>
      <c r="E23" s="117"/>
      <c r="F23" s="495">
        <f t="shared" si="0"/>
        <v>5157.8410000000003</v>
      </c>
      <c r="G23" s="90">
        <v>1</v>
      </c>
      <c r="H23" s="152">
        <f t="shared" si="1"/>
        <v>1</v>
      </c>
      <c r="I23" s="118">
        <v>5157.8410000000003</v>
      </c>
      <c r="J23" s="116" t="s">
        <v>236</v>
      </c>
      <c r="K23" s="117">
        <v>42243</v>
      </c>
      <c r="L23" s="119" t="s">
        <v>742</v>
      </c>
    </row>
    <row r="24" spans="1:12" hidden="1">
      <c r="A24" s="116" t="s">
        <v>7</v>
      </c>
      <c r="B24" s="192" t="s">
        <v>569</v>
      </c>
      <c r="C24" s="116" t="s">
        <v>743</v>
      </c>
      <c r="D24" s="117">
        <v>42243</v>
      </c>
      <c r="E24" s="117"/>
      <c r="F24" s="495">
        <f t="shared" si="0"/>
        <v>151.751</v>
      </c>
      <c r="G24" s="90">
        <v>1</v>
      </c>
      <c r="H24" s="152">
        <f t="shared" si="1"/>
        <v>1</v>
      </c>
      <c r="I24" s="118">
        <v>151.751</v>
      </c>
      <c r="J24" s="116" t="s">
        <v>236</v>
      </c>
      <c r="K24" s="117">
        <v>42243</v>
      </c>
      <c r="L24" s="119" t="s">
        <v>744</v>
      </c>
    </row>
    <row r="25" spans="1:12" hidden="1">
      <c r="A25" s="116" t="s">
        <v>7</v>
      </c>
      <c r="B25" s="192" t="s">
        <v>609</v>
      </c>
      <c r="C25" s="116" t="s">
        <v>745</v>
      </c>
      <c r="D25" s="117">
        <v>42243</v>
      </c>
      <c r="E25" s="117"/>
      <c r="F25" s="495">
        <f t="shared" si="0"/>
        <v>254.495</v>
      </c>
      <c r="G25" s="90">
        <v>1</v>
      </c>
      <c r="H25" s="152">
        <f t="shared" si="1"/>
        <v>1</v>
      </c>
      <c r="I25" s="118">
        <v>254.495</v>
      </c>
      <c r="J25" s="116" t="s">
        <v>236</v>
      </c>
      <c r="K25" s="117">
        <v>42243</v>
      </c>
      <c r="L25" s="119" t="s">
        <v>746</v>
      </c>
    </row>
    <row r="26" spans="1:12" hidden="1">
      <c r="A26" s="116" t="s">
        <v>7</v>
      </c>
      <c r="B26" s="192" t="s">
        <v>747</v>
      </c>
      <c r="C26" s="116" t="s">
        <v>748</v>
      </c>
      <c r="D26" s="117">
        <v>42243</v>
      </c>
      <c r="E26" s="117"/>
      <c r="F26" s="495">
        <f t="shared" si="0"/>
        <v>112.6</v>
      </c>
      <c r="G26" s="90">
        <v>1</v>
      </c>
      <c r="H26" s="152">
        <f t="shared" si="1"/>
        <v>1</v>
      </c>
      <c r="I26" s="118">
        <v>112.6</v>
      </c>
      <c r="J26" s="116" t="s">
        <v>236</v>
      </c>
      <c r="K26" s="117">
        <v>42243</v>
      </c>
      <c r="L26" s="119" t="s">
        <v>749</v>
      </c>
    </row>
    <row r="27" spans="1:12" hidden="1">
      <c r="A27" s="116" t="s">
        <v>7</v>
      </c>
      <c r="B27" s="192" t="s">
        <v>269</v>
      </c>
      <c r="C27" s="116" t="s">
        <v>750</v>
      </c>
      <c r="D27" s="117">
        <v>42243</v>
      </c>
      <c r="E27" s="117"/>
      <c r="F27" s="495">
        <f t="shared" si="0"/>
        <v>420.01400000000001</v>
      </c>
      <c r="G27" s="90">
        <v>1</v>
      </c>
      <c r="H27" s="152">
        <f t="shared" si="1"/>
        <v>1</v>
      </c>
      <c r="I27" s="118">
        <v>420.01400000000001</v>
      </c>
      <c r="J27" s="116" t="s">
        <v>236</v>
      </c>
      <c r="K27" s="117">
        <v>42243</v>
      </c>
      <c r="L27" s="119" t="s">
        <v>751</v>
      </c>
    </row>
    <row r="28" spans="1:12" hidden="1">
      <c r="A28" s="116" t="s">
        <v>7</v>
      </c>
      <c r="B28" s="192" t="s">
        <v>542</v>
      </c>
      <c r="C28" s="116" t="s">
        <v>754</v>
      </c>
      <c r="D28" s="117">
        <v>42243</v>
      </c>
      <c r="E28" s="117"/>
      <c r="F28" s="495">
        <f t="shared" si="0"/>
        <v>134.31200000000001</v>
      </c>
      <c r="G28" s="90">
        <v>1</v>
      </c>
      <c r="H28" s="152">
        <f t="shared" si="1"/>
        <v>1</v>
      </c>
      <c r="I28" s="118">
        <v>134.31200000000001</v>
      </c>
      <c r="J28" s="116" t="s">
        <v>236</v>
      </c>
      <c r="K28" s="117">
        <v>42243</v>
      </c>
      <c r="L28" s="119" t="s">
        <v>755</v>
      </c>
    </row>
    <row r="29" spans="1:12" hidden="1">
      <c r="A29" s="116" t="s">
        <v>7</v>
      </c>
      <c r="B29" s="192" t="s">
        <v>812</v>
      </c>
      <c r="C29" s="116" t="s">
        <v>815</v>
      </c>
      <c r="D29" s="117">
        <v>42243</v>
      </c>
      <c r="E29" s="117">
        <v>42251</v>
      </c>
      <c r="F29" s="495">
        <f t="shared" si="0"/>
        <v>556.60500000000002</v>
      </c>
      <c r="G29" s="90">
        <v>1</v>
      </c>
      <c r="H29" s="152">
        <f t="shared" si="1"/>
        <v>0</v>
      </c>
      <c r="I29" s="118">
        <v>556.60500000000002</v>
      </c>
      <c r="J29" s="116" t="s">
        <v>236</v>
      </c>
      <c r="K29" s="117">
        <v>42243</v>
      </c>
      <c r="L29" s="119" t="s">
        <v>816</v>
      </c>
    </row>
    <row r="30" spans="1:12" hidden="1">
      <c r="A30" s="116" t="s">
        <v>7</v>
      </c>
      <c r="B30" s="192" t="s">
        <v>760</v>
      </c>
      <c r="C30" s="116" t="s">
        <v>761</v>
      </c>
      <c r="D30" s="117">
        <v>42243</v>
      </c>
      <c r="E30" s="117"/>
      <c r="F30" s="495">
        <f t="shared" si="0"/>
        <v>975</v>
      </c>
      <c r="G30" s="90">
        <v>1</v>
      </c>
      <c r="H30" s="152">
        <f t="shared" si="1"/>
        <v>1</v>
      </c>
      <c r="I30" s="118">
        <v>975</v>
      </c>
      <c r="J30" s="116" t="s">
        <v>236</v>
      </c>
      <c r="K30" s="117">
        <v>42243</v>
      </c>
      <c r="L30" s="119" t="s">
        <v>762</v>
      </c>
    </row>
    <row r="31" spans="1:12" hidden="1">
      <c r="A31" s="116" t="s">
        <v>7</v>
      </c>
      <c r="B31" s="192" t="s">
        <v>292</v>
      </c>
      <c r="C31" s="116" t="s">
        <v>763</v>
      </c>
      <c r="D31" s="117">
        <v>42243</v>
      </c>
      <c r="E31" s="117"/>
      <c r="F31" s="495">
        <f t="shared" si="0"/>
        <v>73.778000000000006</v>
      </c>
      <c r="G31" s="90">
        <v>1</v>
      </c>
      <c r="H31" s="152">
        <f t="shared" si="1"/>
        <v>1</v>
      </c>
      <c r="I31" s="118">
        <v>73.778000000000006</v>
      </c>
      <c r="J31" s="116" t="s">
        <v>236</v>
      </c>
      <c r="K31" s="117">
        <v>42243</v>
      </c>
      <c r="L31" s="119" t="s">
        <v>764</v>
      </c>
    </row>
    <row r="32" spans="1:12" hidden="1">
      <c r="A32" s="116" t="s">
        <v>7</v>
      </c>
      <c r="B32" s="192" t="s">
        <v>729</v>
      </c>
      <c r="C32" s="116" t="s">
        <v>730</v>
      </c>
      <c r="D32" s="117">
        <v>42244</v>
      </c>
      <c r="E32" s="117"/>
      <c r="F32" s="495">
        <f t="shared" si="0"/>
        <v>13286.53</v>
      </c>
      <c r="G32" s="90">
        <v>1</v>
      </c>
      <c r="H32" s="152">
        <f t="shared" si="1"/>
        <v>1</v>
      </c>
      <c r="I32" s="118">
        <v>13286.53</v>
      </c>
      <c r="J32" s="116" t="s">
        <v>8</v>
      </c>
      <c r="K32" s="117">
        <v>42244</v>
      </c>
      <c r="L32" s="119" t="s">
        <v>731</v>
      </c>
    </row>
    <row r="33" spans="1:12" hidden="1">
      <c r="A33" s="116" t="s">
        <v>11</v>
      </c>
      <c r="B33" s="192" t="s">
        <v>437</v>
      </c>
      <c r="C33" s="116" t="s">
        <v>582</v>
      </c>
      <c r="D33" s="117">
        <v>42187</v>
      </c>
      <c r="E33" s="117"/>
      <c r="F33" s="495">
        <f t="shared" si="0"/>
        <v>990.61</v>
      </c>
      <c r="G33" s="90">
        <v>1</v>
      </c>
      <c r="H33" s="152">
        <f t="shared" si="1"/>
        <v>1</v>
      </c>
      <c r="I33" s="361">
        <v>990.61</v>
      </c>
      <c r="J33" s="116" t="s">
        <v>8</v>
      </c>
      <c r="K33" s="117">
        <v>42246</v>
      </c>
      <c r="L33" s="119" t="s">
        <v>583</v>
      </c>
    </row>
    <row r="34" spans="1:12" hidden="1">
      <c r="A34" s="116" t="s">
        <v>7</v>
      </c>
      <c r="B34" s="192" t="s">
        <v>569</v>
      </c>
      <c r="C34" s="116" t="s">
        <v>127</v>
      </c>
      <c r="D34" s="117">
        <v>42248</v>
      </c>
      <c r="E34" s="117"/>
      <c r="F34" s="495">
        <f t="shared" si="0"/>
        <v>156.614</v>
      </c>
      <c r="G34" s="90">
        <v>1</v>
      </c>
      <c r="H34" s="152">
        <f t="shared" si="1"/>
        <v>1</v>
      </c>
      <c r="I34" s="118">
        <v>156.614</v>
      </c>
      <c r="J34" s="116" t="s">
        <v>236</v>
      </c>
      <c r="K34" s="117">
        <v>42248</v>
      </c>
      <c r="L34" s="119" t="s">
        <v>732</v>
      </c>
    </row>
    <row r="35" spans="1:12" hidden="1">
      <c r="A35" s="116" t="s">
        <v>7</v>
      </c>
      <c r="B35" s="192" t="s">
        <v>230</v>
      </c>
      <c r="C35" s="116" t="s">
        <v>726</v>
      </c>
      <c r="D35" s="117">
        <v>42249</v>
      </c>
      <c r="E35" s="117">
        <v>42251</v>
      </c>
      <c r="F35" s="495">
        <f t="shared" si="0"/>
        <v>669.62800000000004</v>
      </c>
      <c r="G35" s="90">
        <v>1</v>
      </c>
      <c r="H35" s="152">
        <f t="shared" si="1"/>
        <v>0</v>
      </c>
      <c r="I35" s="118">
        <v>669.62800000000004</v>
      </c>
      <c r="J35" s="116" t="s">
        <v>236</v>
      </c>
      <c r="K35" s="117">
        <v>42249</v>
      </c>
      <c r="L35" s="119" t="s">
        <v>735</v>
      </c>
    </row>
    <row r="36" spans="1:12" hidden="1">
      <c r="A36" s="116" t="s">
        <v>7</v>
      </c>
      <c r="B36" s="192" t="s">
        <v>75</v>
      </c>
      <c r="C36" s="211" t="s">
        <v>733</v>
      </c>
      <c r="D36" s="117">
        <v>42251</v>
      </c>
      <c r="E36" s="117"/>
      <c r="F36" s="495">
        <f t="shared" si="0"/>
        <v>0</v>
      </c>
      <c r="G36" s="90">
        <v>1</v>
      </c>
      <c r="H36" s="152">
        <f t="shared" si="1"/>
        <v>1</v>
      </c>
      <c r="I36" s="361">
        <v>0</v>
      </c>
      <c r="J36" s="116" t="s">
        <v>8</v>
      </c>
      <c r="K36" s="117">
        <v>42251</v>
      </c>
      <c r="L36" s="119" t="s">
        <v>734</v>
      </c>
    </row>
    <row r="37" spans="1:12" hidden="1">
      <c r="A37" s="116" t="s">
        <v>7</v>
      </c>
      <c r="B37" s="192" t="s">
        <v>817</v>
      </c>
      <c r="C37" s="211" t="s">
        <v>818</v>
      </c>
      <c r="D37" s="117">
        <v>42256</v>
      </c>
      <c r="E37" s="117"/>
      <c r="F37" s="495">
        <f t="shared" ref="F37:F68" si="2">SUM(I37*G37)</f>
        <v>0</v>
      </c>
      <c r="G37" s="90">
        <v>1</v>
      </c>
      <c r="H37" s="152">
        <f t="shared" ref="H37:H68" si="3">IF(E37="",1,0)</f>
        <v>1</v>
      </c>
      <c r="I37" s="361">
        <v>0</v>
      </c>
      <c r="J37" s="116" t="s">
        <v>8</v>
      </c>
      <c r="K37" s="117">
        <v>42256</v>
      </c>
      <c r="L37" s="119" t="s">
        <v>819</v>
      </c>
    </row>
    <row r="38" spans="1:12" hidden="1">
      <c r="A38" s="116" t="s">
        <v>7</v>
      </c>
      <c r="B38" s="192" t="s">
        <v>813</v>
      </c>
      <c r="C38" s="116" t="s">
        <v>127</v>
      </c>
      <c r="D38" s="117">
        <v>42258</v>
      </c>
      <c r="E38" s="117"/>
      <c r="F38" s="495">
        <f t="shared" si="2"/>
        <v>446.233</v>
      </c>
      <c r="G38" s="90">
        <v>1</v>
      </c>
      <c r="H38" s="152">
        <f t="shared" si="3"/>
        <v>1</v>
      </c>
      <c r="I38" s="118">
        <v>446.233</v>
      </c>
      <c r="J38" s="116" t="s">
        <v>236</v>
      </c>
      <c r="K38" s="117">
        <v>42258</v>
      </c>
      <c r="L38" s="119" t="s">
        <v>820</v>
      </c>
    </row>
    <row r="39" spans="1:12" hidden="1">
      <c r="A39" s="116" t="s">
        <v>7</v>
      </c>
      <c r="B39" s="192" t="s">
        <v>811</v>
      </c>
      <c r="C39" s="116" t="s">
        <v>127</v>
      </c>
      <c r="D39" s="117">
        <v>42264</v>
      </c>
      <c r="E39" s="117"/>
      <c r="F39" s="495">
        <f t="shared" si="2"/>
        <v>142.67599999999999</v>
      </c>
      <c r="G39" s="90">
        <v>1</v>
      </c>
      <c r="H39" s="152">
        <f t="shared" si="3"/>
        <v>1</v>
      </c>
      <c r="I39" s="118">
        <v>142.67599999999999</v>
      </c>
      <c r="J39" s="116" t="s">
        <v>236</v>
      </c>
      <c r="K39" s="117">
        <v>42264</v>
      </c>
      <c r="L39" s="119" t="s">
        <v>821</v>
      </c>
    </row>
    <row r="40" spans="1:12" hidden="1">
      <c r="A40" s="116" t="s">
        <v>7</v>
      </c>
      <c r="B40" s="192" t="s">
        <v>624</v>
      </c>
      <c r="C40" s="116" t="s">
        <v>814</v>
      </c>
      <c r="D40" s="117">
        <v>42262</v>
      </c>
      <c r="E40" s="117"/>
      <c r="F40" s="495">
        <f t="shared" si="2"/>
        <v>1054.9639999999999</v>
      </c>
      <c r="G40" s="90">
        <v>1</v>
      </c>
      <c r="H40" s="152">
        <f t="shared" si="3"/>
        <v>1</v>
      </c>
      <c r="I40" s="118">
        <v>1054.9639999999999</v>
      </c>
      <c r="J40" s="116" t="s">
        <v>236</v>
      </c>
      <c r="K40" s="117">
        <v>42268</v>
      </c>
      <c r="L40" s="119" t="s">
        <v>822</v>
      </c>
    </row>
    <row r="41" spans="1:12" hidden="1">
      <c r="A41" s="116" t="s">
        <v>7</v>
      </c>
      <c r="B41" s="192" t="s">
        <v>846</v>
      </c>
      <c r="C41" s="116" t="s">
        <v>871</v>
      </c>
      <c r="D41" s="117">
        <v>42269</v>
      </c>
      <c r="E41" s="117">
        <v>42276</v>
      </c>
      <c r="F41" s="495">
        <f t="shared" si="2"/>
        <v>6916.1779999999999</v>
      </c>
      <c r="G41" s="90">
        <v>1</v>
      </c>
      <c r="H41" s="152">
        <f t="shared" si="3"/>
        <v>0</v>
      </c>
      <c r="I41" s="118">
        <v>6916.1779999999999</v>
      </c>
      <c r="J41" s="116" t="s">
        <v>236</v>
      </c>
      <c r="K41" s="117">
        <v>42269</v>
      </c>
      <c r="L41" s="119" t="s">
        <v>872</v>
      </c>
    </row>
    <row r="42" spans="1:12" hidden="1">
      <c r="A42" s="116" t="s">
        <v>7</v>
      </c>
      <c r="B42" s="192" t="s">
        <v>836</v>
      </c>
      <c r="C42" s="116" t="s">
        <v>127</v>
      </c>
      <c r="D42" s="117">
        <v>42269</v>
      </c>
      <c r="E42" s="117"/>
      <c r="F42" s="495">
        <f t="shared" si="2"/>
        <v>306.55</v>
      </c>
      <c r="G42" s="90">
        <v>1</v>
      </c>
      <c r="H42" s="152">
        <f t="shared" si="3"/>
        <v>1</v>
      </c>
      <c r="I42" s="118">
        <v>306.55</v>
      </c>
      <c r="J42" s="116" t="s">
        <v>236</v>
      </c>
      <c r="K42" s="117">
        <v>42269</v>
      </c>
      <c r="L42" s="119" t="s">
        <v>873</v>
      </c>
    </row>
    <row r="43" spans="1:12" hidden="1">
      <c r="A43" s="116" t="s">
        <v>7</v>
      </c>
      <c r="B43" s="192" t="s">
        <v>861</v>
      </c>
      <c r="C43" s="116" t="s">
        <v>127</v>
      </c>
      <c r="D43" s="117">
        <v>42269</v>
      </c>
      <c r="E43" s="117">
        <v>42276</v>
      </c>
      <c r="F43" s="495">
        <f t="shared" si="2"/>
        <v>431.15899999999999</v>
      </c>
      <c r="G43" s="90">
        <v>1</v>
      </c>
      <c r="H43" s="152">
        <f t="shared" si="3"/>
        <v>0</v>
      </c>
      <c r="I43" s="118">
        <v>431.15899999999999</v>
      </c>
      <c r="J43" s="116" t="s">
        <v>236</v>
      </c>
      <c r="K43" s="117">
        <v>42269</v>
      </c>
      <c r="L43" s="119" t="s">
        <v>881</v>
      </c>
    </row>
    <row r="44" spans="1:12" hidden="1">
      <c r="A44" s="116" t="s">
        <v>7</v>
      </c>
      <c r="B44" s="192" t="s">
        <v>856</v>
      </c>
      <c r="C44" s="116" t="s">
        <v>127</v>
      </c>
      <c r="D44" s="117">
        <v>42273</v>
      </c>
      <c r="E44" s="117"/>
      <c r="F44" s="495">
        <f t="shared" si="2"/>
        <v>159.80000000000001</v>
      </c>
      <c r="G44" s="90">
        <v>1</v>
      </c>
      <c r="H44" s="152">
        <f t="shared" si="3"/>
        <v>1</v>
      </c>
      <c r="I44" s="118">
        <v>159.80000000000001</v>
      </c>
      <c r="J44" s="116" t="s">
        <v>236</v>
      </c>
      <c r="K44" s="117">
        <v>42273</v>
      </c>
      <c r="L44" s="119" t="s">
        <v>874</v>
      </c>
    </row>
    <row r="45" spans="1:12" hidden="1">
      <c r="A45" s="116" t="s">
        <v>7</v>
      </c>
      <c r="B45" s="192" t="s">
        <v>558</v>
      </c>
      <c r="C45" s="211" t="s">
        <v>826</v>
      </c>
      <c r="D45" s="117">
        <v>42273</v>
      </c>
      <c r="E45" s="117"/>
      <c r="F45" s="495">
        <f t="shared" si="2"/>
        <v>0</v>
      </c>
      <c r="G45" s="90">
        <v>1</v>
      </c>
      <c r="H45" s="152">
        <f t="shared" si="3"/>
        <v>1</v>
      </c>
      <c r="I45" s="361">
        <v>0</v>
      </c>
      <c r="J45" s="116" t="s">
        <v>8</v>
      </c>
      <c r="K45" s="117">
        <v>42273</v>
      </c>
      <c r="L45" s="119" t="s">
        <v>876</v>
      </c>
    </row>
    <row r="46" spans="1:12" hidden="1">
      <c r="A46" s="116" t="s">
        <v>7</v>
      </c>
      <c r="B46" s="192" t="s">
        <v>75</v>
      </c>
      <c r="C46" s="211" t="s">
        <v>826</v>
      </c>
      <c r="D46" s="117">
        <v>42273</v>
      </c>
      <c r="E46" s="117"/>
      <c r="F46" s="495">
        <f t="shared" si="2"/>
        <v>0</v>
      </c>
      <c r="G46" s="90">
        <v>1</v>
      </c>
      <c r="H46" s="152">
        <f t="shared" si="3"/>
        <v>1</v>
      </c>
      <c r="I46" s="118">
        <v>0</v>
      </c>
      <c r="J46" s="116" t="s">
        <v>8</v>
      </c>
      <c r="K46" s="117">
        <v>42273</v>
      </c>
      <c r="L46" s="119" t="s">
        <v>877</v>
      </c>
    </row>
    <row r="47" spans="1:12" hidden="1">
      <c r="A47" s="116" t="s">
        <v>7</v>
      </c>
      <c r="B47" s="192" t="s">
        <v>849</v>
      </c>
      <c r="C47" s="116" t="s">
        <v>878</v>
      </c>
      <c r="D47" s="117">
        <v>42273</v>
      </c>
      <c r="E47" s="117"/>
      <c r="F47" s="495">
        <f t="shared" si="2"/>
        <v>1531.904</v>
      </c>
      <c r="G47" s="90">
        <v>1</v>
      </c>
      <c r="H47" s="152">
        <f t="shared" si="3"/>
        <v>1</v>
      </c>
      <c r="I47" s="118">
        <v>1531.904</v>
      </c>
      <c r="J47" s="116" t="s">
        <v>8</v>
      </c>
      <c r="K47" s="117">
        <v>42273</v>
      </c>
      <c r="L47" s="119" t="s">
        <v>879</v>
      </c>
    </row>
    <row r="48" spans="1:12" hidden="1">
      <c r="A48" s="116" t="s">
        <v>7</v>
      </c>
      <c r="B48" s="192" t="s">
        <v>842</v>
      </c>
      <c r="C48" s="116" t="s">
        <v>870</v>
      </c>
      <c r="D48" s="117">
        <v>42273</v>
      </c>
      <c r="E48" s="117"/>
      <c r="F48" s="495">
        <f t="shared" si="2"/>
        <v>476.5</v>
      </c>
      <c r="G48" s="90">
        <v>1</v>
      </c>
      <c r="H48" s="152">
        <f t="shared" si="3"/>
        <v>1</v>
      </c>
      <c r="I48" s="118">
        <v>476.5</v>
      </c>
      <c r="J48" s="116" t="s">
        <v>236</v>
      </c>
      <c r="K48" s="117">
        <v>42273</v>
      </c>
      <c r="L48" s="119" t="s">
        <v>880</v>
      </c>
    </row>
    <row r="49" spans="1:12" hidden="1">
      <c r="A49" s="116" t="s">
        <v>7</v>
      </c>
      <c r="B49" s="192" t="s">
        <v>292</v>
      </c>
      <c r="C49" s="116" t="s">
        <v>127</v>
      </c>
      <c r="D49" s="117">
        <v>42275</v>
      </c>
      <c r="E49" s="117"/>
      <c r="F49" s="495">
        <f t="shared" si="2"/>
        <v>595.03</v>
      </c>
      <c r="G49" s="90">
        <v>1</v>
      </c>
      <c r="H49" s="152">
        <f t="shared" si="3"/>
        <v>1</v>
      </c>
      <c r="I49" s="118">
        <v>595.03</v>
      </c>
      <c r="J49" s="116" t="s">
        <v>236</v>
      </c>
      <c r="K49" s="117">
        <v>42275</v>
      </c>
      <c r="L49" s="119" t="s">
        <v>875</v>
      </c>
    </row>
    <row r="50" spans="1:12" hidden="1">
      <c r="A50" s="116" t="s">
        <v>7</v>
      </c>
      <c r="B50" s="192" t="s">
        <v>554</v>
      </c>
      <c r="C50" s="116" t="s">
        <v>882</v>
      </c>
      <c r="D50" s="117">
        <v>42275</v>
      </c>
      <c r="E50" s="117"/>
      <c r="F50" s="495">
        <f t="shared" si="2"/>
        <v>616.48699999999997</v>
      </c>
      <c r="G50" s="90">
        <v>1</v>
      </c>
      <c r="H50" s="152">
        <f t="shared" si="3"/>
        <v>1</v>
      </c>
      <c r="I50" s="118">
        <v>616.48699999999997</v>
      </c>
      <c r="J50" s="116" t="s">
        <v>236</v>
      </c>
      <c r="K50" s="117">
        <v>42275</v>
      </c>
      <c r="L50" s="119" t="s">
        <v>883</v>
      </c>
    </row>
    <row r="51" spans="1:12" hidden="1">
      <c r="A51" s="116" t="s">
        <v>7</v>
      </c>
      <c r="B51" s="192" t="s">
        <v>853</v>
      </c>
      <c r="C51" s="116" t="s">
        <v>884</v>
      </c>
      <c r="D51" s="117">
        <v>42275</v>
      </c>
      <c r="E51" s="117"/>
      <c r="F51" s="495">
        <f t="shared" si="2"/>
        <v>2216.25</v>
      </c>
      <c r="G51" s="90">
        <v>1</v>
      </c>
      <c r="H51" s="152">
        <f t="shared" si="3"/>
        <v>1</v>
      </c>
      <c r="I51" s="118">
        <v>2216.25</v>
      </c>
      <c r="J51" s="116" t="s">
        <v>236</v>
      </c>
      <c r="K51" s="117">
        <v>42275</v>
      </c>
      <c r="L51" s="119" t="s">
        <v>885</v>
      </c>
    </row>
    <row r="52" spans="1:12" hidden="1">
      <c r="A52" s="116" t="s">
        <v>7</v>
      </c>
      <c r="B52" s="192" t="s">
        <v>845</v>
      </c>
      <c r="C52" s="116" t="s">
        <v>888</v>
      </c>
      <c r="D52" s="117">
        <v>42275</v>
      </c>
      <c r="E52" s="117"/>
      <c r="F52" s="495">
        <f t="shared" si="2"/>
        <v>986.01599999999996</v>
      </c>
      <c r="G52" s="90">
        <v>1</v>
      </c>
      <c r="H52" s="152">
        <f t="shared" si="3"/>
        <v>1</v>
      </c>
      <c r="I52" s="118">
        <v>986.01599999999996</v>
      </c>
      <c r="J52" s="116" t="s">
        <v>236</v>
      </c>
      <c r="K52" s="117">
        <v>42275</v>
      </c>
      <c r="L52" s="119" t="s">
        <v>889</v>
      </c>
    </row>
    <row r="53" spans="1:12" hidden="1">
      <c r="A53" s="116" t="s">
        <v>7</v>
      </c>
      <c r="B53" s="192" t="s">
        <v>795</v>
      </c>
      <c r="C53" s="116" t="s">
        <v>898</v>
      </c>
      <c r="D53" s="117">
        <v>42275</v>
      </c>
      <c r="E53" s="117"/>
      <c r="F53" s="495">
        <f t="shared" si="2"/>
        <v>243.62700000000001</v>
      </c>
      <c r="G53" s="90">
        <v>1</v>
      </c>
      <c r="H53" s="152">
        <f t="shared" si="3"/>
        <v>1</v>
      </c>
      <c r="I53" s="118">
        <v>243.62700000000001</v>
      </c>
      <c r="J53" s="116" t="s">
        <v>236</v>
      </c>
      <c r="K53" s="117">
        <v>42275</v>
      </c>
      <c r="L53" s="119" t="s">
        <v>899</v>
      </c>
    </row>
    <row r="54" spans="1:12" hidden="1">
      <c r="A54" s="116" t="s">
        <v>7</v>
      </c>
      <c r="B54" s="192" t="s">
        <v>292</v>
      </c>
      <c r="C54" s="116" t="s">
        <v>906</v>
      </c>
      <c r="D54" s="117">
        <v>42275</v>
      </c>
      <c r="E54" s="117"/>
      <c r="F54" s="495">
        <f t="shared" si="2"/>
        <v>344.31099999999998</v>
      </c>
      <c r="G54" s="90">
        <v>1</v>
      </c>
      <c r="H54" s="152">
        <f t="shared" si="3"/>
        <v>1</v>
      </c>
      <c r="I54" s="118">
        <v>344.31099999999998</v>
      </c>
      <c r="J54" s="116" t="s">
        <v>236</v>
      </c>
      <c r="K54" s="117">
        <v>42275</v>
      </c>
      <c r="L54" s="119" t="s">
        <v>907</v>
      </c>
    </row>
    <row r="55" spans="1:12" hidden="1">
      <c r="A55" s="116" t="s">
        <v>7</v>
      </c>
      <c r="B55" s="192" t="s">
        <v>835</v>
      </c>
      <c r="C55" s="116" t="s">
        <v>908</v>
      </c>
      <c r="D55" s="117">
        <v>42275</v>
      </c>
      <c r="E55" s="117"/>
      <c r="F55" s="495">
        <f t="shared" si="2"/>
        <v>95.022999999999996</v>
      </c>
      <c r="G55" s="90">
        <v>1</v>
      </c>
      <c r="H55" s="152">
        <f t="shared" si="3"/>
        <v>1</v>
      </c>
      <c r="I55" s="118">
        <v>95.022999999999996</v>
      </c>
      <c r="J55" s="116" t="s">
        <v>236</v>
      </c>
      <c r="K55" s="117">
        <v>42275</v>
      </c>
      <c r="L55" s="119" t="s">
        <v>909</v>
      </c>
    </row>
    <row r="56" spans="1:12" hidden="1">
      <c r="A56" s="116" t="s">
        <v>7</v>
      </c>
      <c r="B56" s="192" t="s">
        <v>852</v>
      </c>
      <c r="C56" s="116" t="s">
        <v>910</v>
      </c>
      <c r="D56" s="117">
        <v>42275</v>
      </c>
      <c r="E56" s="117"/>
      <c r="F56" s="495">
        <f t="shared" si="2"/>
        <v>270</v>
      </c>
      <c r="G56" s="90">
        <v>1</v>
      </c>
      <c r="H56" s="152">
        <f t="shared" si="3"/>
        <v>1</v>
      </c>
      <c r="I56" s="118">
        <v>270</v>
      </c>
      <c r="J56" s="116" t="s">
        <v>236</v>
      </c>
      <c r="K56" s="117">
        <v>42275</v>
      </c>
      <c r="L56" s="119" t="s">
        <v>911</v>
      </c>
    </row>
    <row r="57" spans="1:12" hidden="1">
      <c r="A57" s="116" t="s">
        <v>7</v>
      </c>
      <c r="B57" s="192" t="s">
        <v>838</v>
      </c>
      <c r="C57" s="116" t="s">
        <v>912</v>
      </c>
      <c r="D57" s="117">
        <v>42275</v>
      </c>
      <c r="E57" s="117"/>
      <c r="F57" s="495">
        <f t="shared" si="2"/>
        <v>96.08</v>
      </c>
      <c r="G57" s="90">
        <v>1</v>
      </c>
      <c r="H57" s="152">
        <f t="shared" si="3"/>
        <v>1</v>
      </c>
      <c r="I57" s="118">
        <v>96.08</v>
      </c>
      <c r="J57" s="116" t="s">
        <v>236</v>
      </c>
      <c r="K57" s="117">
        <v>42275</v>
      </c>
      <c r="L57" s="119" t="s">
        <v>913</v>
      </c>
    </row>
    <row r="58" spans="1:12" hidden="1">
      <c r="A58" s="116" t="s">
        <v>7</v>
      </c>
      <c r="B58" s="192" t="s">
        <v>494</v>
      </c>
      <c r="C58" s="116" t="s">
        <v>922</v>
      </c>
      <c r="D58" s="117">
        <v>42275</v>
      </c>
      <c r="E58" s="117"/>
      <c r="F58" s="495">
        <f t="shared" si="2"/>
        <v>165.28100000000001</v>
      </c>
      <c r="G58" s="90">
        <v>1</v>
      </c>
      <c r="H58" s="152">
        <f t="shared" si="3"/>
        <v>1</v>
      </c>
      <c r="I58" s="118">
        <v>165.28100000000001</v>
      </c>
      <c r="J58" s="116" t="s">
        <v>236</v>
      </c>
      <c r="K58" s="117">
        <v>42275</v>
      </c>
      <c r="L58" s="119" t="s">
        <v>923</v>
      </c>
    </row>
    <row r="59" spans="1:12" hidden="1">
      <c r="A59" s="116" t="s">
        <v>7</v>
      </c>
      <c r="B59" s="192" t="s">
        <v>854</v>
      </c>
      <c r="C59" s="116" t="s">
        <v>926</v>
      </c>
      <c r="D59" s="117">
        <v>42275</v>
      </c>
      <c r="E59" s="117"/>
      <c r="F59" s="495">
        <f t="shared" si="2"/>
        <v>187.35</v>
      </c>
      <c r="G59" s="90">
        <v>1</v>
      </c>
      <c r="H59" s="152">
        <f t="shared" si="3"/>
        <v>1</v>
      </c>
      <c r="I59" s="118">
        <v>187.35</v>
      </c>
      <c r="J59" s="116" t="s">
        <v>236</v>
      </c>
      <c r="K59" s="117">
        <v>42275</v>
      </c>
      <c r="L59" s="119" t="s">
        <v>927</v>
      </c>
    </row>
    <row r="60" spans="1:12" hidden="1">
      <c r="A60" s="116" t="s">
        <v>7</v>
      </c>
      <c r="B60" s="192" t="s">
        <v>837</v>
      </c>
      <c r="C60" s="116" t="s">
        <v>928</v>
      </c>
      <c r="D60" s="117">
        <v>42275</v>
      </c>
      <c r="E60" s="117"/>
      <c r="F60" s="495">
        <f t="shared" si="2"/>
        <v>142.1</v>
      </c>
      <c r="G60" s="90">
        <v>1</v>
      </c>
      <c r="H60" s="152">
        <f t="shared" si="3"/>
        <v>1</v>
      </c>
      <c r="I60" s="118">
        <v>142.1</v>
      </c>
      <c r="J60" s="116" t="s">
        <v>236</v>
      </c>
      <c r="K60" s="117">
        <v>42275</v>
      </c>
      <c r="L60" s="119" t="s">
        <v>929</v>
      </c>
    </row>
    <row r="61" spans="1:12" hidden="1">
      <c r="A61" s="116" t="s">
        <v>7</v>
      </c>
      <c r="B61" s="192" t="s">
        <v>848</v>
      </c>
      <c r="C61" s="116" t="s">
        <v>933</v>
      </c>
      <c r="D61" s="117">
        <v>42275</v>
      </c>
      <c r="E61" s="117"/>
      <c r="F61" s="495">
        <f t="shared" si="2"/>
        <v>194.023</v>
      </c>
      <c r="G61" s="90">
        <v>1</v>
      </c>
      <c r="H61" s="152">
        <f t="shared" si="3"/>
        <v>1</v>
      </c>
      <c r="I61" s="118">
        <v>194.023</v>
      </c>
      <c r="J61" s="116" t="s">
        <v>236</v>
      </c>
      <c r="K61" s="117">
        <v>42275</v>
      </c>
      <c r="L61" s="119" t="s">
        <v>934</v>
      </c>
    </row>
    <row r="62" spans="1:12" hidden="1">
      <c r="A62" s="116" t="s">
        <v>7</v>
      </c>
      <c r="B62" s="192" t="s">
        <v>695</v>
      </c>
      <c r="C62" s="116" t="s">
        <v>935</v>
      </c>
      <c r="D62" s="117">
        <v>42275</v>
      </c>
      <c r="E62" s="117"/>
      <c r="F62" s="495">
        <f t="shared" si="2"/>
        <v>148.45699999999999</v>
      </c>
      <c r="G62" s="90">
        <v>1</v>
      </c>
      <c r="H62" s="152">
        <f t="shared" si="3"/>
        <v>1</v>
      </c>
      <c r="I62" s="118">
        <v>148.45699999999999</v>
      </c>
      <c r="J62" s="116" t="s">
        <v>236</v>
      </c>
      <c r="K62" s="117">
        <v>42275</v>
      </c>
      <c r="L62" s="119" t="s">
        <v>936</v>
      </c>
    </row>
    <row r="63" spans="1:12" hidden="1">
      <c r="A63" s="116" t="s">
        <v>7</v>
      </c>
      <c r="B63" s="192" t="s">
        <v>869</v>
      </c>
      <c r="C63" s="116" t="s">
        <v>939</v>
      </c>
      <c r="D63" s="117">
        <v>42275</v>
      </c>
      <c r="E63" s="117"/>
      <c r="F63" s="495">
        <f t="shared" si="2"/>
        <v>70.781000000000006</v>
      </c>
      <c r="G63" s="90">
        <v>1</v>
      </c>
      <c r="H63" s="152">
        <f t="shared" si="3"/>
        <v>1</v>
      </c>
      <c r="I63" s="118">
        <v>70.781000000000006</v>
      </c>
      <c r="J63" s="116" t="s">
        <v>236</v>
      </c>
      <c r="K63" s="117">
        <v>42275</v>
      </c>
      <c r="L63" s="119" t="s">
        <v>940</v>
      </c>
    </row>
    <row r="64" spans="1:12" hidden="1">
      <c r="A64" s="116" t="s">
        <v>7</v>
      </c>
      <c r="B64" s="192" t="s">
        <v>609</v>
      </c>
      <c r="C64" s="116" t="s">
        <v>941</v>
      </c>
      <c r="D64" s="117">
        <v>42275</v>
      </c>
      <c r="E64" s="117"/>
      <c r="F64" s="495">
        <f t="shared" si="2"/>
        <v>123.22</v>
      </c>
      <c r="G64" s="90">
        <v>1</v>
      </c>
      <c r="H64" s="152">
        <f t="shared" si="3"/>
        <v>1</v>
      </c>
      <c r="I64" s="118">
        <v>123.22</v>
      </c>
      <c r="J64" s="116" t="s">
        <v>236</v>
      </c>
      <c r="K64" s="117">
        <v>42275</v>
      </c>
      <c r="L64" s="119" t="s">
        <v>942</v>
      </c>
    </row>
    <row r="65" spans="1:12" hidden="1">
      <c r="A65" s="116" t="s">
        <v>7</v>
      </c>
      <c r="B65" s="192" t="s">
        <v>569</v>
      </c>
      <c r="C65" s="116" t="s">
        <v>943</v>
      </c>
      <c r="D65" s="117">
        <v>42275</v>
      </c>
      <c r="E65" s="117"/>
      <c r="F65" s="495">
        <f t="shared" si="2"/>
        <v>206.06200000000001</v>
      </c>
      <c r="G65" s="90">
        <v>1</v>
      </c>
      <c r="H65" s="152">
        <f t="shared" si="3"/>
        <v>1</v>
      </c>
      <c r="I65" s="118">
        <v>206.06200000000001</v>
      </c>
      <c r="J65" s="116" t="s">
        <v>236</v>
      </c>
      <c r="K65" s="117">
        <v>42275</v>
      </c>
      <c r="L65" s="119" t="s">
        <v>944</v>
      </c>
    </row>
    <row r="66" spans="1:12" hidden="1">
      <c r="A66" s="116" t="s">
        <v>7</v>
      </c>
      <c r="B66" s="192" t="s">
        <v>947</v>
      </c>
      <c r="C66" s="116" t="s">
        <v>948</v>
      </c>
      <c r="D66" s="117">
        <v>42275</v>
      </c>
      <c r="E66" s="117"/>
      <c r="F66" s="495">
        <f t="shared" si="2"/>
        <v>177.5</v>
      </c>
      <c r="G66" s="90">
        <v>1</v>
      </c>
      <c r="H66" s="152">
        <f t="shared" si="3"/>
        <v>1</v>
      </c>
      <c r="I66" s="118">
        <v>177.5</v>
      </c>
      <c r="J66" s="116" t="s">
        <v>236</v>
      </c>
      <c r="K66" s="117">
        <v>42275</v>
      </c>
      <c r="L66" s="119" t="s">
        <v>949</v>
      </c>
    </row>
    <row r="67" spans="1:12" hidden="1">
      <c r="A67" s="116" t="s">
        <v>7</v>
      </c>
      <c r="B67" s="192" t="s">
        <v>304</v>
      </c>
      <c r="C67" s="116" t="s">
        <v>950</v>
      </c>
      <c r="D67" s="117">
        <v>42275</v>
      </c>
      <c r="E67" s="117"/>
      <c r="F67" s="495">
        <f t="shared" si="2"/>
        <v>1110.8</v>
      </c>
      <c r="G67" s="90">
        <v>1</v>
      </c>
      <c r="H67" s="152">
        <f t="shared" si="3"/>
        <v>1</v>
      </c>
      <c r="I67" s="118">
        <v>1110.8</v>
      </c>
      <c r="J67" s="116" t="s">
        <v>236</v>
      </c>
      <c r="K67" s="117">
        <v>42275</v>
      </c>
      <c r="L67" s="119" t="s">
        <v>951</v>
      </c>
    </row>
    <row r="68" spans="1:12" hidden="1">
      <c r="A68" s="116" t="s">
        <v>7</v>
      </c>
      <c r="B68" s="192" t="s">
        <v>862</v>
      </c>
      <c r="C68" s="116" t="s">
        <v>952</v>
      </c>
      <c r="D68" s="117">
        <v>42275</v>
      </c>
      <c r="E68" s="117"/>
      <c r="F68" s="495">
        <f t="shared" si="2"/>
        <v>1200.8630000000001</v>
      </c>
      <c r="G68" s="90">
        <v>1</v>
      </c>
      <c r="H68" s="152">
        <f t="shared" si="3"/>
        <v>1</v>
      </c>
      <c r="I68" s="118">
        <v>1200.8630000000001</v>
      </c>
      <c r="J68" s="116" t="s">
        <v>236</v>
      </c>
      <c r="K68" s="117">
        <v>42275</v>
      </c>
      <c r="L68" s="119" t="s">
        <v>953</v>
      </c>
    </row>
    <row r="69" spans="1:12" hidden="1">
      <c r="A69" s="116" t="s">
        <v>7</v>
      </c>
      <c r="B69" s="192" t="s">
        <v>855</v>
      </c>
      <c r="C69" s="116" t="s">
        <v>957</v>
      </c>
      <c r="D69" s="117">
        <v>42275</v>
      </c>
      <c r="E69" s="117"/>
      <c r="F69" s="495">
        <f t="shared" ref="F69:F100" si="4">SUM(I69*G69)</f>
        <v>31520</v>
      </c>
      <c r="G69" s="90">
        <v>1</v>
      </c>
      <c r="H69" s="152">
        <f t="shared" ref="H69:H100" si="5">IF(E69="",1,0)</f>
        <v>1</v>
      </c>
      <c r="I69" s="118">
        <v>31520</v>
      </c>
      <c r="J69" s="116" t="s">
        <v>8</v>
      </c>
      <c r="K69" s="117">
        <v>42275</v>
      </c>
      <c r="L69" s="119" t="s">
        <v>958</v>
      </c>
    </row>
    <row r="70" spans="1:12" hidden="1">
      <c r="A70" s="116" t="s">
        <v>7</v>
      </c>
      <c r="B70" s="192" t="s">
        <v>855</v>
      </c>
      <c r="C70" s="116" t="s">
        <v>957</v>
      </c>
      <c r="D70" s="117">
        <v>42275</v>
      </c>
      <c r="E70" s="117"/>
      <c r="F70" s="495">
        <f t="shared" si="4"/>
        <v>29776.177</v>
      </c>
      <c r="G70" s="90">
        <v>1</v>
      </c>
      <c r="H70" s="152">
        <f t="shared" si="5"/>
        <v>1</v>
      </c>
      <c r="I70" s="118">
        <v>29776.177</v>
      </c>
      <c r="J70" s="116" t="s">
        <v>8</v>
      </c>
      <c r="K70" s="117">
        <v>42275</v>
      </c>
      <c r="L70" s="119" t="s">
        <v>959</v>
      </c>
    </row>
    <row r="71" spans="1:12" hidden="1">
      <c r="A71" s="116" t="s">
        <v>7</v>
      </c>
      <c r="B71" s="192" t="s">
        <v>844</v>
      </c>
      <c r="C71" s="116" t="s">
        <v>960</v>
      </c>
      <c r="D71" s="117">
        <v>42275</v>
      </c>
      <c r="E71" s="117"/>
      <c r="F71" s="495">
        <f t="shared" si="4"/>
        <v>7134.69</v>
      </c>
      <c r="G71" s="90">
        <v>1</v>
      </c>
      <c r="H71" s="152">
        <f t="shared" si="5"/>
        <v>1</v>
      </c>
      <c r="I71" s="118">
        <v>7134.69</v>
      </c>
      <c r="J71" s="116" t="s">
        <v>236</v>
      </c>
      <c r="K71" s="117">
        <v>42275</v>
      </c>
      <c r="L71" s="119" t="s">
        <v>961</v>
      </c>
    </row>
    <row r="72" spans="1:12" hidden="1">
      <c r="A72" s="116" t="s">
        <v>7</v>
      </c>
      <c r="B72" s="192" t="s">
        <v>844</v>
      </c>
      <c r="C72" s="116" t="s">
        <v>962</v>
      </c>
      <c r="D72" s="117">
        <v>42275</v>
      </c>
      <c r="E72" s="117"/>
      <c r="F72" s="495">
        <f t="shared" si="4"/>
        <v>7120.7430000000004</v>
      </c>
      <c r="G72" s="90">
        <v>1</v>
      </c>
      <c r="H72" s="152">
        <f t="shared" si="5"/>
        <v>1</v>
      </c>
      <c r="I72" s="118">
        <v>7120.7430000000004</v>
      </c>
      <c r="J72" s="116" t="s">
        <v>236</v>
      </c>
      <c r="K72" s="117">
        <v>42275</v>
      </c>
      <c r="L72" s="119" t="s">
        <v>963</v>
      </c>
    </row>
    <row r="73" spans="1:12" hidden="1">
      <c r="A73" s="116" t="s">
        <v>7</v>
      </c>
      <c r="B73" s="192" t="s">
        <v>839</v>
      </c>
      <c r="C73" s="116" t="s">
        <v>964</v>
      </c>
      <c r="D73" s="117">
        <v>42275</v>
      </c>
      <c r="E73" s="117"/>
      <c r="F73" s="495">
        <f t="shared" si="4"/>
        <v>485.70400000000001</v>
      </c>
      <c r="G73" s="90">
        <v>1</v>
      </c>
      <c r="H73" s="152">
        <f t="shared" si="5"/>
        <v>1</v>
      </c>
      <c r="I73" s="118">
        <v>485.70400000000001</v>
      </c>
      <c r="J73" s="116" t="s">
        <v>236</v>
      </c>
      <c r="K73" s="117">
        <v>42275</v>
      </c>
      <c r="L73" s="119" t="s">
        <v>965</v>
      </c>
    </row>
    <row r="74" spans="1:12" hidden="1">
      <c r="A74" s="116" t="s">
        <v>7</v>
      </c>
      <c r="B74" s="192" t="s">
        <v>269</v>
      </c>
      <c r="C74" s="116" t="s">
        <v>614</v>
      </c>
      <c r="D74" s="117">
        <v>42198</v>
      </c>
      <c r="E74" s="117"/>
      <c r="F74" s="495">
        <f t="shared" si="4"/>
        <v>644.072</v>
      </c>
      <c r="G74" s="90">
        <v>1</v>
      </c>
      <c r="H74" s="152">
        <f t="shared" si="5"/>
        <v>1</v>
      </c>
      <c r="I74" s="361">
        <v>644.072</v>
      </c>
      <c r="J74" s="116" t="s">
        <v>236</v>
      </c>
      <c r="K74" s="117">
        <v>42277</v>
      </c>
      <c r="L74" s="119" t="s">
        <v>615</v>
      </c>
    </row>
    <row r="75" spans="1:12" hidden="1">
      <c r="A75" s="116" t="s">
        <v>7</v>
      </c>
      <c r="B75" s="192" t="s">
        <v>543</v>
      </c>
      <c r="C75" s="116" t="s">
        <v>752</v>
      </c>
      <c r="D75" s="117">
        <v>42243</v>
      </c>
      <c r="E75" s="117"/>
      <c r="F75" s="495">
        <f t="shared" si="4"/>
        <v>12961.15</v>
      </c>
      <c r="G75" s="90">
        <v>1</v>
      </c>
      <c r="H75" s="152">
        <f t="shared" si="5"/>
        <v>1</v>
      </c>
      <c r="I75" s="118">
        <v>12961.15</v>
      </c>
      <c r="J75" s="116" t="s">
        <v>8</v>
      </c>
      <c r="K75" s="117">
        <v>42277</v>
      </c>
      <c r="L75" s="119" t="s">
        <v>753</v>
      </c>
    </row>
    <row r="76" spans="1:12" hidden="1">
      <c r="A76" s="116" t="s">
        <v>11</v>
      </c>
      <c r="B76" s="372" t="s">
        <v>183</v>
      </c>
      <c r="C76" s="116" t="s">
        <v>184</v>
      </c>
      <c r="D76" s="117">
        <v>41639</v>
      </c>
      <c r="E76" s="117">
        <v>41639</v>
      </c>
      <c r="F76" s="495">
        <f t="shared" si="4"/>
        <v>200000</v>
      </c>
      <c r="G76" s="90">
        <v>1</v>
      </c>
      <c r="H76" s="152">
        <f t="shared" si="5"/>
        <v>0</v>
      </c>
      <c r="I76" s="118">
        <v>200000</v>
      </c>
      <c r="J76" s="116" t="s">
        <v>8</v>
      </c>
      <c r="K76" s="117">
        <v>42277</v>
      </c>
      <c r="L76" s="119" t="s">
        <v>186</v>
      </c>
    </row>
    <row r="77" spans="1:12" hidden="1">
      <c r="A77" s="116" t="s">
        <v>11</v>
      </c>
      <c r="B77" s="192" t="s">
        <v>438</v>
      </c>
      <c r="C77" s="116" t="s">
        <v>612</v>
      </c>
      <c r="D77" s="117">
        <v>42198</v>
      </c>
      <c r="E77" s="117"/>
      <c r="F77" s="495">
        <f t="shared" si="4"/>
        <v>3859.15</v>
      </c>
      <c r="G77" s="90">
        <v>1</v>
      </c>
      <c r="H77" s="152">
        <f t="shared" si="5"/>
        <v>1</v>
      </c>
      <c r="I77" s="361">
        <v>3859.15</v>
      </c>
      <c r="J77" s="116" t="s">
        <v>8</v>
      </c>
      <c r="K77" s="117">
        <v>42277</v>
      </c>
      <c r="L77" s="119" t="s">
        <v>613</v>
      </c>
    </row>
    <row r="78" spans="1:12" hidden="1">
      <c r="A78" s="116" t="s">
        <v>11</v>
      </c>
      <c r="B78" s="192" t="s">
        <v>437</v>
      </c>
      <c r="C78" s="116" t="s">
        <v>616</v>
      </c>
      <c r="D78" s="117">
        <v>42198</v>
      </c>
      <c r="E78" s="117"/>
      <c r="F78" s="495">
        <f t="shared" si="4"/>
        <v>1869.6769999999999</v>
      </c>
      <c r="G78" s="90">
        <v>1</v>
      </c>
      <c r="H78" s="152">
        <f t="shared" si="5"/>
        <v>1</v>
      </c>
      <c r="I78" s="361">
        <v>1869.6769999999999</v>
      </c>
      <c r="J78" s="116" t="s">
        <v>8</v>
      </c>
      <c r="K78" s="117">
        <v>42277</v>
      </c>
      <c r="L78" s="119" t="s">
        <v>617</v>
      </c>
    </row>
    <row r="79" spans="1:12" hidden="1">
      <c r="A79" s="116" t="s">
        <v>7</v>
      </c>
      <c r="B79" s="192" t="s">
        <v>543</v>
      </c>
      <c r="C79" s="116" t="s">
        <v>904</v>
      </c>
      <c r="D79" s="117">
        <v>42275</v>
      </c>
      <c r="E79" s="117"/>
      <c r="F79" s="495">
        <f t="shared" si="4"/>
        <v>13807.35</v>
      </c>
      <c r="G79" s="90">
        <v>1</v>
      </c>
      <c r="H79" s="152">
        <f t="shared" si="5"/>
        <v>1</v>
      </c>
      <c r="I79" s="118">
        <v>13807.35</v>
      </c>
      <c r="J79" s="116" t="s">
        <v>8</v>
      </c>
      <c r="K79" s="117">
        <v>42277</v>
      </c>
      <c r="L79" s="119" t="s">
        <v>905</v>
      </c>
    </row>
    <row r="80" spans="1:12" hidden="1">
      <c r="A80" s="116" t="s">
        <v>11</v>
      </c>
      <c r="B80" s="192" t="s">
        <v>919</v>
      </c>
      <c r="C80" s="116" t="s">
        <v>920</v>
      </c>
      <c r="D80" s="117">
        <v>42275</v>
      </c>
      <c r="E80" s="117"/>
      <c r="F80" s="495">
        <f t="shared" si="4"/>
        <v>673.79100000000005</v>
      </c>
      <c r="G80" s="90">
        <v>1</v>
      </c>
      <c r="H80" s="152">
        <f t="shared" si="5"/>
        <v>1</v>
      </c>
      <c r="I80" s="118">
        <v>673.79100000000005</v>
      </c>
      <c r="J80" s="116" t="s">
        <v>8</v>
      </c>
      <c r="K80" s="117">
        <v>42277</v>
      </c>
      <c r="L80" s="119" t="s">
        <v>921</v>
      </c>
    </row>
    <row r="81" spans="1:12" hidden="1">
      <c r="A81" s="116" t="s">
        <v>11</v>
      </c>
      <c r="B81" s="192" t="s">
        <v>230</v>
      </c>
      <c r="C81" s="116" t="s">
        <v>937</v>
      </c>
      <c r="D81" s="117">
        <v>42275</v>
      </c>
      <c r="E81" s="117"/>
      <c r="F81" s="495">
        <f t="shared" si="4"/>
        <v>201.1</v>
      </c>
      <c r="G81" s="90">
        <v>1</v>
      </c>
      <c r="H81" s="152">
        <f t="shared" si="5"/>
        <v>1</v>
      </c>
      <c r="I81" s="118">
        <v>201.1</v>
      </c>
      <c r="J81" s="116" t="s">
        <v>8</v>
      </c>
      <c r="K81" s="117">
        <v>42277</v>
      </c>
      <c r="L81" s="119" t="s">
        <v>938</v>
      </c>
    </row>
    <row r="82" spans="1:12" hidden="1">
      <c r="A82" s="116" t="s">
        <v>7</v>
      </c>
      <c r="B82" s="192" t="s">
        <v>521</v>
      </c>
      <c r="C82" s="116" t="s">
        <v>756</v>
      </c>
      <c r="D82" s="117">
        <v>42243</v>
      </c>
      <c r="E82" s="117"/>
      <c r="F82" s="495">
        <f t="shared" si="4"/>
        <v>1342.9490000000001</v>
      </c>
      <c r="G82" s="90">
        <v>1</v>
      </c>
      <c r="H82" s="152">
        <f t="shared" si="5"/>
        <v>1</v>
      </c>
      <c r="I82" s="118">
        <v>1342.9490000000001</v>
      </c>
      <c r="J82" s="116" t="s">
        <v>236</v>
      </c>
      <c r="K82" s="117">
        <v>42292</v>
      </c>
      <c r="L82" s="119" t="s">
        <v>757</v>
      </c>
    </row>
    <row r="83" spans="1:12" hidden="1">
      <c r="A83" s="116" t="s">
        <v>11</v>
      </c>
      <c r="B83" s="192" t="s">
        <v>727</v>
      </c>
      <c r="C83" s="116" t="s">
        <v>127</v>
      </c>
      <c r="D83" s="117">
        <v>42233</v>
      </c>
      <c r="E83" s="117">
        <v>42233</v>
      </c>
      <c r="F83" s="495">
        <f t="shared" si="4"/>
        <v>25808.585999999999</v>
      </c>
      <c r="G83" s="90">
        <v>1</v>
      </c>
      <c r="H83" s="152">
        <f t="shared" si="5"/>
        <v>0</v>
      </c>
      <c r="I83" s="118">
        <v>25808.585999999999</v>
      </c>
      <c r="J83" s="116" t="s">
        <v>8</v>
      </c>
      <c r="K83" s="117">
        <v>42292</v>
      </c>
      <c r="L83" s="119" t="s">
        <v>728</v>
      </c>
    </row>
    <row r="84" spans="1:12" hidden="1">
      <c r="A84" s="116" t="s">
        <v>11</v>
      </c>
      <c r="B84" s="192" t="s">
        <v>736</v>
      </c>
      <c r="C84" s="116" t="s">
        <v>127</v>
      </c>
      <c r="D84" s="117">
        <v>42249</v>
      </c>
      <c r="E84" s="117">
        <v>42262</v>
      </c>
      <c r="F84" s="495">
        <f t="shared" si="4"/>
        <v>14775</v>
      </c>
      <c r="G84" s="90">
        <v>1</v>
      </c>
      <c r="H84" s="152">
        <f t="shared" si="5"/>
        <v>0</v>
      </c>
      <c r="I84" s="118">
        <v>14775</v>
      </c>
      <c r="J84" s="116" t="s">
        <v>8</v>
      </c>
      <c r="K84" s="117">
        <v>42292</v>
      </c>
      <c r="L84" s="119" t="s">
        <v>737</v>
      </c>
    </row>
    <row r="85" spans="1:12" hidden="1">
      <c r="A85" s="116" t="s">
        <v>11</v>
      </c>
      <c r="B85" s="192" t="s">
        <v>567</v>
      </c>
      <c r="C85" s="116" t="s">
        <v>914</v>
      </c>
      <c r="D85" s="117">
        <v>42275</v>
      </c>
      <c r="E85" s="117"/>
      <c r="F85" s="495">
        <f t="shared" si="4"/>
        <v>119.21599999999999</v>
      </c>
      <c r="G85" s="90">
        <v>1</v>
      </c>
      <c r="H85" s="152">
        <f t="shared" si="5"/>
        <v>1</v>
      </c>
      <c r="I85" s="118">
        <v>119.21599999999999</v>
      </c>
      <c r="J85" s="116" t="s">
        <v>8</v>
      </c>
      <c r="K85" s="117">
        <v>42292</v>
      </c>
      <c r="L85" s="119" t="s">
        <v>915</v>
      </c>
    </row>
    <row r="86" spans="1:12" hidden="1">
      <c r="A86" s="116" t="s">
        <v>11</v>
      </c>
      <c r="B86" s="192" t="s">
        <v>166</v>
      </c>
      <c r="C86" s="116" t="s">
        <v>823</v>
      </c>
      <c r="D86" s="117">
        <v>42244</v>
      </c>
      <c r="E86" s="117">
        <v>42251</v>
      </c>
      <c r="F86" s="495">
        <f t="shared" si="4"/>
        <v>1022.152</v>
      </c>
      <c r="G86" s="90">
        <v>1</v>
      </c>
      <c r="H86" s="152">
        <f t="shared" si="5"/>
        <v>0</v>
      </c>
      <c r="I86" s="118">
        <v>1022.152</v>
      </c>
      <c r="J86" s="116" t="s">
        <v>8</v>
      </c>
      <c r="K86" s="117">
        <v>42308</v>
      </c>
      <c r="L86" s="119" t="s">
        <v>824</v>
      </c>
    </row>
    <row r="87" spans="1:12" hidden="1">
      <c r="A87" s="116" t="s">
        <v>7</v>
      </c>
      <c r="B87" s="192" t="s">
        <v>249</v>
      </c>
      <c r="C87" s="116" t="s">
        <v>902</v>
      </c>
      <c r="D87" s="117">
        <v>42275</v>
      </c>
      <c r="E87" s="117"/>
      <c r="F87" s="495">
        <f t="shared" si="4"/>
        <v>187.00299999999999</v>
      </c>
      <c r="G87" s="90">
        <v>1</v>
      </c>
      <c r="H87" s="152">
        <f t="shared" si="5"/>
        <v>1</v>
      </c>
      <c r="I87" s="118">
        <v>187.00299999999999</v>
      </c>
      <c r="J87" s="116" t="s">
        <v>236</v>
      </c>
      <c r="K87" s="117">
        <v>42308</v>
      </c>
      <c r="L87" s="119" t="s">
        <v>903</v>
      </c>
    </row>
    <row r="88" spans="1:12" hidden="1">
      <c r="A88" s="116" t="s">
        <v>11</v>
      </c>
      <c r="B88" s="192" t="s">
        <v>422</v>
      </c>
      <c r="C88" s="116" t="s">
        <v>866</v>
      </c>
      <c r="D88" s="117">
        <v>42275</v>
      </c>
      <c r="E88" s="117"/>
      <c r="F88" s="495">
        <f t="shared" si="4"/>
        <v>713.46500000000003</v>
      </c>
      <c r="G88" s="90">
        <v>1</v>
      </c>
      <c r="H88" s="152">
        <f t="shared" si="5"/>
        <v>1</v>
      </c>
      <c r="I88" s="118">
        <v>713.46500000000003</v>
      </c>
      <c r="J88" s="116" t="s">
        <v>8</v>
      </c>
      <c r="K88" s="117">
        <v>42308</v>
      </c>
      <c r="L88" s="119" t="s">
        <v>932</v>
      </c>
    </row>
    <row r="89" spans="1:12" hidden="1">
      <c r="A89" s="116" t="s">
        <v>7</v>
      </c>
      <c r="B89" s="192" t="s">
        <v>954</v>
      </c>
      <c r="C89" s="116" t="s">
        <v>955</v>
      </c>
      <c r="D89" s="117">
        <v>42275</v>
      </c>
      <c r="E89" s="117"/>
      <c r="F89" s="495">
        <f t="shared" si="4"/>
        <v>1121.7909999999999</v>
      </c>
      <c r="G89" s="90">
        <v>1</v>
      </c>
      <c r="H89" s="152">
        <f t="shared" si="5"/>
        <v>1</v>
      </c>
      <c r="I89" s="118">
        <v>1121.7909999999999</v>
      </c>
      <c r="J89" s="116" t="s">
        <v>236</v>
      </c>
      <c r="K89" s="117">
        <v>42308</v>
      </c>
      <c r="L89" s="119" t="s">
        <v>956</v>
      </c>
    </row>
    <row r="90" spans="1:12" hidden="1">
      <c r="A90" s="116" t="s">
        <v>7</v>
      </c>
      <c r="B90" s="192" t="s">
        <v>521</v>
      </c>
      <c r="C90" s="116" t="s">
        <v>892</v>
      </c>
      <c r="D90" s="117">
        <v>42275</v>
      </c>
      <c r="E90" s="117"/>
      <c r="F90" s="495">
        <f t="shared" si="4"/>
        <v>3379.239</v>
      </c>
      <c r="G90" s="90">
        <v>1</v>
      </c>
      <c r="H90" s="152">
        <f t="shared" si="5"/>
        <v>1</v>
      </c>
      <c r="I90" s="118">
        <v>3379.239</v>
      </c>
      <c r="J90" s="116" t="s">
        <v>236</v>
      </c>
      <c r="K90" s="117">
        <v>42323</v>
      </c>
      <c r="L90" s="119" t="s">
        <v>893</v>
      </c>
    </row>
    <row r="91" spans="1:12" hidden="1">
      <c r="A91" s="116" t="s">
        <v>11</v>
      </c>
      <c r="B91" s="192" t="s">
        <v>841</v>
      </c>
      <c r="C91" s="116" t="s">
        <v>896</v>
      </c>
      <c r="D91" s="117">
        <v>42275</v>
      </c>
      <c r="E91" s="117"/>
      <c r="F91" s="495">
        <f t="shared" si="4"/>
        <v>132.40899999999999</v>
      </c>
      <c r="G91" s="90">
        <v>1</v>
      </c>
      <c r="H91" s="152">
        <f t="shared" si="5"/>
        <v>1</v>
      </c>
      <c r="I91" s="118">
        <v>132.40899999999999</v>
      </c>
      <c r="J91" s="116" t="s">
        <v>8</v>
      </c>
      <c r="K91" s="117">
        <v>42323</v>
      </c>
      <c r="L91" s="119" t="s">
        <v>897</v>
      </c>
    </row>
    <row r="92" spans="1:12">
      <c r="A92" s="116" t="s">
        <v>11</v>
      </c>
      <c r="B92" s="192" t="s">
        <v>250</v>
      </c>
      <c r="C92" s="116" t="s">
        <v>924</v>
      </c>
      <c r="D92" s="117">
        <v>42275</v>
      </c>
      <c r="E92" s="117"/>
      <c r="F92" s="495">
        <f t="shared" si="4"/>
        <v>219.85300000000001</v>
      </c>
      <c r="G92" s="90">
        <v>1</v>
      </c>
      <c r="H92" s="152">
        <f t="shared" si="5"/>
        <v>1</v>
      </c>
      <c r="I92" s="118">
        <v>219.85300000000001</v>
      </c>
      <c r="J92" s="116" t="s">
        <v>8</v>
      </c>
      <c r="K92" s="117">
        <v>42323</v>
      </c>
      <c r="L92" s="119" t="s">
        <v>925</v>
      </c>
    </row>
    <row r="93" spans="1:12" hidden="1">
      <c r="A93" s="116" t="s">
        <v>11</v>
      </c>
      <c r="B93" s="192" t="s">
        <v>657</v>
      </c>
      <c r="C93" s="116" t="s">
        <v>945</v>
      </c>
      <c r="D93" s="117">
        <v>42275</v>
      </c>
      <c r="E93" s="117"/>
      <c r="F93" s="495">
        <f t="shared" si="4"/>
        <v>171.34299999999999</v>
      </c>
      <c r="G93" s="90">
        <v>1</v>
      </c>
      <c r="H93" s="152">
        <f t="shared" si="5"/>
        <v>1</v>
      </c>
      <c r="I93" s="118">
        <v>171.34299999999999</v>
      </c>
      <c r="J93" s="116" t="s">
        <v>8</v>
      </c>
      <c r="K93" s="117">
        <v>42323</v>
      </c>
      <c r="L93" s="119" t="s">
        <v>946</v>
      </c>
    </row>
    <row r="94" spans="1:12" hidden="1">
      <c r="A94" s="116" t="s">
        <v>11</v>
      </c>
      <c r="B94" s="192" t="s">
        <v>438</v>
      </c>
      <c r="C94" s="116" t="s">
        <v>758</v>
      </c>
      <c r="D94" s="117">
        <v>42243</v>
      </c>
      <c r="E94" s="117">
        <v>42265</v>
      </c>
      <c r="F94" s="495">
        <f t="shared" si="4"/>
        <v>2315.7040000000002</v>
      </c>
      <c r="G94" s="90">
        <v>1</v>
      </c>
      <c r="H94" s="152">
        <f t="shared" si="5"/>
        <v>0</v>
      </c>
      <c r="I94" s="118">
        <v>2315.7040000000002</v>
      </c>
      <c r="J94" s="116" t="s">
        <v>8</v>
      </c>
      <c r="K94" s="117">
        <v>42328</v>
      </c>
      <c r="L94" s="119" t="s">
        <v>759</v>
      </c>
    </row>
    <row r="95" spans="1:12" hidden="1">
      <c r="A95" s="116" t="s">
        <v>11</v>
      </c>
      <c r="B95" s="192" t="s">
        <v>76</v>
      </c>
      <c r="C95" s="116" t="s">
        <v>894</v>
      </c>
      <c r="D95" s="117">
        <v>42275</v>
      </c>
      <c r="E95" s="117"/>
      <c r="F95" s="495">
        <f t="shared" si="4"/>
        <v>2612.7310000000002</v>
      </c>
      <c r="G95" s="90">
        <v>1</v>
      </c>
      <c r="H95" s="152">
        <f t="shared" si="5"/>
        <v>1</v>
      </c>
      <c r="I95" s="118">
        <v>2612.7310000000002</v>
      </c>
      <c r="J95" s="116" t="s">
        <v>8</v>
      </c>
      <c r="K95" s="117">
        <v>42328</v>
      </c>
      <c r="L95" s="119" t="s">
        <v>895</v>
      </c>
    </row>
    <row r="96" spans="1:12" hidden="1">
      <c r="A96" s="116" t="s">
        <v>11</v>
      </c>
      <c r="B96" s="192" t="s">
        <v>736</v>
      </c>
      <c r="C96" s="116" t="s">
        <v>127</v>
      </c>
      <c r="D96" s="117">
        <v>42249</v>
      </c>
      <c r="E96" s="117">
        <v>42262</v>
      </c>
      <c r="F96" s="495">
        <f t="shared" si="4"/>
        <v>14775</v>
      </c>
      <c r="G96" s="90">
        <v>1</v>
      </c>
      <c r="H96" s="152">
        <f t="shared" si="5"/>
        <v>0</v>
      </c>
      <c r="I96" s="118">
        <v>14775</v>
      </c>
      <c r="J96" s="116" t="s">
        <v>8</v>
      </c>
      <c r="K96" s="117">
        <v>42338</v>
      </c>
      <c r="L96" s="119" t="s">
        <v>738</v>
      </c>
    </row>
    <row r="97" spans="1:12" hidden="1">
      <c r="A97" s="116" t="s">
        <v>11</v>
      </c>
      <c r="B97" s="192" t="s">
        <v>166</v>
      </c>
      <c r="C97" s="116" t="s">
        <v>886</v>
      </c>
      <c r="D97" s="117">
        <v>42275</v>
      </c>
      <c r="E97" s="117"/>
      <c r="F97" s="495">
        <f t="shared" si="4"/>
        <v>2289.1120000000001</v>
      </c>
      <c r="G97" s="90">
        <v>1</v>
      </c>
      <c r="H97" s="152">
        <f t="shared" si="5"/>
        <v>1</v>
      </c>
      <c r="I97" s="118">
        <v>2289.1120000000001</v>
      </c>
      <c r="J97" s="116" t="s">
        <v>8</v>
      </c>
      <c r="K97" s="117">
        <v>42338</v>
      </c>
      <c r="L97" s="119" t="s">
        <v>887</v>
      </c>
    </row>
    <row r="98" spans="1:12" hidden="1">
      <c r="A98" s="116" t="s">
        <v>7</v>
      </c>
      <c r="B98" s="192" t="s">
        <v>259</v>
      </c>
      <c r="C98" s="116" t="s">
        <v>900</v>
      </c>
      <c r="D98" s="117">
        <v>42275</v>
      </c>
      <c r="E98" s="117"/>
      <c r="F98" s="495">
        <f t="shared" si="4"/>
        <v>206.41</v>
      </c>
      <c r="G98" s="90">
        <v>1</v>
      </c>
      <c r="H98" s="152">
        <f t="shared" si="5"/>
        <v>1</v>
      </c>
      <c r="I98" s="118">
        <v>206.41</v>
      </c>
      <c r="J98" s="116" t="s">
        <v>236</v>
      </c>
      <c r="K98" s="117">
        <v>42338</v>
      </c>
      <c r="L98" s="119" t="s">
        <v>901</v>
      </c>
    </row>
    <row r="99" spans="1:12" hidden="1">
      <c r="A99" s="116" t="s">
        <v>11</v>
      </c>
      <c r="B99" s="192" t="s">
        <v>916</v>
      </c>
      <c r="C99" s="116" t="s">
        <v>917</v>
      </c>
      <c r="D99" s="117">
        <v>42275</v>
      </c>
      <c r="E99" s="117"/>
      <c r="F99" s="495">
        <f t="shared" si="4"/>
        <v>520.90200000000004</v>
      </c>
      <c r="G99" s="90">
        <v>1</v>
      </c>
      <c r="H99" s="152">
        <f t="shared" si="5"/>
        <v>1</v>
      </c>
      <c r="I99" s="118">
        <v>520.90200000000004</v>
      </c>
      <c r="J99" s="116" t="s">
        <v>8</v>
      </c>
      <c r="K99" s="117">
        <v>42338</v>
      </c>
      <c r="L99" s="119" t="s">
        <v>918</v>
      </c>
    </row>
    <row r="100" spans="1:12" hidden="1">
      <c r="A100" s="116" t="s">
        <v>11</v>
      </c>
      <c r="B100" s="192" t="s">
        <v>10</v>
      </c>
      <c r="C100" s="116" t="s">
        <v>890</v>
      </c>
      <c r="D100" s="117">
        <v>42275</v>
      </c>
      <c r="E100" s="117"/>
      <c r="F100" s="495">
        <f t="shared" si="4"/>
        <v>3795.4279999999999</v>
      </c>
      <c r="G100" s="90">
        <v>1</v>
      </c>
      <c r="H100" s="152">
        <f t="shared" si="5"/>
        <v>1</v>
      </c>
      <c r="I100" s="118">
        <v>3795.4279999999999</v>
      </c>
      <c r="J100" s="116" t="s">
        <v>8</v>
      </c>
      <c r="K100" s="117">
        <v>42353</v>
      </c>
      <c r="L100" s="119" t="s">
        <v>891</v>
      </c>
    </row>
    <row r="101" spans="1:12" hidden="1">
      <c r="A101" s="116" t="s">
        <v>11</v>
      </c>
      <c r="B101" s="192" t="s">
        <v>840</v>
      </c>
      <c r="C101" s="116" t="s">
        <v>930</v>
      </c>
      <c r="D101" s="117">
        <v>42275</v>
      </c>
      <c r="E101" s="117"/>
      <c r="F101" s="495">
        <f t="shared" ref="F101:F111" si="6">SUM(I101*G101)</f>
        <v>721.84</v>
      </c>
      <c r="G101" s="90">
        <v>1</v>
      </c>
      <c r="H101" s="152">
        <f t="shared" ref="H101:H111" si="7">IF(E101="",1,0)</f>
        <v>1</v>
      </c>
      <c r="I101" s="118">
        <v>721.84</v>
      </c>
      <c r="J101" s="116" t="s">
        <v>8</v>
      </c>
      <c r="K101" s="117">
        <v>42353</v>
      </c>
      <c r="L101" s="119" t="s">
        <v>931</v>
      </c>
    </row>
    <row r="102" spans="1:12" hidden="1">
      <c r="A102" s="116" t="s">
        <v>11</v>
      </c>
      <c r="B102" s="372" t="s">
        <v>183</v>
      </c>
      <c r="C102" s="116" t="s">
        <v>184</v>
      </c>
      <c r="D102" s="117">
        <v>41639</v>
      </c>
      <c r="E102" s="117">
        <v>41639</v>
      </c>
      <c r="F102" s="495">
        <f t="shared" si="6"/>
        <v>200000</v>
      </c>
      <c r="G102" s="90">
        <v>1</v>
      </c>
      <c r="H102" s="152">
        <f t="shared" si="7"/>
        <v>0</v>
      </c>
      <c r="I102" s="118">
        <v>200000</v>
      </c>
      <c r="J102" s="116" t="s">
        <v>8</v>
      </c>
      <c r="K102" s="117">
        <v>42369</v>
      </c>
      <c r="L102" s="119" t="s">
        <v>187</v>
      </c>
    </row>
    <row r="103" spans="1:12" hidden="1">
      <c r="A103" s="116" t="s">
        <v>11</v>
      </c>
      <c r="B103" s="372" t="s">
        <v>183</v>
      </c>
      <c r="C103" s="116" t="s">
        <v>184</v>
      </c>
      <c r="D103" s="117">
        <v>41639</v>
      </c>
      <c r="E103" s="117">
        <v>41639</v>
      </c>
      <c r="F103" s="495">
        <f t="shared" si="6"/>
        <v>200000</v>
      </c>
      <c r="G103" s="90">
        <v>1</v>
      </c>
      <c r="H103" s="152">
        <f t="shared" si="7"/>
        <v>0</v>
      </c>
      <c r="I103" s="118">
        <v>200000</v>
      </c>
      <c r="J103" s="116" t="s">
        <v>8</v>
      </c>
      <c r="K103" s="117">
        <v>42460</v>
      </c>
      <c r="L103" s="119" t="s">
        <v>188</v>
      </c>
    </row>
    <row r="104" spans="1:12" hidden="1">
      <c r="A104" s="116" t="s">
        <v>11</v>
      </c>
      <c r="B104" s="372" t="s">
        <v>183</v>
      </c>
      <c r="C104" s="116" t="s">
        <v>184</v>
      </c>
      <c r="D104" s="117">
        <v>41639</v>
      </c>
      <c r="E104" s="117">
        <v>41639</v>
      </c>
      <c r="F104" s="495">
        <f t="shared" si="6"/>
        <v>200000</v>
      </c>
      <c r="G104" s="90">
        <v>1</v>
      </c>
      <c r="H104" s="152">
        <f t="shared" si="7"/>
        <v>0</v>
      </c>
      <c r="I104" s="118">
        <v>200000</v>
      </c>
      <c r="J104" s="116" t="s">
        <v>8</v>
      </c>
      <c r="K104" s="117">
        <v>42551</v>
      </c>
      <c r="L104" s="119" t="s">
        <v>189</v>
      </c>
    </row>
    <row r="105" spans="1:12" hidden="1">
      <c r="A105" s="116" t="s">
        <v>11</v>
      </c>
      <c r="B105" s="372" t="s">
        <v>183</v>
      </c>
      <c r="C105" s="116" t="s">
        <v>184</v>
      </c>
      <c r="D105" s="117">
        <v>41639</v>
      </c>
      <c r="E105" s="117">
        <v>41639</v>
      </c>
      <c r="F105" s="495">
        <f t="shared" si="6"/>
        <v>200000</v>
      </c>
      <c r="G105" s="90">
        <v>1</v>
      </c>
      <c r="H105" s="152">
        <f t="shared" si="7"/>
        <v>0</v>
      </c>
      <c r="I105" s="118">
        <v>200000</v>
      </c>
      <c r="J105" s="116" t="s">
        <v>8</v>
      </c>
      <c r="K105" s="117">
        <v>42643</v>
      </c>
      <c r="L105" s="119" t="s">
        <v>190</v>
      </c>
    </row>
    <row r="106" spans="1:12" hidden="1">
      <c r="A106" s="116" t="s">
        <v>11</v>
      </c>
      <c r="B106" s="372" t="s">
        <v>183</v>
      </c>
      <c r="C106" s="116" t="s">
        <v>184</v>
      </c>
      <c r="D106" s="117">
        <v>41639</v>
      </c>
      <c r="E106" s="117">
        <v>41639</v>
      </c>
      <c r="F106" s="495">
        <f t="shared" si="6"/>
        <v>200000</v>
      </c>
      <c r="G106" s="90">
        <v>1</v>
      </c>
      <c r="H106" s="152">
        <f t="shared" si="7"/>
        <v>0</v>
      </c>
      <c r="I106" s="118">
        <v>200000</v>
      </c>
      <c r="J106" s="116" t="s">
        <v>8</v>
      </c>
      <c r="K106" s="117">
        <v>42735</v>
      </c>
      <c r="L106" s="119" t="s">
        <v>191</v>
      </c>
    </row>
    <row r="107" spans="1:12" hidden="1">
      <c r="A107" s="116" t="s">
        <v>11</v>
      </c>
      <c r="B107" s="372" t="s">
        <v>183</v>
      </c>
      <c r="C107" s="116" t="s">
        <v>184</v>
      </c>
      <c r="D107" s="117">
        <v>41639</v>
      </c>
      <c r="E107" s="117">
        <v>41639</v>
      </c>
      <c r="F107" s="495">
        <f t="shared" si="6"/>
        <v>200000</v>
      </c>
      <c r="G107" s="90">
        <v>1</v>
      </c>
      <c r="H107" s="152">
        <f t="shared" si="7"/>
        <v>0</v>
      </c>
      <c r="I107" s="118">
        <v>200000</v>
      </c>
      <c r="J107" s="116" t="s">
        <v>8</v>
      </c>
      <c r="K107" s="117">
        <v>42825</v>
      </c>
      <c r="L107" s="119" t="s">
        <v>192</v>
      </c>
    </row>
    <row r="108" spans="1:12" hidden="1">
      <c r="A108" s="116" t="s">
        <v>11</v>
      </c>
      <c r="B108" s="372" t="s">
        <v>183</v>
      </c>
      <c r="C108" s="116" t="s">
        <v>184</v>
      </c>
      <c r="D108" s="117">
        <v>41639</v>
      </c>
      <c r="E108" s="117">
        <v>41639</v>
      </c>
      <c r="F108" s="495">
        <f t="shared" si="6"/>
        <v>200000</v>
      </c>
      <c r="G108" s="90">
        <v>1</v>
      </c>
      <c r="H108" s="152">
        <f t="shared" si="7"/>
        <v>0</v>
      </c>
      <c r="I108" s="118">
        <v>200000</v>
      </c>
      <c r="J108" s="116" t="s">
        <v>8</v>
      </c>
      <c r="K108" s="117">
        <v>42916</v>
      </c>
      <c r="L108" s="119" t="s">
        <v>193</v>
      </c>
    </row>
    <row r="109" spans="1:12" hidden="1">
      <c r="A109" s="116" t="s">
        <v>11</v>
      </c>
      <c r="B109" s="372" t="s">
        <v>183</v>
      </c>
      <c r="C109" s="116" t="s">
        <v>184</v>
      </c>
      <c r="D109" s="117">
        <v>41639</v>
      </c>
      <c r="E109" s="117">
        <v>41639</v>
      </c>
      <c r="F109" s="495">
        <f t="shared" si="6"/>
        <v>200000</v>
      </c>
      <c r="G109" s="90">
        <v>1</v>
      </c>
      <c r="H109" s="152">
        <f t="shared" si="7"/>
        <v>0</v>
      </c>
      <c r="I109" s="118">
        <v>200000</v>
      </c>
      <c r="J109" s="116" t="s">
        <v>8</v>
      </c>
      <c r="K109" s="117">
        <v>43008</v>
      </c>
      <c r="L109" s="119" t="s">
        <v>194</v>
      </c>
    </row>
    <row r="110" spans="1:12" hidden="1">
      <c r="A110" s="116" t="s">
        <v>11</v>
      </c>
      <c r="B110" s="372" t="s">
        <v>183</v>
      </c>
      <c r="C110" s="116" t="s">
        <v>184</v>
      </c>
      <c r="D110" s="117">
        <v>41639</v>
      </c>
      <c r="E110" s="117">
        <v>41639</v>
      </c>
      <c r="F110" s="495">
        <f t="shared" si="6"/>
        <v>200000</v>
      </c>
      <c r="G110" s="90">
        <v>1</v>
      </c>
      <c r="H110" s="152">
        <f t="shared" si="7"/>
        <v>0</v>
      </c>
      <c r="I110" s="118">
        <v>200000</v>
      </c>
      <c r="J110" s="116" t="s">
        <v>8</v>
      </c>
      <c r="K110" s="117">
        <v>43100</v>
      </c>
      <c r="L110" s="119" t="s">
        <v>195</v>
      </c>
    </row>
    <row r="111" spans="1:12" hidden="1">
      <c r="A111" s="116" t="s">
        <v>11</v>
      </c>
      <c r="B111" s="372" t="s">
        <v>183</v>
      </c>
      <c r="C111" s="116" t="s">
        <v>184</v>
      </c>
      <c r="D111" s="117">
        <v>41639</v>
      </c>
      <c r="E111" s="117">
        <v>41639</v>
      </c>
      <c r="F111" s="495">
        <f t="shared" si="6"/>
        <v>123090</v>
      </c>
      <c r="G111" s="90">
        <v>1</v>
      </c>
      <c r="H111" s="152">
        <f t="shared" si="7"/>
        <v>0</v>
      </c>
      <c r="I111" s="118">
        <v>123090</v>
      </c>
      <c r="J111" s="116" t="s">
        <v>8</v>
      </c>
      <c r="K111" s="117">
        <v>43190</v>
      </c>
      <c r="L111" s="119" t="s">
        <v>196</v>
      </c>
    </row>
  </sheetData>
  <autoFilter ref="A4:L111">
    <filterColumn colId="0"/>
    <filterColumn colId="1">
      <filters>
        <filter val="SOCOOPEC"/>
      </filters>
    </filterColumn>
    <sortState ref="A5:L93">
      <sortCondition ref="K5:K93"/>
    </sortState>
  </autoFilter>
  <sortState ref="A5:L157">
    <sortCondition ref="K5:K157"/>
  </sortState>
  <mergeCells count="1">
    <mergeCell ref="G4:H4"/>
  </mergeCells>
  <pageMargins left="0" right="0" top="0" bottom="0" header="0" footer="0"/>
  <pageSetup paperSize="9" scale="58" fitToHeight="5" orientation="portrait" horizontalDpi="180" verticalDpi="180" r:id="rId1"/>
</worksheet>
</file>

<file path=xl/worksheets/sheet8.xml><?xml version="1.0" encoding="utf-8"?>
<worksheet xmlns="http://schemas.openxmlformats.org/spreadsheetml/2006/main" xmlns:r="http://schemas.openxmlformats.org/officeDocument/2006/relationships">
  <sheetPr codeName="Feuil10"/>
  <dimension ref="A1:L126"/>
  <sheetViews>
    <sheetView zoomScale="85" zoomScaleNormal="85" workbookViewId="0">
      <pane ySplit="4" topLeftCell="A5" activePane="bottomLeft" state="frozen"/>
      <selection activeCell="P28" sqref="P28"/>
      <selection pane="bottomLeft" activeCell="P39" sqref="P39"/>
    </sheetView>
  </sheetViews>
  <sheetFormatPr baseColWidth="10" defaultColWidth="5.85546875" defaultRowHeight="12.75"/>
  <cols>
    <col min="1" max="1" width="11" style="122" customWidth="1"/>
    <col min="2" max="2" width="34.28515625" style="122" bestFit="1" customWidth="1"/>
    <col min="3" max="3" width="23.42578125" style="153" bestFit="1" customWidth="1"/>
    <col min="4" max="4" width="14.42578125" style="154" bestFit="1" customWidth="1"/>
    <col min="5" max="5" width="16.5703125" style="154" bestFit="1" customWidth="1"/>
    <col min="6" max="6" width="11.28515625" style="122" bestFit="1" customWidth="1"/>
    <col min="7" max="7" width="2.140625" style="155" bestFit="1" customWidth="1"/>
    <col min="8" max="8" width="2.140625" style="122" bestFit="1" customWidth="1"/>
    <col min="9" max="9" width="11.28515625" style="122" bestFit="1" customWidth="1"/>
    <col min="10" max="10" width="9" style="153" bestFit="1" customWidth="1"/>
    <col min="11" max="11" width="15.28515625" style="154" bestFit="1" customWidth="1"/>
    <col min="12" max="12" width="13.28515625" style="156" bestFit="1" customWidth="1"/>
    <col min="13" max="16384" width="5.85546875" style="122"/>
  </cols>
  <sheetData>
    <row r="1" spans="1:12" ht="13.5" thickBot="1">
      <c r="A1" s="88"/>
      <c r="B1" s="88"/>
      <c r="C1" s="88"/>
      <c r="D1" s="97"/>
      <c r="E1" s="97"/>
      <c r="F1" s="108"/>
      <c r="G1" s="150"/>
      <c r="H1" s="88"/>
      <c r="I1" s="6"/>
      <c r="J1" s="89"/>
      <c r="K1" s="97"/>
      <c r="L1" s="89"/>
    </row>
    <row r="2" spans="1:12" ht="13.5" thickBot="1">
      <c r="A2" s="88"/>
      <c r="B2" s="112" t="s">
        <v>30</v>
      </c>
      <c r="C2" s="88"/>
      <c r="D2" s="97"/>
      <c r="E2" s="97"/>
      <c r="F2" s="108"/>
      <c r="G2" s="150"/>
      <c r="H2" s="88"/>
      <c r="I2" s="6"/>
      <c r="J2" s="89"/>
      <c r="K2" s="97"/>
      <c r="L2" s="89"/>
    </row>
    <row r="3" spans="1:12">
      <c r="A3" s="121"/>
      <c r="B3" s="121"/>
      <c r="C3" s="88"/>
      <c r="D3" s="97"/>
      <c r="E3" s="97"/>
      <c r="F3" s="121"/>
      <c r="G3" s="114"/>
      <c r="H3" s="121"/>
      <c r="I3" s="121"/>
      <c r="J3" s="88"/>
      <c r="K3" s="97"/>
      <c r="L3" s="89"/>
    </row>
    <row r="4" spans="1:12">
      <c r="A4" s="286" t="s">
        <v>0</v>
      </c>
      <c r="B4" s="286" t="s">
        <v>1</v>
      </c>
      <c r="C4" s="287" t="s">
        <v>2</v>
      </c>
      <c r="D4" s="286" t="s">
        <v>123</v>
      </c>
      <c r="E4" s="288" t="s">
        <v>124</v>
      </c>
      <c r="F4" s="289" t="s">
        <v>125</v>
      </c>
      <c r="G4" s="1037" t="s">
        <v>126</v>
      </c>
      <c r="H4" s="1038"/>
      <c r="I4" s="290" t="s">
        <v>3</v>
      </c>
      <c r="J4" s="287" t="s">
        <v>4</v>
      </c>
      <c r="K4" s="288" t="s">
        <v>5</v>
      </c>
      <c r="L4" s="409" t="s">
        <v>6</v>
      </c>
    </row>
    <row r="5" spans="1:12">
      <c r="A5" s="116" t="s">
        <v>7</v>
      </c>
      <c r="B5" s="192" t="s">
        <v>423</v>
      </c>
      <c r="C5" s="116" t="s">
        <v>424</v>
      </c>
      <c r="D5" s="117">
        <v>42026</v>
      </c>
      <c r="E5" s="117"/>
      <c r="F5" s="191">
        <f t="shared" ref="F5:F36" si="0">SUM(I5*G5)</f>
        <v>100</v>
      </c>
      <c r="G5" s="151">
        <v>1</v>
      </c>
      <c r="H5" s="152">
        <f t="shared" ref="H5:H36" si="1">IF(E5="",1,0)</f>
        <v>1</v>
      </c>
      <c r="I5" s="362">
        <v>100</v>
      </c>
      <c r="J5" s="116" t="s">
        <v>8</v>
      </c>
      <c r="K5" s="117">
        <v>42031</v>
      </c>
      <c r="L5" s="119" t="s">
        <v>425</v>
      </c>
    </row>
    <row r="6" spans="1:12">
      <c r="A6" s="116" t="s">
        <v>7</v>
      </c>
      <c r="B6" s="192" t="s">
        <v>128</v>
      </c>
      <c r="C6" s="116" t="s">
        <v>12</v>
      </c>
      <c r="D6" s="117">
        <v>42072</v>
      </c>
      <c r="E6" s="117"/>
      <c r="F6" s="191">
        <f t="shared" si="0"/>
        <v>13947.994000000001</v>
      </c>
      <c r="G6" s="151">
        <v>1</v>
      </c>
      <c r="H6" s="152">
        <f t="shared" si="1"/>
        <v>1</v>
      </c>
      <c r="I6" s="118">
        <v>13947.994000000001</v>
      </c>
      <c r="J6" s="116" t="s">
        <v>134</v>
      </c>
      <c r="K6" s="117">
        <v>42072</v>
      </c>
      <c r="L6" s="119" t="s">
        <v>715</v>
      </c>
    </row>
    <row r="7" spans="1:12">
      <c r="A7" s="116" t="s">
        <v>7</v>
      </c>
      <c r="B7" s="192" t="s">
        <v>465</v>
      </c>
      <c r="C7" s="116" t="s">
        <v>466</v>
      </c>
      <c r="D7" s="117">
        <v>42087</v>
      </c>
      <c r="E7" s="117"/>
      <c r="F7" s="191">
        <f t="shared" si="0"/>
        <v>541.01300000000003</v>
      </c>
      <c r="G7" s="151">
        <v>1</v>
      </c>
      <c r="H7" s="152">
        <f t="shared" si="1"/>
        <v>1</v>
      </c>
      <c r="I7" s="118">
        <v>541.01300000000003</v>
      </c>
      <c r="J7" s="116" t="s">
        <v>8</v>
      </c>
      <c r="K7" s="117">
        <v>42088</v>
      </c>
      <c r="L7" s="119" t="s">
        <v>467</v>
      </c>
    </row>
    <row r="8" spans="1:12">
      <c r="A8" s="116" t="s">
        <v>7</v>
      </c>
      <c r="B8" s="192" t="s">
        <v>216</v>
      </c>
      <c r="C8" s="211" t="s">
        <v>532</v>
      </c>
      <c r="D8" s="117">
        <v>42159</v>
      </c>
      <c r="E8" s="117"/>
      <c r="F8" s="191">
        <f t="shared" si="0"/>
        <v>0</v>
      </c>
      <c r="G8" s="151">
        <v>1</v>
      </c>
      <c r="H8" s="152">
        <f t="shared" si="1"/>
        <v>1</v>
      </c>
      <c r="I8" s="118">
        <v>0</v>
      </c>
      <c r="J8" s="116" t="s">
        <v>8</v>
      </c>
      <c r="K8" s="117">
        <v>42159</v>
      </c>
      <c r="L8" s="119" t="s">
        <v>533</v>
      </c>
    </row>
    <row r="9" spans="1:12">
      <c r="A9" s="116" t="s">
        <v>7</v>
      </c>
      <c r="B9" s="192" t="s">
        <v>75</v>
      </c>
      <c r="C9" s="211" t="s">
        <v>532</v>
      </c>
      <c r="D9" s="117">
        <v>42159</v>
      </c>
      <c r="E9" s="117"/>
      <c r="F9" s="191">
        <f t="shared" si="0"/>
        <v>0</v>
      </c>
      <c r="G9" s="151">
        <v>1</v>
      </c>
      <c r="H9" s="152">
        <f t="shared" si="1"/>
        <v>1</v>
      </c>
      <c r="I9" s="118">
        <v>0</v>
      </c>
      <c r="J9" s="116" t="s">
        <v>8</v>
      </c>
      <c r="K9" s="117">
        <v>42159</v>
      </c>
      <c r="L9" s="119" t="s">
        <v>659</v>
      </c>
    </row>
    <row r="10" spans="1:12">
      <c r="A10" s="116" t="s">
        <v>7</v>
      </c>
      <c r="B10" s="192" t="s">
        <v>266</v>
      </c>
      <c r="C10" s="116" t="s">
        <v>555</v>
      </c>
      <c r="D10" s="117">
        <v>42173</v>
      </c>
      <c r="E10" s="117"/>
      <c r="F10" s="191">
        <f t="shared" si="0"/>
        <v>678.4</v>
      </c>
      <c r="G10" s="151">
        <v>1</v>
      </c>
      <c r="H10" s="152">
        <f t="shared" si="1"/>
        <v>1</v>
      </c>
      <c r="I10" s="118">
        <v>678.4</v>
      </c>
      <c r="J10" s="116" t="s">
        <v>8</v>
      </c>
      <c r="K10" s="117">
        <v>42174</v>
      </c>
      <c r="L10" s="119" t="s">
        <v>556</v>
      </c>
    </row>
    <row r="11" spans="1:12">
      <c r="A11" s="116" t="s">
        <v>7</v>
      </c>
      <c r="B11" s="192" t="s">
        <v>570</v>
      </c>
      <c r="C11" s="211" t="s">
        <v>568</v>
      </c>
      <c r="D11" s="117">
        <v>42188</v>
      </c>
      <c r="E11" s="117"/>
      <c r="F11" s="191">
        <f t="shared" si="0"/>
        <v>0</v>
      </c>
      <c r="G11" s="151">
        <v>1</v>
      </c>
      <c r="H11" s="152">
        <f t="shared" si="1"/>
        <v>1</v>
      </c>
      <c r="I11" s="118">
        <v>0</v>
      </c>
      <c r="J11" s="116" t="s">
        <v>8</v>
      </c>
      <c r="K11" s="117">
        <v>42188</v>
      </c>
      <c r="L11" s="119" t="s">
        <v>571</v>
      </c>
    </row>
    <row r="12" spans="1:12">
      <c r="A12" s="116" t="s">
        <v>7</v>
      </c>
      <c r="B12" s="192" t="s">
        <v>252</v>
      </c>
      <c r="C12" s="211" t="s">
        <v>568</v>
      </c>
      <c r="D12" s="117">
        <v>42188</v>
      </c>
      <c r="E12" s="117"/>
      <c r="F12" s="191">
        <f t="shared" si="0"/>
        <v>0</v>
      </c>
      <c r="G12" s="151">
        <v>1</v>
      </c>
      <c r="H12" s="152">
        <f t="shared" si="1"/>
        <v>1</v>
      </c>
      <c r="I12" s="118">
        <v>0</v>
      </c>
      <c r="J12" s="116" t="s">
        <v>8</v>
      </c>
      <c r="K12" s="117">
        <v>42188</v>
      </c>
      <c r="L12" s="119" t="s">
        <v>572</v>
      </c>
    </row>
    <row r="13" spans="1:12">
      <c r="A13" s="116" t="s">
        <v>7</v>
      </c>
      <c r="B13" s="192" t="s">
        <v>266</v>
      </c>
      <c r="C13" s="116" t="s">
        <v>127</v>
      </c>
      <c r="D13" s="117">
        <v>42198</v>
      </c>
      <c r="E13" s="117"/>
      <c r="F13" s="191">
        <f t="shared" si="0"/>
        <v>583</v>
      </c>
      <c r="G13" s="151">
        <v>1</v>
      </c>
      <c r="H13" s="152">
        <f t="shared" si="1"/>
        <v>1</v>
      </c>
      <c r="I13" s="118">
        <v>583</v>
      </c>
      <c r="J13" s="116" t="s">
        <v>8</v>
      </c>
      <c r="K13" s="117">
        <v>42198</v>
      </c>
      <c r="L13" s="119" t="s">
        <v>595</v>
      </c>
    </row>
    <row r="14" spans="1:12">
      <c r="A14" s="116" t="s">
        <v>7</v>
      </c>
      <c r="B14" s="192" t="s">
        <v>305</v>
      </c>
      <c r="C14" s="116" t="s">
        <v>602</v>
      </c>
      <c r="D14" s="117">
        <v>42198</v>
      </c>
      <c r="E14" s="117"/>
      <c r="F14" s="191">
        <f t="shared" si="0"/>
        <v>303.01299999999998</v>
      </c>
      <c r="G14" s="151">
        <v>1</v>
      </c>
      <c r="H14" s="152">
        <f t="shared" si="1"/>
        <v>1</v>
      </c>
      <c r="I14" s="118">
        <v>303.01299999999998</v>
      </c>
      <c r="J14" s="116" t="s">
        <v>8</v>
      </c>
      <c r="K14" s="117">
        <v>42198</v>
      </c>
      <c r="L14" s="119" t="s">
        <v>603</v>
      </c>
    </row>
    <row r="15" spans="1:12">
      <c r="A15" s="116" t="s">
        <v>7</v>
      </c>
      <c r="B15" s="192" t="s">
        <v>604</v>
      </c>
      <c r="C15" s="116" t="s">
        <v>605</v>
      </c>
      <c r="D15" s="117">
        <v>42198</v>
      </c>
      <c r="E15" s="117"/>
      <c r="F15" s="191">
        <f t="shared" si="0"/>
        <v>313.2</v>
      </c>
      <c r="G15" s="151">
        <v>1</v>
      </c>
      <c r="H15" s="152">
        <f t="shared" si="1"/>
        <v>1</v>
      </c>
      <c r="I15" s="118">
        <v>313.2</v>
      </c>
      <c r="J15" s="116" t="s">
        <v>8</v>
      </c>
      <c r="K15" s="117">
        <v>42198</v>
      </c>
      <c r="L15" s="119" t="s">
        <v>606</v>
      </c>
    </row>
    <row r="16" spans="1:12">
      <c r="A16" s="116" t="s">
        <v>11</v>
      </c>
      <c r="B16" s="192" t="s">
        <v>438</v>
      </c>
      <c r="C16" s="116" t="s">
        <v>530</v>
      </c>
      <c r="D16" s="117">
        <v>42150</v>
      </c>
      <c r="E16" s="117"/>
      <c r="F16" s="191">
        <f t="shared" si="0"/>
        <v>1887.575</v>
      </c>
      <c r="G16" s="151">
        <v>1</v>
      </c>
      <c r="H16" s="152">
        <f t="shared" si="1"/>
        <v>1</v>
      </c>
      <c r="I16" s="118">
        <v>1887.575</v>
      </c>
      <c r="J16" s="116" t="s">
        <v>8</v>
      </c>
      <c r="K16" s="117">
        <v>42216</v>
      </c>
      <c r="L16" s="119" t="s">
        <v>531</v>
      </c>
    </row>
    <row r="17" spans="1:12">
      <c r="A17" s="116" t="s">
        <v>7</v>
      </c>
      <c r="B17" s="192" t="s">
        <v>646</v>
      </c>
      <c r="C17" s="116" t="s">
        <v>647</v>
      </c>
      <c r="D17" s="117">
        <v>42221</v>
      </c>
      <c r="E17" s="117"/>
      <c r="F17" s="191">
        <f t="shared" si="0"/>
        <v>28.117000000000001</v>
      </c>
      <c r="G17" s="151">
        <v>1</v>
      </c>
      <c r="H17" s="152">
        <f t="shared" si="1"/>
        <v>1</v>
      </c>
      <c r="I17" s="118">
        <v>28.117000000000001</v>
      </c>
      <c r="J17" s="116" t="s">
        <v>8</v>
      </c>
      <c r="K17" s="117">
        <v>42221</v>
      </c>
      <c r="L17" s="119" t="s">
        <v>648</v>
      </c>
    </row>
    <row r="18" spans="1:12">
      <c r="A18" s="116" t="s">
        <v>7</v>
      </c>
      <c r="B18" s="192" t="s">
        <v>594</v>
      </c>
      <c r="C18" s="116" t="s">
        <v>649</v>
      </c>
      <c r="D18" s="117">
        <v>42221</v>
      </c>
      <c r="E18" s="117"/>
      <c r="F18" s="191">
        <f t="shared" si="0"/>
        <v>555.81500000000005</v>
      </c>
      <c r="G18" s="151">
        <v>1</v>
      </c>
      <c r="H18" s="152">
        <f t="shared" si="1"/>
        <v>1</v>
      </c>
      <c r="I18" s="118">
        <v>555.81500000000005</v>
      </c>
      <c r="J18" s="116" t="s">
        <v>8</v>
      </c>
      <c r="K18" s="117">
        <v>42221</v>
      </c>
      <c r="L18" s="119" t="s">
        <v>650</v>
      </c>
    </row>
    <row r="19" spans="1:12">
      <c r="A19" s="116" t="s">
        <v>7</v>
      </c>
      <c r="B19" s="192" t="s">
        <v>75</v>
      </c>
      <c r="C19" s="211" t="s">
        <v>632</v>
      </c>
      <c r="D19" s="117">
        <v>42221</v>
      </c>
      <c r="E19" s="117"/>
      <c r="F19" s="191">
        <f t="shared" si="0"/>
        <v>0</v>
      </c>
      <c r="G19" s="151">
        <v>1</v>
      </c>
      <c r="H19" s="152">
        <f t="shared" si="1"/>
        <v>1</v>
      </c>
      <c r="I19" s="118">
        <v>0</v>
      </c>
      <c r="J19" s="116" t="s">
        <v>8</v>
      </c>
      <c r="K19" s="117">
        <v>42221</v>
      </c>
      <c r="L19" s="119" t="s">
        <v>633</v>
      </c>
    </row>
    <row r="20" spans="1:12">
      <c r="A20" s="116" t="s">
        <v>11</v>
      </c>
      <c r="B20" s="192" t="s">
        <v>269</v>
      </c>
      <c r="C20" s="116" t="s">
        <v>528</v>
      </c>
      <c r="D20" s="117">
        <v>42143</v>
      </c>
      <c r="E20" s="117"/>
      <c r="F20" s="191">
        <f t="shared" si="0"/>
        <v>7130.3140000000003</v>
      </c>
      <c r="G20" s="151">
        <v>1</v>
      </c>
      <c r="H20" s="152">
        <f t="shared" si="1"/>
        <v>1</v>
      </c>
      <c r="I20" s="118">
        <v>7130.3140000000003</v>
      </c>
      <c r="J20" s="116" t="s">
        <v>8</v>
      </c>
      <c r="K20" s="117">
        <v>42226</v>
      </c>
      <c r="L20" s="119" t="s">
        <v>529</v>
      </c>
    </row>
    <row r="21" spans="1:12">
      <c r="A21" s="116" t="s">
        <v>7</v>
      </c>
      <c r="B21" s="192" t="s">
        <v>661</v>
      </c>
      <c r="C21" s="116" t="s">
        <v>662</v>
      </c>
      <c r="D21" s="117">
        <v>42229</v>
      </c>
      <c r="E21" s="117">
        <v>42233</v>
      </c>
      <c r="F21" s="191">
        <f t="shared" si="0"/>
        <v>42.354999999999997</v>
      </c>
      <c r="G21" s="151">
        <v>1</v>
      </c>
      <c r="H21" s="152">
        <f t="shared" si="1"/>
        <v>0</v>
      </c>
      <c r="I21" s="118">
        <v>42.354999999999997</v>
      </c>
      <c r="J21" s="116" t="s">
        <v>8</v>
      </c>
      <c r="K21" s="117">
        <v>42229</v>
      </c>
      <c r="L21" s="119" t="s">
        <v>663</v>
      </c>
    </row>
    <row r="22" spans="1:12">
      <c r="A22" s="725" t="s">
        <v>7</v>
      </c>
      <c r="B22" s="726" t="s">
        <v>464</v>
      </c>
      <c r="C22" s="725" t="s">
        <v>693</v>
      </c>
      <c r="D22" s="727">
        <v>42248</v>
      </c>
      <c r="E22" s="117"/>
      <c r="F22" s="191">
        <f t="shared" si="0"/>
        <v>369.51799999999997</v>
      </c>
      <c r="G22" s="151">
        <v>1</v>
      </c>
      <c r="H22" s="152">
        <f t="shared" si="1"/>
        <v>1</v>
      </c>
      <c r="I22" s="118">
        <v>369.51799999999997</v>
      </c>
      <c r="J22" s="116" t="s">
        <v>8</v>
      </c>
      <c r="K22" s="117">
        <v>42231</v>
      </c>
      <c r="L22" s="119" t="s">
        <v>694</v>
      </c>
    </row>
    <row r="23" spans="1:12">
      <c r="A23" s="116" t="s">
        <v>7</v>
      </c>
      <c r="B23" s="192" t="s">
        <v>631</v>
      </c>
      <c r="C23" s="211" t="s">
        <v>632</v>
      </c>
      <c r="D23" s="117">
        <v>42235</v>
      </c>
      <c r="E23" s="117"/>
      <c r="F23" s="191">
        <f t="shared" si="0"/>
        <v>0</v>
      </c>
      <c r="G23" s="151">
        <v>1</v>
      </c>
      <c r="H23" s="152">
        <f t="shared" si="1"/>
        <v>1</v>
      </c>
      <c r="I23" s="118">
        <v>0</v>
      </c>
      <c r="J23" s="116" t="s">
        <v>8</v>
      </c>
      <c r="K23" s="117">
        <v>42235</v>
      </c>
      <c r="L23" s="119" t="s">
        <v>660</v>
      </c>
    </row>
    <row r="24" spans="1:12">
      <c r="A24" s="116" t="s">
        <v>11</v>
      </c>
      <c r="B24" s="192" t="s">
        <v>249</v>
      </c>
      <c r="C24" s="116" t="s">
        <v>598</v>
      </c>
      <c r="D24" s="117">
        <v>42198</v>
      </c>
      <c r="E24" s="117"/>
      <c r="F24" s="191">
        <f t="shared" si="0"/>
        <v>238.18</v>
      </c>
      <c r="G24" s="151">
        <v>1</v>
      </c>
      <c r="H24" s="152">
        <f t="shared" si="1"/>
        <v>1</v>
      </c>
      <c r="I24" s="118">
        <v>238.18</v>
      </c>
      <c r="J24" s="116" t="s">
        <v>8</v>
      </c>
      <c r="K24" s="117">
        <v>42236</v>
      </c>
      <c r="L24" s="119" t="s">
        <v>599</v>
      </c>
    </row>
    <row r="25" spans="1:12">
      <c r="A25" s="116" t="s">
        <v>7</v>
      </c>
      <c r="B25" s="192" t="s">
        <v>521</v>
      </c>
      <c r="C25" s="116" t="s">
        <v>600</v>
      </c>
      <c r="D25" s="117">
        <v>42198</v>
      </c>
      <c r="E25" s="117"/>
      <c r="F25" s="191">
        <f t="shared" si="0"/>
        <v>5865.8069999999998</v>
      </c>
      <c r="G25" s="151">
        <v>1</v>
      </c>
      <c r="H25" s="152">
        <f t="shared" si="1"/>
        <v>1</v>
      </c>
      <c r="I25" s="118">
        <v>5865.8069999999998</v>
      </c>
      <c r="J25" s="116" t="s">
        <v>8</v>
      </c>
      <c r="K25" s="117">
        <v>42241</v>
      </c>
      <c r="L25" s="119" t="s">
        <v>601</v>
      </c>
    </row>
    <row r="26" spans="1:12">
      <c r="A26" s="725" t="s">
        <v>7</v>
      </c>
      <c r="B26" s="726" t="s">
        <v>554</v>
      </c>
      <c r="C26" s="725" t="s">
        <v>687</v>
      </c>
      <c r="D26" s="727">
        <v>42248</v>
      </c>
      <c r="E26" s="117"/>
      <c r="F26" s="191">
        <f t="shared" si="0"/>
        <v>5188.4269999999997</v>
      </c>
      <c r="G26" s="151">
        <v>1</v>
      </c>
      <c r="H26" s="152">
        <f t="shared" si="1"/>
        <v>1</v>
      </c>
      <c r="I26" s="118">
        <v>5188.4269999999997</v>
      </c>
      <c r="J26" s="116" t="s">
        <v>8</v>
      </c>
      <c r="K26" s="117">
        <v>42248</v>
      </c>
      <c r="L26" s="119" t="s">
        <v>688</v>
      </c>
    </row>
    <row r="27" spans="1:12">
      <c r="A27" s="725" t="s">
        <v>7</v>
      </c>
      <c r="B27" s="726" t="s">
        <v>695</v>
      </c>
      <c r="C27" s="725" t="s">
        <v>696</v>
      </c>
      <c r="D27" s="727">
        <v>42248</v>
      </c>
      <c r="E27" s="117"/>
      <c r="F27" s="191">
        <f t="shared" si="0"/>
        <v>33.61</v>
      </c>
      <c r="G27" s="151">
        <v>1</v>
      </c>
      <c r="H27" s="152">
        <f t="shared" si="1"/>
        <v>1</v>
      </c>
      <c r="I27" s="118">
        <v>33.61</v>
      </c>
      <c r="J27" s="116" t="s">
        <v>8</v>
      </c>
      <c r="K27" s="117">
        <v>42248</v>
      </c>
      <c r="L27" s="119" t="s">
        <v>697</v>
      </c>
    </row>
    <row r="28" spans="1:12">
      <c r="A28" s="116" t="s">
        <v>7</v>
      </c>
      <c r="B28" s="192" t="s">
        <v>526</v>
      </c>
      <c r="C28" s="116" t="s">
        <v>698</v>
      </c>
      <c r="D28" s="117">
        <v>42248</v>
      </c>
      <c r="E28" s="117"/>
      <c r="F28" s="191">
        <f t="shared" si="0"/>
        <v>672.5</v>
      </c>
      <c r="G28" s="151">
        <v>1</v>
      </c>
      <c r="H28" s="152">
        <f t="shared" si="1"/>
        <v>1</v>
      </c>
      <c r="I28" s="118">
        <v>672.5</v>
      </c>
      <c r="J28" s="116" t="s">
        <v>8</v>
      </c>
      <c r="K28" s="117">
        <v>42248</v>
      </c>
      <c r="L28" s="119" t="s">
        <v>699</v>
      </c>
    </row>
    <row r="29" spans="1:12">
      <c r="A29" s="116" t="s">
        <v>7</v>
      </c>
      <c r="B29" s="192" t="s">
        <v>527</v>
      </c>
      <c r="C29" s="116" t="s">
        <v>705</v>
      </c>
      <c r="D29" s="117">
        <v>42248</v>
      </c>
      <c r="E29" s="117"/>
      <c r="F29" s="191">
        <f t="shared" si="0"/>
        <v>5295.8530000000001</v>
      </c>
      <c r="G29" s="151">
        <v>1</v>
      </c>
      <c r="H29" s="152">
        <f t="shared" si="1"/>
        <v>1</v>
      </c>
      <c r="I29" s="118">
        <v>5295.8530000000001</v>
      </c>
      <c r="J29" s="116" t="s">
        <v>8</v>
      </c>
      <c r="K29" s="117">
        <v>42248</v>
      </c>
      <c r="L29" s="119" t="s">
        <v>706</v>
      </c>
    </row>
    <row r="30" spans="1:12">
      <c r="A30" s="725" t="s">
        <v>7</v>
      </c>
      <c r="B30" s="726" t="s">
        <v>558</v>
      </c>
      <c r="C30" s="211" t="s">
        <v>655</v>
      </c>
      <c r="D30" s="727">
        <v>42249</v>
      </c>
      <c r="E30" s="117"/>
      <c r="F30" s="191">
        <f t="shared" si="0"/>
        <v>0</v>
      </c>
      <c r="G30" s="151">
        <v>1</v>
      </c>
      <c r="H30" s="152">
        <f t="shared" si="1"/>
        <v>1</v>
      </c>
      <c r="I30" s="118">
        <v>0</v>
      </c>
      <c r="J30" s="116" t="s">
        <v>8</v>
      </c>
      <c r="K30" s="117">
        <v>42249</v>
      </c>
      <c r="L30" s="119" t="s">
        <v>664</v>
      </c>
    </row>
    <row r="31" spans="1:12">
      <c r="A31" s="725" t="s">
        <v>7</v>
      </c>
      <c r="B31" s="726" t="s">
        <v>75</v>
      </c>
      <c r="C31" s="211" t="s">
        <v>655</v>
      </c>
      <c r="D31" s="727">
        <v>42249</v>
      </c>
      <c r="E31" s="117"/>
      <c r="F31" s="191">
        <f t="shared" si="0"/>
        <v>0</v>
      </c>
      <c r="G31" s="151">
        <v>1</v>
      </c>
      <c r="H31" s="152">
        <f t="shared" si="1"/>
        <v>1</v>
      </c>
      <c r="I31" s="118">
        <v>0</v>
      </c>
      <c r="J31" s="116" t="s">
        <v>8</v>
      </c>
      <c r="K31" s="117">
        <v>42249</v>
      </c>
      <c r="L31" s="119" t="s">
        <v>665</v>
      </c>
    </row>
    <row r="32" spans="1:12">
      <c r="A32" s="725" t="s">
        <v>7</v>
      </c>
      <c r="B32" s="726" t="s">
        <v>666</v>
      </c>
      <c r="C32" s="211" t="s">
        <v>667</v>
      </c>
      <c r="D32" s="727">
        <v>42251</v>
      </c>
      <c r="E32" s="117"/>
      <c r="F32" s="191">
        <f t="shared" si="0"/>
        <v>0</v>
      </c>
      <c r="G32" s="151">
        <v>1</v>
      </c>
      <c r="H32" s="152">
        <f t="shared" si="1"/>
        <v>1</v>
      </c>
      <c r="I32" s="118">
        <v>0</v>
      </c>
      <c r="J32" s="116" t="s">
        <v>8</v>
      </c>
      <c r="K32" s="117">
        <v>42251</v>
      </c>
      <c r="L32" s="119" t="s">
        <v>668</v>
      </c>
    </row>
    <row r="33" spans="1:12">
      <c r="A33" s="725" t="s">
        <v>7</v>
      </c>
      <c r="B33" s="726" t="s">
        <v>669</v>
      </c>
      <c r="C33" s="725" t="s">
        <v>628</v>
      </c>
      <c r="D33" s="727">
        <v>42251</v>
      </c>
      <c r="E33" s="117"/>
      <c r="F33" s="191">
        <f t="shared" si="0"/>
        <v>400</v>
      </c>
      <c r="G33" s="151">
        <v>1</v>
      </c>
      <c r="H33" s="152">
        <f t="shared" si="1"/>
        <v>1</v>
      </c>
      <c r="I33" s="118">
        <v>400</v>
      </c>
      <c r="J33" s="116" t="s">
        <v>8</v>
      </c>
      <c r="K33" s="117">
        <v>42251</v>
      </c>
      <c r="L33" s="119" t="s">
        <v>670</v>
      </c>
    </row>
    <row r="34" spans="1:12">
      <c r="A34" s="725" t="s">
        <v>7</v>
      </c>
      <c r="B34" s="726" t="s">
        <v>671</v>
      </c>
      <c r="C34" s="725" t="s">
        <v>628</v>
      </c>
      <c r="D34" s="727">
        <v>42251</v>
      </c>
      <c r="E34" s="117"/>
      <c r="F34" s="191">
        <f t="shared" si="0"/>
        <v>500</v>
      </c>
      <c r="G34" s="151">
        <v>1</v>
      </c>
      <c r="H34" s="152">
        <f t="shared" si="1"/>
        <v>1</v>
      </c>
      <c r="I34" s="118">
        <v>500</v>
      </c>
      <c r="J34" s="116" t="s">
        <v>8</v>
      </c>
      <c r="K34" s="117">
        <v>42251</v>
      </c>
      <c r="L34" s="119" t="s">
        <v>672</v>
      </c>
    </row>
    <row r="35" spans="1:12">
      <c r="A35" s="725" t="s">
        <v>7</v>
      </c>
      <c r="B35" s="726" t="s">
        <v>673</v>
      </c>
      <c r="C35" s="725" t="s">
        <v>628</v>
      </c>
      <c r="D35" s="727">
        <v>42251</v>
      </c>
      <c r="E35" s="117"/>
      <c r="F35" s="191">
        <f t="shared" si="0"/>
        <v>600</v>
      </c>
      <c r="G35" s="151">
        <v>1</v>
      </c>
      <c r="H35" s="152">
        <f t="shared" si="1"/>
        <v>1</v>
      </c>
      <c r="I35" s="118">
        <v>600</v>
      </c>
      <c r="J35" s="116" t="s">
        <v>8</v>
      </c>
      <c r="K35" s="117">
        <v>42251</v>
      </c>
      <c r="L35" s="119" t="s">
        <v>674</v>
      </c>
    </row>
    <row r="36" spans="1:12">
      <c r="A36" s="725" t="s">
        <v>7</v>
      </c>
      <c r="B36" s="726" t="s">
        <v>675</v>
      </c>
      <c r="C36" s="725" t="s">
        <v>628</v>
      </c>
      <c r="D36" s="727">
        <v>42251</v>
      </c>
      <c r="E36" s="117"/>
      <c r="F36" s="191">
        <f t="shared" si="0"/>
        <v>500</v>
      </c>
      <c r="G36" s="151">
        <v>1</v>
      </c>
      <c r="H36" s="152">
        <f t="shared" si="1"/>
        <v>1</v>
      </c>
      <c r="I36" s="118">
        <v>500</v>
      </c>
      <c r="J36" s="116" t="s">
        <v>8</v>
      </c>
      <c r="K36" s="117">
        <v>42251</v>
      </c>
      <c r="L36" s="119" t="s">
        <v>676</v>
      </c>
    </row>
    <row r="37" spans="1:12">
      <c r="A37" s="725" t="s">
        <v>7</v>
      </c>
      <c r="B37" s="726" t="s">
        <v>677</v>
      </c>
      <c r="C37" s="725" t="s">
        <v>628</v>
      </c>
      <c r="D37" s="727">
        <v>42251</v>
      </c>
      <c r="E37" s="117"/>
      <c r="F37" s="191">
        <f t="shared" ref="F37:F68" si="2">SUM(I37*G37)</f>
        <v>400</v>
      </c>
      <c r="G37" s="151">
        <v>1</v>
      </c>
      <c r="H37" s="152">
        <f t="shared" ref="H37:H68" si="3">IF(E37="",1,0)</f>
        <v>1</v>
      </c>
      <c r="I37" s="118">
        <v>400</v>
      </c>
      <c r="J37" s="116" t="s">
        <v>8</v>
      </c>
      <c r="K37" s="117">
        <v>42251</v>
      </c>
      <c r="L37" s="119" t="s">
        <v>678</v>
      </c>
    </row>
    <row r="38" spans="1:12">
      <c r="A38" s="725" t="s">
        <v>7</v>
      </c>
      <c r="B38" s="726" t="s">
        <v>679</v>
      </c>
      <c r="C38" s="725" t="s">
        <v>628</v>
      </c>
      <c r="D38" s="727">
        <v>42251</v>
      </c>
      <c r="E38" s="117"/>
      <c r="F38" s="191">
        <f t="shared" si="2"/>
        <v>400</v>
      </c>
      <c r="G38" s="151">
        <v>1</v>
      </c>
      <c r="H38" s="152">
        <f t="shared" si="3"/>
        <v>1</v>
      </c>
      <c r="I38" s="118">
        <v>400</v>
      </c>
      <c r="J38" s="116" t="s">
        <v>8</v>
      </c>
      <c r="K38" s="117">
        <v>42251</v>
      </c>
      <c r="L38" s="119" t="s">
        <v>680</v>
      </c>
    </row>
    <row r="39" spans="1:12">
      <c r="A39" s="725" t="s">
        <v>7</v>
      </c>
      <c r="B39" s="726" t="s">
        <v>463</v>
      </c>
      <c r="C39" s="211" t="s">
        <v>771</v>
      </c>
      <c r="D39" s="727">
        <v>42256</v>
      </c>
      <c r="E39" s="117"/>
      <c r="F39" s="191">
        <f t="shared" si="2"/>
        <v>0</v>
      </c>
      <c r="G39" s="151">
        <v>1</v>
      </c>
      <c r="H39" s="152">
        <f t="shared" si="3"/>
        <v>1</v>
      </c>
      <c r="I39" s="118">
        <v>0</v>
      </c>
      <c r="J39" s="116" t="s">
        <v>8</v>
      </c>
      <c r="K39" s="117">
        <v>42256</v>
      </c>
      <c r="L39" s="119" t="s">
        <v>785</v>
      </c>
    </row>
    <row r="40" spans="1:12">
      <c r="A40" s="725" t="s">
        <v>7</v>
      </c>
      <c r="B40" s="726" t="s">
        <v>75</v>
      </c>
      <c r="C40" s="211" t="s">
        <v>771</v>
      </c>
      <c r="D40" s="727">
        <v>42256</v>
      </c>
      <c r="E40" s="117"/>
      <c r="F40" s="191">
        <f t="shared" si="2"/>
        <v>0</v>
      </c>
      <c r="G40" s="151">
        <v>1</v>
      </c>
      <c r="H40" s="152">
        <f t="shared" si="3"/>
        <v>1</v>
      </c>
      <c r="I40" s="118">
        <v>0</v>
      </c>
      <c r="J40" s="116" t="s">
        <v>8</v>
      </c>
      <c r="K40" s="117">
        <v>42256</v>
      </c>
      <c r="L40" s="119" t="s">
        <v>786</v>
      </c>
    </row>
    <row r="41" spans="1:12">
      <c r="A41" s="725" t="s">
        <v>7</v>
      </c>
      <c r="B41" s="726" t="s">
        <v>787</v>
      </c>
      <c r="C41" s="211" t="s">
        <v>784</v>
      </c>
      <c r="D41" s="727">
        <v>42256</v>
      </c>
      <c r="E41" s="727"/>
      <c r="F41" s="728">
        <f t="shared" si="2"/>
        <v>0</v>
      </c>
      <c r="G41" s="151">
        <v>1</v>
      </c>
      <c r="H41" s="152">
        <f t="shared" si="3"/>
        <v>1</v>
      </c>
      <c r="I41" s="729">
        <v>0</v>
      </c>
      <c r="J41" s="725" t="s">
        <v>8</v>
      </c>
      <c r="K41" s="727">
        <v>42256</v>
      </c>
      <c r="L41" s="730" t="s">
        <v>788</v>
      </c>
    </row>
    <row r="42" spans="1:12">
      <c r="A42" s="116" t="s">
        <v>7</v>
      </c>
      <c r="B42" s="192" t="s">
        <v>252</v>
      </c>
      <c r="C42" s="211" t="s">
        <v>784</v>
      </c>
      <c r="D42" s="117">
        <v>42256</v>
      </c>
      <c r="E42" s="117"/>
      <c r="F42" s="191">
        <f t="shared" si="2"/>
        <v>0</v>
      </c>
      <c r="G42" s="151">
        <v>1</v>
      </c>
      <c r="H42" s="152">
        <f t="shared" si="3"/>
        <v>1</v>
      </c>
      <c r="I42" s="118">
        <v>0</v>
      </c>
      <c r="J42" s="725" t="s">
        <v>8</v>
      </c>
      <c r="K42" s="117">
        <v>42256</v>
      </c>
      <c r="L42" s="730" t="s">
        <v>789</v>
      </c>
    </row>
    <row r="43" spans="1:12">
      <c r="A43" s="116" t="s">
        <v>7</v>
      </c>
      <c r="B43" s="192" t="s">
        <v>790</v>
      </c>
      <c r="C43" s="116" t="s">
        <v>628</v>
      </c>
      <c r="D43" s="117">
        <v>42256</v>
      </c>
      <c r="E43" s="117"/>
      <c r="F43" s="191">
        <f t="shared" si="2"/>
        <v>500</v>
      </c>
      <c r="G43" s="151">
        <v>1</v>
      </c>
      <c r="H43" s="152">
        <f t="shared" si="3"/>
        <v>1</v>
      </c>
      <c r="I43" s="118">
        <v>500</v>
      </c>
      <c r="J43" s="116" t="s">
        <v>8</v>
      </c>
      <c r="K43" s="117">
        <v>42256</v>
      </c>
      <c r="L43" s="119" t="s">
        <v>791</v>
      </c>
    </row>
    <row r="44" spans="1:12">
      <c r="A44" s="116" t="s">
        <v>7</v>
      </c>
      <c r="B44" s="192" t="s">
        <v>792</v>
      </c>
      <c r="C44" s="116" t="s">
        <v>793</v>
      </c>
      <c r="D44" s="117">
        <v>42256</v>
      </c>
      <c r="E44" s="117"/>
      <c r="F44" s="191">
        <f t="shared" si="2"/>
        <v>131.51400000000001</v>
      </c>
      <c r="G44" s="151">
        <v>1</v>
      </c>
      <c r="H44" s="152">
        <f t="shared" si="3"/>
        <v>1</v>
      </c>
      <c r="I44" s="118">
        <v>131.51400000000001</v>
      </c>
      <c r="J44" s="116" t="s">
        <v>8</v>
      </c>
      <c r="K44" s="117">
        <v>42256</v>
      </c>
      <c r="L44" s="119" t="s">
        <v>794</v>
      </c>
    </row>
    <row r="45" spans="1:12">
      <c r="A45" s="116" t="s">
        <v>7</v>
      </c>
      <c r="B45" s="192" t="s">
        <v>782</v>
      </c>
      <c r="C45" s="116" t="s">
        <v>127</v>
      </c>
      <c r="D45" s="117">
        <v>42262</v>
      </c>
      <c r="E45" s="117">
        <v>42262</v>
      </c>
      <c r="F45" s="191">
        <f t="shared" si="2"/>
        <v>160.38999999999999</v>
      </c>
      <c r="G45" s="151">
        <v>1</v>
      </c>
      <c r="H45" s="152">
        <f t="shared" si="3"/>
        <v>0</v>
      </c>
      <c r="I45" s="118">
        <v>160.38999999999999</v>
      </c>
      <c r="J45" s="116" t="s">
        <v>8</v>
      </c>
      <c r="K45" s="117">
        <v>42262</v>
      </c>
      <c r="L45" s="119" t="s">
        <v>796</v>
      </c>
    </row>
    <row r="46" spans="1:12">
      <c r="A46" s="116" t="s">
        <v>7</v>
      </c>
      <c r="B46" s="192" t="s">
        <v>783</v>
      </c>
      <c r="C46" s="116" t="s">
        <v>127</v>
      </c>
      <c r="D46" s="117">
        <v>42262</v>
      </c>
      <c r="E46" s="117"/>
      <c r="F46" s="191">
        <f t="shared" si="2"/>
        <v>3795.402</v>
      </c>
      <c r="G46" s="151">
        <v>1</v>
      </c>
      <c r="H46" s="152">
        <f t="shared" si="3"/>
        <v>1</v>
      </c>
      <c r="I46" s="118">
        <v>3795.402</v>
      </c>
      <c r="J46" s="116" t="s">
        <v>8</v>
      </c>
      <c r="K46" s="117">
        <v>42262</v>
      </c>
      <c r="L46" s="119" t="s">
        <v>797</v>
      </c>
    </row>
    <row r="47" spans="1:12">
      <c r="A47" s="725" t="s">
        <v>7</v>
      </c>
      <c r="B47" s="726" t="s">
        <v>558</v>
      </c>
      <c r="C47" s="211" t="s">
        <v>772</v>
      </c>
      <c r="D47" s="727">
        <v>42262</v>
      </c>
      <c r="E47" s="117"/>
      <c r="F47" s="191">
        <f t="shared" si="2"/>
        <v>0</v>
      </c>
      <c r="G47" s="151">
        <v>1</v>
      </c>
      <c r="H47" s="152">
        <f t="shared" si="3"/>
        <v>1</v>
      </c>
      <c r="I47" s="118">
        <v>0</v>
      </c>
      <c r="J47" s="116" t="s">
        <v>8</v>
      </c>
      <c r="K47" s="117">
        <v>42262</v>
      </c>
      <c r="L47" s="119" t="s">
        <v>798</v>
      </c>
    </row>
    <row r="48" spans="1:12">
      <c r="A48" s="725" t="s">
        <v>7</v>
      </c>
      <c r="B48" s="726" t="s">
        <v>75</v>
      </c>
      <c r="C48" s="211" t="s">
        <v>772</v>
      </c>
      <c r="D48" s="727">
        <v>42262</v>
      </c>
      <c r="E48" s="117"/>
      <c r="F48" s="191">
        <f t="shared" si="2"/>
        <v>0</v>
      </c>
      <c r="G48" s="151">
        <v>1</v>
      </c>
      <c r="H48" s="152">
        <f t="shared" si="3"/>
        <v>1</v>
      </c>
      <c r="I48" s="118">
        <v>0</v>
      </c>
      <c r="J48" s="116" t="s">
        <v>8</v>
      </c>
      <c r="K48" s="117">
        <v>42262</v>
      </c>
      <c r="L48" s="119" t="s">
        <v>799</v>
      </c>
    </row>
    <row r="49" spans="1:12">
      <c r="A49" s="725" t="s">
        <v>7</v>
      </c>
      <c r="B49" s="726" t="s">
        <v>504</v>
      </c>
      <c r="C49" s="211" t="s">
        <v>773</v>
      </c>
      <c r="D49" s="727">
        <v>42262</v>
      </c>
      <c r="E49" s="117"/>
      <c r="F49" s="191">
        <f t="shared" si="2"/>
        <v>0</v>
      </c>
      <c r="G49" s="151">
        <v>1</v>
      </c>
      <c r="H49" s="152">
        <f t="shared" si="3"/>
        <v>1</v>
      </c>
      <c r="I49" s="118">
        <v>0</v>
      </c>
      <c r="J49" s="116" t="s">
        <v>8</v>
      </c>
      <c r="K49" s="117">
        <v>42262</v>
      </c>
      <c r="L49" s="119" t="s">
        <v>800</v>
      </c>
    </row>
    <row r="50" spans="1:12">
      <c r="A50" s="725" t="s">
        <v>7</v>
      </c>
      <c r="B50" s="726" t="s">
        <v>75</v>
      </c>
      <c r="C50" s="211" t="s">
        <v>773</v>
      </c>
      <c r="D50" s="727">
        <v>42262</v>
      </c>
      <c r="E50" s="117"/>
      <c r="F50" s="191">
        <f t="shared" si="2"/>
        <v>0</v>
      </c>
      <c r="G50" s="151">
        <v>1</v>
      </c>
      <c r="H50" s="152">
        <f t="shared" si="3"/>
        <v>1</v>
      </c>
      <c r="I50" s="118">
        <v>0</v>
      </c>
      <c r="J50" s="116" t="s">
        <v>8</v>
      </c>
      <c r="K50" s="117">
        <v>42262</v>
      </c>
      <c r="L50" s="119" t="s">
        <v>801</v>
      </c>
    </row>
    <row r="51" spans="1:12">
      <c r="A51" s="725" t="s">
        <v>7</v>
      </c>
      <c r="B51" s="726" t="s">
        <v>252</v>
      </c>
      <c r="C51" s="211" t="s">
        <v>773</v>
      </c>
      <c r="D51" s="727">
        <v>42262</v>
      </c>
      <c r="E51" s="117"/>
      <c r="F51" s="191">
        <f t="shared" si="2"/>
        <v>0</v>
      </c>
      <c r="G51" s="151">
        <v>1</v>
      </c>
      <c r="H51" s="152">
        <f t="shared" si="3"/>
        <v>1</v>
      </c>
      <c r="I51" s="118">
        <v>0</v>
      </c>
      <c r="J51" s="116" t="s">
        <v>8</v>
      </c>
      <c r="K51" s="117">
        <v>42262</v>
      </c>
      <c r="L51" s="119" t="s">
        <v>802</v>
      </c>
    </row>
    <row r="52" spans="1:12">
      <c r="A52" s="725" t="s">
        <v>7</v>
      </c>
      <c r="B52" s="726" t="s">
        <v>573</v>
      </c>
      <c r="C52" s="211" t="s">
        <v>773</v>
      </c>
      <c r="D52" s="727">
        <v>42262</v>
      </c>
      <c r="E52" s="117"/>
      <c r="F52" s="191">
        <f t="shared" si="2"/>
        <v>0</v>
      </c>
      <c r="G52" s="151">
        <v>1</v>
      </c>
      <c r="H52" s="152">
        <f t="shared" si="3"/>
        <v>1</v>
      </c>
      <c r="I52" s="118">
        <v>0</v>
      </c>
      <c r="J52" s="116" t="s">
        <v>8</v>
      </c>
      <c r="K52" s="117">
        <v>42262</v>
      </c>
      <c r="L52" s="119" t="s">
        <v>803</v>
      </c>
    </row>
    <row r="53" spans="1:12">
      <c r="A53" s="725" t="s">
        <v>7</v>
      </c>
      <c r="B53" s="726" t="s">
        <v>558</v>
      </c>
      <c r="C53" s="211" t="s">
        <v>658</v>
      </c>
      <c r="D53" s="727">
        <v>42262</v>
      </c>
      <c r="E53" s="117"/>
      <c r="F53" s="191">
        <f t="shared" si="2"/>
        <v>0</v>
      </c>
      <c r="G53" s="151">
        <v>1</v>
      </c>
      <c r="H53" s="152">
        <f t="shared" si="3"/>
        <v>1</v>
      </c>
      <c r="I53" s="118">
        <v>0</v>
      </c>
      <c r="J53" s="116" t="s">
        <v>8</v>
      </c>
      <c r="K53" s="117">
        <v>42262</v>
      </c>
      <c r="L53" s="119" t="s">
        <v>804</v>
      </c>
    </row>
    <row r="54" spans="1:12">
      <c r="A54" s="725" t="s">
        <v>7</v>
      </c>
      <c r="B54" s="726" t="s">
        <v>75</v>
      </c>
      <c r="C54" s="211" t="s">
        <v>658</v>
      </c>
      <c r="D54" s="727">
        <v>42262</v>
      </c>
      <c r="E54" s="117"/>
      <c r="F54" s="191">
        <f t="shared" si="2"/>
        <v>0</v>
      </c>
      <c r="G54" s="151">
        <v>1</v>
      </c>
      <c r="H54" s="152">
        <f t="shared" si="3"/>
        <v>1</v>
      </c>
      <c r="I54" s="118">
        <v>0</v>
      </c>
      <c r="J54" s="116" t="s">
        <v>8</v>
      </c>
      <c r="K54" s="117">
        <v>42262</v>
      </c>
      <c r="L54" s="119" t="s">
        <v>805</v>
      </c>
    </row>
    <row r="55" spans="1:12">
      <c r="A55" s="116" t="s">
        <v>7</v>
      </c>
      <c r="B55" s="192" t="s">
        <v>781</v>
      </c>
      <c r="C55" s="116" t="s">
        <v>127</v>
      </c>
      <c r="D55" s="117">
        <v>42264</v>
      </c>
      <c r="E55" s="117"/>
      <c r="F55" s="191">
        <f t="shared" si="2"/>
        <v>329.70299999999997</v>
      </c>
      <c r="G55" s="151">
        <v>1</v>
      </c>
      <c r="H55" s="152">
        <f t="shared" si="3"/>
        <v>1</v>
      </c>
      <c r="I55" s="118">
        <v>329.70299999999997</v>
      </c>
      <c r="J55" s="116" t="s">
        <v>8</v>
      </c>
      <c r="K55" s="117">
        <v>42264</v>
      </c>
      <c r="L55" s="119" t="s">
        <v>806</v>
      </c>
    </row>
    <row r="56" spans="1:12">
      <c r="A56" s="116" t="s">
        <v>7</v>
      </c>
      <c r="B56" s="192" t="s">
        <v>846</v>
      </c>
      <c r="C56" s="116" t="s">
        <v>970</v>
      </c>
      <c r="D56" s="117">
        <v>42269</v>
      </c>
      <c r="E56" s="117">
        <v>42276</v>
      </c>
      <c r="F56" s="191">
        <f t="shared" si="2"/>
        <v>5929.2089999999998</v>
      </c>
      <c r="G56" s="151">
        <v>1</v>
      </c>
      <c r="H56" s="152">
        <f t="shared" si="3"/>
        <v>0</v>
      </c>
      <c r="I56" s="118">
        <v>5929.2089999999998</v>
      </c>
      <c r="J56" s="116" t="s">
        <v>8</v>
      </c>
      <c r="K56" s="117">
        <v>42269</v>
      </c>
      <c r="L56" s="119" t="s">
        <v>971</v>
      </c>
    </row>
    <row r="57" spans="1:12">
      <c r="A57" s="116" t="s">
        <v>7</v>
      </c>
      <c r="B57" s="192" t="s">
        <v>859</v>
      </c>
      <c r="C57" s="116" t="s">
        <v>127</v>
      </c>
      <c r="D57" s="117">
        <v>42269</v>
      </c>
      <c r="E57" s="117">
        <v>42275</v>
      </c>
      <c r="F57" s="191">
        <f t="shared" si="2"/>
        <v>0</v>
      </c>
      <c r="G57" s="151">
        <v>1</v>
      </c>
      <c r="H57" s="152">
        <f t="shared" si="3"/>
        <v>0</v>
      </c>
      <c r="I57" s="118">
        <v>0</v>
      </c>
      <c r="J57" s="116" t="s">
        <v>8</v>
      </c>
      <c r="K57" s="117">
        <v>42269</v>
      </c>
      <c r="L57" s="119" t="s">
        <v>972</v>
      </c>
    </row>
    <row r="58" spans="1:12">
      <c r="A58" s="116" t="s">
        <v>7</v>
      </c>
      <c r="B58" s="192" t="s">
        <v>292</v>
      </c>
      <c r="C58" s="116" t="s">
        <v>127</v>
      </c>
      <c r="D58" s="117">
        <v>42269</v>
      </c>
      <c r="E58" s="117">
        <v>42269</v>
      </c>
      <c r="F58" s="191">
        <f t="shared" si="2"/>
        <v>544.97</v>
      </c>
      <c r="G58" s="151">
        <v>1</v>
      </c>
      <c r="H58" s="152">
        <f t="shared" si="3"/>
        <v>0</v>
      </c>
      <c r="I58" s="118">
        <v>544.97</v>
      </c>
      <c r="J58" s="116" t="s">
        <v>8</v>
      </c>
      <c r="K58" s="117">
        <v>42269</v>
      </c>
      <c r="L58" s="119" t="s">
        <v>973</v>
      </c>
    </row>
    <row r="59" spans="1:12">
      <c r="A59" s="116" t="s">
        <v>7</v>
      </c>
      <c r="B59" s="192" t="s">
        <v>974</v>
      </c>
      <c r="C59" s="116" t="s">
        <v>127</v>
      </c>
      <c r="D59" s="117">
        <v>42269</v>
      </c>
      <c r="E59" s="117">
        <v>42275</v>
      </c>
      <c r="F59" s="191">
        <f t="shared" si="2"/>
        <v>6307.9520000000002</v>
      </c>
      <c r="G59" s="151">
        <v>1</v>
      </c>
      <c r="H59" s="152">
        <f t="shared" si="3"/>
        <v>0</v>
      </c>
      <c r="I59" s="118">
        <v>6307.9520000000002</v>
      </c>
      <c r="J59" s="116" t="s">
        <v>8</v>
      </c>
      <c r="K59" s="117">
        <v>42269</v>
      </c>
      <c r="L59" s="119" t="s">
        <v>975</v>
      </c>
    </row>
    <row r="60" spans="1:12">
      <c r="A60" s="116" t="s">
        <v>7</v>
      </c>
      <c r="B60" s="192" t="s">
        <v>305</v>
      </c>
      <c r="C60" s="116" t="s">
        <v>127</v>
      </c>
      <c r="D60" s="117">
        <v>42269</v>
      </c>
      <c r="E60" s="117"/>
      <c r="F60" s="191">
        <f t="shared" si="2"/>
        <v>1415.3150000000001</v>
      </c>
      <c r="G60" s="151">
        <v>1</v>
      </c>
      <c r="H60" s="152">
        <f t="shared" si="3"/>
        <v>1</v>
      </c>
      <c r="I60" s="118">
        <v>1415.3150000000001</v>
      </c>
      <c r="J60" s="116" t="s">
        <v>8</v>
      </c>
      <c r="K60" s="117">
        <v>42269</v>
      </c>
      <c r="L60" s="119" t="s">
        <v>976</v>
      </c>
    </row>
    <row r="61" spans="1:12">
      <c r="A61" s="725" t="s">
        <v>7</v>
      </c>
      <c r="B61" s="726" t="s">
        <v>558</v>
      </c>
      <c r="C61" s="211" t="s">
        <v>988</v>
      </c>
      <c r="D61" s="727">
        <v>42269</v>
      </c>
      <c r="E61" s="117"/>
      <c r="F61" s="191">
        <f t="shared" si="2"/>
        <v>0</v>
      </c>
      <c r="G61" s="151">
        <v>1</v>
      </c>
      <c r="H61" s="152">
        <f t="shared" si="3"/>
        <v>1</v>
      </c>
      <c r="I61" s="118">
        <v>0</v>
      </c>
      <c r="J61" s="116" t="s">
        <v>8</v>
      </c>
      <c r="K61" s="117">
        <v>42269</v>
      </c>
      <c r="L61" s="119" t="s">
        <v>989</v>
      </c>
    </row>
    <row r="62" spans="1:12">
      <c r="A62" s="725" t="s">
        <v>7</v>
      </c>
      <c r="B62" s="726" t="s">
        <v>75</v>
      </c>
      <c r="C62" s="211" t="s">
        <v>988</v>
      </c>
      <c r="D62" s="727">
        <v>42269</v>
      </c>
      <c r="E62" s="117"/>
      <c r="F62" s="191">
        <f t="shared" si="2"/>
        <v>0</v>
      </c>
      <c r="G62" s="151">
        <v>1</v>
      </c>
      <c r="H62" s="152">
        <f t="shared" si="3"/>
        <v>1</v>
      </c>
      <c r="I62" s="118">
        <v>0</v>
      </c>
      <c r="J62" s="116" t="s">
        <v>8</v>
      </c>
      <c r="K62" s="117">
        <v>42269</v>
      </c>
      <c r="L62" s="119" t="s">
        <v>990</v>
      </c>
    </row>
    <row r="63" spans="1:12">
      <c r="A63" s="725" t="s">
        <v>7</v>
      </c>
      <c r="B63" s="726" t="s">
        <v>558</v>
      </c>
      <c r="C63" s="211" t="s">
        <v>991</v>
      </c>
      <c r="D63" s="727">
        <v>42269</v>
      </c>
      <c r="E63" s="117"/>
      <c r="F63" s="191">
        <f t="shared" si="2"/>
        <v>0</v>
      </c>
      <c r="G63" s="151">
        <v>1</v>
      </c>
      <c r="H63" s="152">
        <f t="shared" si="3"/>
        <v>1</v>
      </c>
      <c r="I63" s="118">
        <v>0</v>
      </c>
      <c r="J63" s="116" t="s">
        <v>8</v>
      </c>
      <c r="K63" s="117">
        <v>42269</v>
      </c>
      <c r="L63" s="119" t="s">
        <v>992</v>
      </c>
    </row>
    <row r="64" spans="1:12">
      <c r="A64" s="725" t="s">
        <v>7</v>
      </c>
      <c r="B64" s="726" t="s">
        <v>75</v>
      </c>
      <c r="C64" s="211" t="s">
        <v>991</v>
      </c>
      <c r="D64" s="727">
        <v>42269</v>
      </c>
      <c r="E64" s="117"/>
      <c r="F64" s="191">
        <f t="shared" si="2"/>
        <v>0</v>
      </c>
      <c r="G64" s="151">
        <v>1</v>
      </c>
      <c r="H64" s="152">
        <f t="shared" si="3"/>
        <v>1</v>
      </c>
      <c r="I64" s="118">
        <v>0</v>
      </c>
      <c r="J64" s="116" t="s">
        <v>8</v>
      </c>
      <c r="K64" s="117">
        <v>42269</v>
      </c>
      <c r="L64" s="119" t="s">
        <v>993</v>
      </c>
    </row>
    <row r="65" spans="1:12">
      <c r="A65" s="116" t="s">
        <v>7</v>
      </c>
      <c r="B65" s="192" t="s">
        <v>544</v>
      </c>
      <c r="C65" s="116" t="s">
        <v>1006</v>
      </c>
      <c r="D65" s="117">
        <v>42275</v>
      </c>
      <c r="E65" s="117"/>
      <c r="F65" s="191">
        <f t="shared" si="2"/>
        <v>192.40199999999999</v>
      </c>
      <c r="G65" s="151">
        <v>1</v>
      </c>
      <c r="H65" s="152">
        <f t="shared" si="3"/>
        <v>1</v>
      </c>
      <c r="I65" s="118">
        <v>192.40199999999999</v>
      </c>
      <c r="J65" s="116" t="s">
        <v>8</v>
      </c>
      <c r="K65" s="117">
        <v>42272</v>
      </c>
      <c r="L65" s="119" t="s">
        <v>1007</v>
      </c>
    </row>
    <row r="66" spans="1:12">
      <c r="A66" s="116" t="s">
        <v>11</v>
      </c>
      <c r="B66" s="192" t="s">
        <v>438</v>
      </c>
      <c r="C66" s="116" t="s">
        <v>576</v>
      </c>
      <c r="D66" s="117">
        <v>42186</v>
      </c>
      <c r="E66" s="117"/>
      <c r="F66" s="191">
        <f t="shared" si="2"/>
        <v>2688.777</v>
      </c>
      <c r="G66" s="151">
        <v>1</v>
      </c>
      <c r="H66" s="152">
        <f t="shared" si="3"/>
        <v>1</v>
      </c>
      <c r="I66" s="118">
        <v>2688.777</v>
      </c>
      <c r="J66" s="116" t="s">
        <v>8</v>
      </c>
      <c r="K66" s="117">
        <v>42272</v>
      </c>
      <c r="L66" s="119" t="s">
        <v>577</v>
      </c>
    </row>
    <row r="67" spans="1:12">
      <c r="A67" s="116" t="s">
        <v>11</v>
      </c>
      <c r="B67" s="192" t="s">
        <v>10</v>
      </c>
      <c r="C67" s="116" t="s">
        <v>596</v>
      </c>
      <c r="D67" s="117">
        <v>42198</v>
      </c>
      <c r="E67" s="117"/>
      <c r="F67" s="191">
        <f t="shared" si="2"/>
        <v>620</v>
      </c>
      <c r="G67" s="151">
        <v>1</v>
      </c>
      <c r="H67" s="152">
        <f t="shared" si="3"/>
        <v>1</v>
      </c>
      <c r="I67" s="118">
        <v>620</v>
      </c>
      <c r="J67" s="116" t="s">
        <v>8</v>
      </c>
      <c r="K67" s="117">
        <v>42272</v>
      </c>
      <c r="L67" s="119" t="s">
        <v>597</v>
      </c>
    </row>
    <row r="68" spans="1:12">
      <c r="A68" s="116" t="s">
        <v>7</v>
      </c>
      <c r="B68" s="192" t="s">
        <v>968</v>
      </c>
      <c r="C68" s="116" t="s">
        <v>127</v>
      </c>
      <c r="D68" s="117">
        <v>42269</v>
      </c>
      <c r="E68" s="117"/>
      <c r="F68" s="191">
        <f t="shared" si="2"/>
        <v>10460.947</v>
      </c>
      <c r="G68" s="151">
        <v>1</v>
      </c>
      <c r="H68" s="152">
        <f t="shared" si="3"/>
        <v>1</v>
      </c>
      <c r="I68" s="118">
        <v>10460.947</v>
      </c>
      <c r="J68" s="116" t="s">
        <v>8</v>
      </c>
      <c r="K68" s="117">
        <v>42273</v>
      </c>
      <c r="L68" s="119" t="s">
        <v>977</v>
      </c>
    </row>
    <row r="69" spans="1:12">
      <c r="A69" s="116" t="s">
        <v>7</v>
      </c>
      <c r="B69" s="192" t="s">
        <v>843</v>
      </c>
      <c r="C69" s="116" t="s">
        <v>982</v>
      </c>
      <c r="D69" s="117">
        <v>42273</v>
      </c>
      <c r="E69" s="117"/>
      <c r="F69" s="191">
        <f t="shared" ref="F69:F100" si="4">SUM(I69*G69)</f>
        <v>547.10500000000002</v>
      </c>
      <c r="G69" s="151">
        <v>1</v>
      </c>
      <c r="H69" s="152">
        <f t="shared" ref="H69:H100" si="5">IF(E69="",1,0)</f>
        <v>1</v>
      </c>
      <c r="I69" s="118">
        <v>547.10500000000002</v>
      </c>
      <c r="J69" s="116" t="s">
        <v>8</v>
      </c>
      <c r="K69" s="117">
        <v>42273</v>
      </c>
      <c r="L69" s="119" t="s">
        <v>983</v>
      </c>
    </row>
    <row r="70" spans="1:12">
      <c r="A70" s="116" t="s">
        <v>7</v>
      </c>
      <c r="B70" s="192" t="s">
        <v>980</v>
      </c>
      <c r="C70" s="116" t="s">
        <v>127</v>
      </c>
      <c r="D70" s="117">
        <v>42273</v>
      </c>
      <c r="E70" s="117"/>
      <c r="F70" s="191">
        <f t="shared" si="4"/>
        <v>8762.0679999999993</v>
      </c>
      <c r="G70" s="151">
        <v>1</v>
      </c>
      <c r="H70" s="152">
        <f t="shared" si="5"/>
        <v>1</v>
      </c>
      <c r="I70" s="118">
        <v>8762.0679999999993</v>
      </c>
      <c r="J70" s="116" t="s">
        <v>8</v>
      </c>
      <c r="K70" s="117">
        <v>42275</v>
      </c>
      <c r="L70" s="119" t="s">
        <v>981</v>
      </c>
    </row>
    <row r="71" spans="1:12">
      <c r="A71" s="116" t="s">
        <v>7</v>
      </c>
      <c r="B71" s="192" t="s">
        <v>567</v>
      </c>
      <c r="C71" s="116" t="s">
        <v>994</v>
      </c>
      <c r="D71" s="117">
        <v>42275</v>
      </c>
      <c r="E71" s="117"/>
      <c r="F71" s="191">
        <f t="shared" si="4"/>
        <v>114.616</v>
      </c>
      <c r="G71" s="151">
        <v>1</v>
      </c>
      <c r="H71" s="152">
        <f t="shared" si="5"/>
        <v>1</v>
      </c>
      <c r="I71" s="118">
        <v>114.616</v>
      </c>
      <c r="J71" s="116" t="s">
        <v>8</v>
      </c>
      <c r="K71" s="117">
        <v>42275</v>
      </c>
      <c r="L71" s="119" t="s">
        <v>995</v>
      </c>
    </row>
    <row r="72" spans="1:12">
      <c r="A72" s="116" t="s">
        <v>7</v>
      </c>
      <c r="B72" s="192" t="s">
        <v>969</v>
      </c>
      <c r="C72" s="116" t="s">
        <v>996</v>
      </c>
      <c r="D72" s="117">
        <v>42275</v>
      </c>
      <c r="E72" s="117"/>
      <c r="F72" s="191">
        <f t="shared" si="4"/>
        <v>296.68</v>
      </c>
      <c r="G72" s="151">
        <v>1</v>
      </c>
      <c r="H72" s="152">
        <f t="shared" si="5"/>
        <v>1</v>
      </c>
      <c r="I72" s="118">
        <v>296.68</v>
      </c>
      <c r="J72" s="116" t="s">
        <v>8</v>
      </c>
      <c r="K72" s="117">
        <v>42275</v>
      </c>
      <c r="L72" s="119" t="s">
        <v>997</v>
      </c>
    </row>
    <row r="73" spans="1:12">
      <c r="A73" s="116" t="s">
        <v>7</v>
      </c>
      <c r="B73" s="192" t="s">
        <v>480</v>
      </c>
      <c r="C73" s="116" t="s">
        <v>998</v>
      </c>
      <c r="D73" s="117">
        <v>42275</v>
      </c>
      <c r="E73" s="117"/>
      <c r="F73" s="191">
        <f t="shared" si="4"/>
        <v>602.29999999999995</v>
      </c>
      <c r="G73" s="151">
        <v>1</v>
      </c>
      <c r="H73" s="152">
        <f t="shared" si="5"/>
        <v>1</v>
      </c>
      <c r="I73" s="118">
        <v>602.29999999999995</v>
      </c>
      <c r="J73" s="116" t="s">
        <v>8</v>
      </c>
      <c r="K73" s="117">
        <v>42275</v>
      </c>
      <c r="L73" s="119" t="s">
        <v>999</v>
      </c>
    </row>
    <row r="74" spans="1:12">
      <c r="A74" s="116" t="s">
        <v>7</v>
      </c>
      <c r="B74" s="192" t="s">
        <v>542</v>
      </c>
      <c r="C74" s="116" t="s">
        <v>1002</v>
      </c>
      <c r="D74" s="117">
        <v>42275</v>
      </c>
      <c r="E74" s="117"/>
      <c r="F74" s="191">
        <f t="shared" si="4"/>
        <v>183.81299999999999</v>
      </c>
      <c r="G74" s="151">
        <v>1</v>
      </c>
      <c r="H74" s="152">
        <f t="shared" si="5"/>
        <v>1</v>
      </c>
      <c r="I74" s="118">
        <v>183.81299999999999</v>
      </c>
      <c r="J74" s="116" t="s">
        <v>8</v>
      </c>
      <c r="K74" s="117">
        <v>42275</v>
      </c>
      <c r="L74" s="119" t="s">
        <v>1003</v>
      </c>
    </row>
    <row r="75" spans="1:12">
      <c r="A75" s="116" t="s">
        <v>7</v>
      </c>
      <c r="B75" s="192" t="s">
        <v>1008</v>
      </c>
      <c r="C75" s="116" t="s">
        <v>1009</v>
      </c>
      <c r="D75" s="117">
        <v>42275</v>
      </c>
      <c r="E75" s="117"/>
      <c r="F75" s="191">
        <f t="shared" si="4"/>
        <v>454.8</v>
      </c>
      <c r="G75" s="151">
        <v>1</v>
      </c>
      <c r="H75" s="152">
        <f t="shared" si="5"/>
        <v>1</v>
      </c>
      <c r="I75" s="118">
        <v>454.8</v>
      </c>
      <c r="J75" s="116" t="s">
        <v>8</v>
      </c>
      <c r="K75" s="117">
        <v>42275</v>
      </c>
      <c r="L75" s="119" t="s">
        <v>1010</v>
      </c>
    </row>
    <row r="76" spans="1:12">
      <c r="A76" s="116" t="s">
        <v>7</v>
      </c>
      <c r="B76" s="192" t="s">
        <v>868</v>
      </c>
      <c r="C76" s="116" t="s">
        <v>1011</v>
      </c>
      <c r="D76" s="117">
        <v>42275</v>
      </c>
      <c r="E76" s="117"/>
      <c r="F76" s="191">
        <f t="shared" si="4"/>
        <v>212.9</v>
      </c>
      <c r="G76" s="151">
        <v>1</v>
      </c>
      <c r="H76" s="152">
        <f t="shared" si="5"/>
        <v>1</v>
      </c>
      <c r="I76" s="118">
        <v>212.9</v>
      </c>
      <c r="J76" s="116" t="s">
        <v>8</v>
      </c>
      <c r="K76" s="117">
        <v>42275</v>
      </c>
      <c r="L76" s="119" t="s">
        <v>1012</v>
      </c>
    </row>
    <row r="77" spans="1:12">
      <c r="A77" s="116" t="s">
        <v>7</v>
      </c>
      <c r="B77" s="192" t="s">
        <v>1013</v>
      </c>
      <c r="C77" s="116" t="s">
        <v>1014</v>
      </c>
      <c r="D77" s="117">
        <v>42275</v>
      </c>
      <c r="E77" s="117"/>
      <c r="F77" s="191">
        <f t="shared" si="4"/>
        <v>2993.9</v>
      </c>
      <c r="G77" s="151">
        <v>1</v>
      </c>
      <c r="H77" s="152">
        <f t="shared" si="5"/>
        <v>1</v>
      </c>
      <c r="I77" s="118">
        <v>2993.9</v>
      </c>
      <c r="J77" s="116" t="s">
        <v>8</v>
      </c>
      <c r="K77" s="117">
        <v>42275</v>
      </c>
      <c r="L77" s="119" t="s">
        <v>1015</v>
      </c>
    </row>
    <row r="78" spans="1:12">
      <c r="A78" s="116" t="s">
        <v>7</v>
      </c>
      <c r="B78" s="192" t="s">
        <v>554</v>
      </c>
      <c r="C78" s="116" t="s">
        <v>1016</v>
      </c>
      <c r="D78" s="117">
        <v>42275</v>
      </c>
      <c r="E78" s="117"/>
      <c r="F78" s="191">
        <f t="shared" si="4"/>
        <v>5335.2089999999998</v>
      </c>
      <c r="G78" s="151">
        <v>1</v>
      </c>
      <c r="H78" s="152">
        <f t="shared" si="5"/>
        <v>1</v>
      </c>
      <c r="I78" s="118">
        <v>5335.2089999999998</v>
      </c>
      <c r="J78" s="116" t="s">
        <v>8</v>
      </c>
      <c r="K78" s="117">
        <v>42275</v>
      </c>
      <c r="L78" s="119" t="s">
        <v>1017</v>
      </c>
    </row>
    <row r="79" spans="1:12">
      <c r="A79" s="116" t="s">
        <v>7</v>
      </c>
      <c r="B79" s="192" t="s">
        <v>844</v>
      </c>
      <c r="C79" s="116" t="s">
        <v>1018</v>
      </c>
      <c r="D79" s="117">
        <v>42275</v>
      </c>
      <c r="E79" s="117"/>
      <c r="F79" s="191">
        <f t="shared" si="4"/>
        <v>7826.9089999999997</v>
      </c>
      <c r="G79" s="151">
        <v>1</v>
      </c>
      <c r="H79" s="152">
        <f t="shared" si="5"/>
        <v>1</v>
      </c>
      <c r="I79" s="118">
        <v>7826.9089999999997</v>
      </c>
      <c r="J79" s="116" t="s">
        <v>8</v>
      </c>
      <c r="K79" s="117">
        <v>42275</v>
      </c>
      <c r="L79" s="119" t="s">
        <v>1019</v>
      </c>
    </row>
    <row r="80" spans="1:12">
      <c r="A80" s="116" t="s">
        <v>7</v>
      </c>
      <c r="B80" s="192" t="s">
        <v>844</v>
      </c>
      <c r="C80" s="116" t="s">
        <v>1020</v>
      </c>
      <c r="D80" s="117">
        <v>42275</v>
      </c>
      <c r="E80" s="117"/>
      <c r="F80" s="191">
        <f t="shared" si="4"/>
        <v>7751.6549999999997</v>
      </c>
      <c r="G80" s="151">
        <v>1</v>
      </c>
      <c r="H80" s="152">
        <f t="shared" si="5"/>
        <v>1</v>
      </c>
      <c r="I80" s="118">
        <v>7751.6549999999997</v>
      </c>
      <c r="J80" s="116" t="s">
        <v>8</v>
      </c>
      <c r="K80" s="117">
        <v>42275</v>
      </c>
      <c r="L80" s="119" t="s">
        <v>1021</v>
      </c>
    </row>
    <row r="81" spans="1:12">
      <c r="A81" s="116" t="s">
        <v>7</v>
      </c>
      <c r="B81" s="192" t="s">
        <v>966</v>
      </c>
      <c r="C81" s="116" t="s">
        <v>1022</v>
      </c>
      <c r="D81" s="117">
        <v>42275</v>
      </c>
      <c r="E81" s="117"/>
      <c r="F81" s="191">
        <f t="shared" si="4"/>
        <v>1149.078</v>
      </c>
      <c r="G81" s="151">
        <v>1</v>
      </c>
      <c r="H81" s="152">
        <f t="shared" si="5"/>
        <v>1</v>
      </c>
      <c r="I81" s="118">
        <v>1149.078</v>
      </c>
      <c r="J81" s="116" t="s">
        <v>8</v>
      </c>
      <c r="K81" s="117">
        <v>42275</v>
      </c>
      <c r="L81" s="119" t="s">
        <v>1023</v>
      </c>
    </row>
    <row r="82" spans="1:12">
      <c r="A82" s="116" t="s">
        <v>7</v>
      </c>
      <c r="B82" s="192" t="s">
        <v>847</v>
      </c>
      <c r="C82" s="116" t="s">
        <v>1024</v>
      </c>
      <c r="D82" s="117">
        <v>42275</v>
      </c>
      <c r="E82" s="117"/>
      <c r="F82" s="191">
        <f t="shared" si="4"/>
        <v>510</v>
      </c>
      <c r="G82" s="151">
        <v>1</v>
      </c>
      <c r="H82" s="152">
        <f t="shared" si="5"/>
        <v>1</v>
      </c>
      <c r="I82" s="118">
        <v>510</v>
      </c>
      <c r="J82" s="116" t="s">
        <v>8</v>
      </c>
      <c r="K82" s="117">
        <v>42275</v>
      </c>
      <c r="L82" s="119" t="s">
        <v>1025</v>
      </c>
    </row>
    <row r="83" spans="1:12">
      <c r="A83" s="116" t="s">
        <v>7</v>
      </c>
      <c r="B83" s="192" t="s">
        <v>853</v>
      </c>
      <c r="C83" s="116" t="s">
        <v>1026</v>
      </c>
      <c r="D83" s="117">
        <v>42275</v>
      </c>
      <c r="E83" s="117"/>
      <c r="F83" s="191">
        <f t="shared" si="4"/>
        <v>7141.3490000000002</v>
      </c>
      <c r="G83" s="151">
        <v>1</v>
      </c>
      <c r="H83" s="152">
        <f t="shared" si="5"/>
        <v>1</v>
      </c>
      <c r="I83" s="118">
        <v>7141.3490000000002</v>
      </c>
      <c r="J83" s="116" t="s">
        <v>8</v>
      </c>
      <c r="K83" s="117">
        <v>42275</v>
      </c>
      <c r="L83" s="119" t="s">
        <v>1027</v>
      </c>
    </row>
    <row r="84" spans="1:12">
      <c r="A84" s="116" t="s">
        <v>7</v>
      </c>
      <c r="B84" s="192" t="s">
        <v>860</v>
      </c>
      <c r="C84" s="116" t="s">
        <v>1032</v>
      </c>
      <c r="D84" s="117">
        <v>42275</v>
      </c>
      <c r="E84" s="117"/>
      <c r="F84" s="191">
        <f t="shared" si="4"/>
        <v>2024.425</v>
      </c>
      <c r="G84" s="151">
        <v>1</v>
      </c>
      <c r="H84" s="152">
        <f t="shared" si="5"/>
        <v>1</v>
      </c>
      <c r="I84" s="118">
        <v>2024.425</v>
      </c>
      <c r="J84" s="116" t="s">
        <v>8</v>
      </c>
      <c r="K84" s="117">
        <v>42275</v>
      </c>
      <c r="L84" s="119" t="s">
        <v>1033</v>
      </c>
    </row>
    <row r="85" spans="1:12">
      <c r="A85" s="116" t="s">
        <v>7</v>
      </c>
      <c r="B85" s="192" t="s">
        <v>850</v>
      </c>
      <c r="C85" s="116" t="s">
        <v>1034</v>
      </c>
      <c r="D85" s="117">
        <v>42275</v>
      </c>
      <c r="E85" s="117"/>
      <c r="F85" s="191">
        <f t="shared" si="4"/>
        <v>3355.3980000000001</v>
      </c>
      <c r="G85" s="151">
        <v>1</v>
      </c>
      <c r="H85" s="152">
        <f t="shared" si="5"/>
        <v>1</v>
      </c>
      <c r="I85" s="118">
        <v>3355.3980000000001</v>
      </c>
      <c r="J85" s="116" t="s">
        <v>8</v>
      </c>
      <c r="K85" s="117">
        <v>42275</v>
      </c>
      <c r="L85" s="119" t="s">
        <v>1035</v>
      </c>
    </row>
    <row r="86" spans="1:12">
      <c r="A86" s="116" t="s">
        <v>7</v>
      </c>
      <c r="B86" s="192" t="s">
        <v>851</v>
      </c>
      <c r="C86" s="116" t="s">
        <v>1037</v>
      </c>
      <c r="D86" s="117">
        <v>42275</v>
      </c>
      <c r="E86" s="117"/>
      <c r="F86" s="191">
        <f t="shared" si="4"/>
        <v>1080.502</v>
      </c>
      <c r="G86" s="151">
        <v>1</v>
      </c>
      <c r="H86" s="152">
        <f t="shared" si="5"/>
        <v>1</v>
      </c>
      <c r="I86" s="118">
        <v>1080.502</v>
      </c>
      <c r="J86" s="116" t="s">
        <v>8</v>
      </c>
      <c r="K86" s="117">
        <v>42275</v>
      </c>
      <c r="L86" s="119" t="s">
        <v>1038</v>
      </c>
    </row>
    <row r="87" spans="1:12">
      <c r="A87" s="116" t="s">
        <v>7</v>
      </c>
      <c r="B87" s="192" t="s">
        <v>844</v>
      </c>
      <c r="C87" s="116" t="s">
        <v>1047</v>
      </c>
      <c r="D87" s="117">
        <v>42275</v>
      </c>
      <c r="E87" s="117"/>
      <c r="F87" s="191">
        <f t="shared" si="4"/>
        <v>7698.9769999999999</v>
      </c>
      <c r="G87" s="151">
        <v>1</v>
      </c>
      <c r="H87" s="152">
        <f t="shared" si="5"/>
        <v>1</v>
      </c>
      <c r="I87" s="118">
        <v>7698.9769999999999</v>
      </c>
      <c r="J87" s="116" t="s">
        <v>8</v>
      </c>
      <c r="K87" s="117">
        <v>42275</v>
      </c>
      <c r="L87" s="119" t="s">
        <v>1048</v>
      </c>
    </row>
    <row r="88" spans="1:12">
      <c r="A88" s="116" t="s">
        <v>7</v>
      </c>
      <c r="B88" s="192" t="s">
        <v>249</v>
      </c>
      <c r="C88" s="116" t="s">
        <v>1049</v>
      </c>
      <c r="D88" s="117">
        <v>42275</v>
      </c>
      <c r="E88" s="117"/>
      <c r="F88" s="191">
        <f t="shared" si="4"/>
        <v>144.46</v>
      </c>
      <c r="G88" s="151">
        <v>1</v>
      </c>
      <c r="H88" s="152">
        <f t="shared" si="5"/>
        <v>1</v>
      </c>
      <c r="I88" s="118">
        <v>144.46</v>
      </c>
      <c r="J88" s="116" t="s">
        <v>8</v>
      </c>
      <c r="K88" s="117">
        <v>42275</v>
      </c>
      <c r="L88" s="119" t="s">
        <v>1050</v>
      </c>
    </row>
    <row r="89" spans="1:12">
      <c r="A89" s="116" t="s">
        <v>7</v>
      </c>
      <c r="B89" s="192" t="s">
        <v>844</v>
      </c>
      <c r="C89" s="116" t="s">
        <v>1051</v>
      </c>
      <c r="D89" s="117">
        <v>42275</v>
      </c>
      <c r="E89" s="117"/>
      <c r="F89" s="191">
        <f t="shared" si="4"/>
        <v>7872.0609999999997</v>
      </c>
      <c r="G89" s="151">
        <v>1</v>
      </c>
      <c r="H89" s="152">
        <f t="shared" si="5"/>
        <v>1</v>
      </c>
      <c r="I89" s="118">
        <v>7872.0609999999997</v>
      </c>
      <c r="J89" s="116" t="s">
        <v>8</v>
      </c>
      <c r="K89" s="117">
        <v>42275</v>
      </c>
      <c r="L89" s="119" t="s">
        <v>1052</v>
      </c>
    </row>
    <row r="90" spans="1:12">
      <c r="A90" s="116" t="s">
        <v>7</v>
      </c>
      <c r="B90" s="192" t="s">
        <v>844</v>
      </c>
      <c r="C90" s="116" t="s">
        <v>1053</v>
      </c>
      <c r="D90" s="117">
        <v>42275</v>
      </c>
      <c r="E90" s="117"/>
      <c r="F90" s="191">
        <f t="shared" si="4"/>
        <v>7578.5709999999999</v>
      </c>
      <c r="G90" s="151">
        <v>1</v>
      </c>
      <c r="H90" s="152">
        <f t="shared" si="5"/>
        <v>1</v>
      </c>
      <c r="I90" s="118">
        <v>7578.5709999999999</v>
      </c>
      <c r="J90" s="116" t="s">
        <v>8</v>
      </c>
      <c r="K90" s="117">
        <v>42275</v>
      </c>
      <c r="L90" s="119" t="s">
        <v>1054</v>
      </c>
    </row>
    <row r="91" spans="1:12">
      <c r="A91" s="116" t="s">
        <v>7</v>
      </c>
      <c r="B91" s="192" t="s">
        <v>867</v>
      </c>
      <c r="C91" s="116" t="s">
        <v>1055</v>
      </c>
      <c r="D91" s="117">
        <v>42275</v>
      </c>
      <c r="E91" s="117"/>
      <c r="F91" s="191">
        <f t="shared" si="4"/>
        <v>1071.5519999999999</v>
      </c>
      <c r="G91" s="151">
        <v>1</v>
      </c>
      <c r="H91" s="152">
        <f t="shared" si="5"/>
        <v>1</v>
      </c>
      <c r="I91" s="118">
        <v>1071.5519999999999</v>
      </c>
      <c r="J91" s="116" t="s">
        <v>8</v>
      </c>
      <c r="K91" s="117">
        <v>42275</v>
      </c>
      <c r="L91" s="119" t="s">
        <v>1056</v>
      </c>
    </row>
    <row r="92" spans="1:12">
      <c r="A92" s="116" t="s">
        <v>7</v>
      </c>
      <c r="B92" s="192" t="s">
        <v>1057</v>
      </c>
      <c r="C92" s="116" t="s">
        <v>1058</v>
      </c>
      <c r="D92" s="117">
        <v>42275</v>
      </c>
      <c r="E92" s="117"/>
      <c r="F92" s="191">
        <f t="shared" si="4"/>
        <v>14910.873</v>
      </c>
      <c r="G92" s="151">
        <v>1</v>
      </c>
      <c r="H92" s="152">
        <f t="shared" si="5"/>
        <v>1</v>
      </c>
      <c r="I92" s="118">
        <v>14910.873</v>
      </c>
      <c r="J92" s="116" t="s">
        <v>8</v>
      </c>
      <c r="K92" s="117">
        <v>42275</v>
      </c>
      <c r="L92" s="119" t="s">
        <v>1059</v>
      </c>
    </row>
    <row r="93" spans="1:12">
      <c r="A93" s="725" t="s">
        <v>7</v>
      </c>
      <c r="B93" s="726" t="s">
        <v>463</v>
      </c>
      <c r="C93" s="211" t="s">
        <v>825</v>
      </c>
      <c r="D93" s="727">
        <v>42275</v>
      </c>
      <c r="E93" s="117"/>
      <c r="F93" s="191">
        <f t="shared" si="4"/>
        <v>0</v>
      </c>
      <c r="G93" s="151">
        <v>1</v>
      </c>
      <c r="H93" s="152">
        <f t="shared" si="5"/>
        <v>1</v>
      </c>
      <c r="I93" s="118">
        <v>0</v>
      </c>
      <c r="J93" s="116" t="s">
        <v>8</v>
      </c>
      <c r="K93" s="117">
        <v>42275</v>
      </c>
      <c r="L93" s="119" t="s">
        <v>978</v>
      </c>
    </row>
    <row r="94" spans="1:12">
      <c r="A94" s="725" t="s">
        <v>7</v>
      </c>
      <c r="B94" s="726" t="s">
        <v>75</v>
      </c>
      <c r="C94" s="211" t="s">
        <v>825</v>
      </c>
      <c r="D94" s="727">
        <v>42275</v>
      </c>
      <c r="E94" s="117"/>
      <c r="F94" s="191">
        <f t="shared" si="4"/>
        <v>0</v>
      </c>
      <c r="G94" s="151">
        <v>1</v>
      </c>
      <c r="H94" s="152">
        <f t="shared" si="5"/>
        <v>1</v>
      </c>
      <c r="I94" s="118">
        <v>0</v>
      </c>
      <c r="J94" s="116" t="s">
        <v>8</v>
      </c>
      <c r="K94" s="117">
        <v>42275</v>
      </c>
      <c r="L94" s="119" t="s">
        <v>979</v>
      </c>
    </row>
    <row r="95" spans="1:12">
      <c r="A95" s="725" t="s">
        <v>7</v>
      </c>
      <c r="B95" s="726" t="s">
        <v>521</v>
      </c>
      <c r="C95" s="725" t="s">
        <v>681</v>
      </c>
      <c r="D95" s="727">
        <v>42248</v>
      </c>
      <c r="E95" s="117"/>
      <c r="F95" s="191">
        <f t="shared" si="4"/>
        <v>5245.6620000000003</v>
      </c>
      <c r="G95" s="151">
        <v>1</v>
      </c>
      <c r="H95" s="152">
        <f t="shared" si="5"/>
        <v>1</v>
      </c>
      <c r="I95" s="118">
        <v>5245.6620000000003</v>
      </c>
      <c r="J95" s="116" t="s">
        <v>8</v>
      </c>
      <c r="K95" s="117">
        <v>42277</v>
      </c>
      <c r="L95" s="119" t="s">
        <v>682</v>
      </c>
    </row>
    <row r="96" spans="1:12">
      <c r="A96" s="725" t="s">
        <v>7</v>
      </c>
      <c r="B96" s="726" t="s">
        <v>657</v>
      </c>
      <c r="C96" s="725" t="s">
        <v>683</v>
      </c>
      <c r="D96" s="727">
        <v>42248</v>
      </c>
      <c r="E96" s="117"/>
      <c r="F96" s="191">
        <f t="shared" si="4"/>
        <v>1247.1369999999999</v>
      </c>
      <c r="G96" s="151">
        <v>1</v>
      </c>
      <c r="H96" s="152">
        <f t="shared" si="5"/>
        <v>1</v>
      </c>
      <c r="I96" s="118">
        <v>1247.1369999999999</v>
      </c>
      <c r="J96" s="116" t="s">
        <v>8</v>
      </c>
      <c r="K96" s="117">
        <v>42277</v>
      </c>
      <c r="L96" s="119" t="s">
        <v>684</v>
      </c>
    </row>
    <row r="97" spans="1:12">
      <c r="A97" s="116" t="s">
        <v>11</v>
      </c>
      <c r="B97" s="192" t="s">
        <v>230</v>
      </c>
      <c r="C97" s="116" t="s">
        <v>607</v>
      </c>
      <c r="D97" s="117">
        <v>42199</v>
      </c>
      <c r="E97" s="117">
        <v>42251</v>
      </c>
      <c r="F97" s="191">
        <f t="shared" si="4"/>
        <v>183.25800000000001</v>
      </c>
      <c r="G97" s="151">
        <v>1</v>
      </c>
      <c r="H97" s="152">
        <f t="shared" si="5"/>
        <v>0</v>
      </c>
      <c r="I97" s="118">
        <v>183.25800000000001</v>
      </c>
      <c r="J97" s="116" t="s">
        <v>8</v>
      </c>
      <c r="K97" s="117">
        <v>42277</v>
      </c>
      <c r="L97" s="119" t="s">
        <v>608</v>
      </c>
    </row>
    <row r="98" spans="1:12">
      <c r="A98" s="116" t="s">
        <v>11</v>
      </c>
      <c r="B98" s="192" t="s">
        <v>700</v>
      </c>
      <c r="C98" s="116" t="s">
        <v>701</v>
      </c>
      <c r="D98" s="117">
        <v>42248</v>
      </c>
      <c r="E98" s="117"/>
      <c r="F98" s="191">
        <f t="shared" si="4"/>
        <v>84.397999999999996</v>
      </c>
      <c r="G98" s="151">
        <v>1</v>
      </c>
      <c r="H98" s="152">
        <f t="shared" si="5"/>
        <v>1</v>
      </c>
      <c r="I98" s="118">
        <v>84.397999999999996</v>
      </c>
      <c r="J98" s="116" t="s">
        <v>8</v>
      </c>
      <c r="K98" s="117">
        <v>42277</v>
      </c>
      <c r="L98" s="119" t="s">
        <v>702</v>
      </c>
    </row>
    <row r="99" spans="1:12">
      <c r="A99" s="116" t="s">
        <v>11</v>
      </c>
      <c r="B99" s="192" t="s">
        <v>249</v>
      </c>
      <c r="C99" s="116" t="s">
        <v>703</v>
      </c>
      <c r="D99" s="117">
        <v>42248</v>
      </c>
      <c r="E99" s="117"/>
      <c r="F99" s="191">
        <f t="shared" si="4"/>
        <v>379.56200000000001</v>
      </c>
      <c r="G99" s="151">
        <v>1</v>
      </c>
      <c r="H99" s="152">
        <f t="shared" si="5"/>
        <v>1</v>
      </c>
      <c r="I99" s="118">
        <v>379.56200000000001</v>
      </c>
      <c r="J99" s="116" t="s">
        <v>8</v>
      </c>
      <c r="K99" s="117">
        <v>42277</v>
      </c>
      <c r="L99" s="119" t="s">
        <v>704</v>
      </c>
    </row>
    <row r="100" spans="1:12">
      <c r="A100" s="116" t="s">
        <v>7</v>
      </c>
      <c r="B100" s="192" t="s">
        <v>446</v>
      </c>
      <c r="C100" s="116" t="s">
        <v>986</v>
      </c>
      <c r="D100" s="117">
        <v>42249</v>
      </c>
      <c r="E100" s="117">
        <v>42276</v>
      </c>
      <c r="F100" s="191">
        <f t="shared" si="4"/>
        <v>139293.364</v>
      </c>
      <c r="G100" s="151">
        <v>1</v>
      </c>
      <c r="H100" s="152">
        <f t="shared" si="5"/>
        <v>0</v>
      </c>
      <c r="I100" s="118">
        <v>139293.364</v>
      </c>
      <c r="J100" s="116" t="s">
        <v>8</v>
      </c>
      <c r="K100" s="117">
        <v>42283</v>
      </c>
      <c r="L100" s="119" t="s">
        <v>987</v>
      </c>
    </row>
    <row r="101" spans="1:12">
      <c r="A101" s="116" t="s">
        <v>7</v>
      </c>
      <c r="B101" s="192" t="s">
        <v>446</v>
      </c>
      <c r="C101" s="116" t="s">
        <v>984</v>
      </c>
      <c r="D101" s="117">
        <v>42249</v>
      </c>
      <c r="E101" s="117">
        <v>42276</v>
      </c>
      <c r="F101" s="191">
        <f t="shared" ref="F101:F126" si="6">SUM(I101*G101)</f>
        <v>136358.41200000001</v>
      </c>
      <c r="G101" s="151">
        <v>1</v>
      </c>
      <c r="H101" s="152">
        <f t="shared" ref="H101:H126" si="7">IF(E101="",1,0)</f>
        <v>0</v>
      </c>
      <c r="I101" s="118">
        <v>136358.41200000001</v>
      </c>
      <c r="J101" s="116" t="s">
        <v>8</v>
      </c>
      <c r="K101" s="117">
        <v>42283</v>
      </c>
      <c r="L101" s="119" t="s">
        <v>985</v>
      </c>
    </row>
    <row r="102" spans="1:12">
      <c r="A102" s="725" t="s">
        <v>7</v>
      </c>
      <c r="B102" s="726" t="s">
        <v>521</v>
      </c>
      <c r="C102" s="725" t="s">
        <v>689</v>
      </c>
      <c r="D102" s="727">
        <v>42248</v>
      </c>
      <c r="E102" s="117"/>
      <c r="F102" s="191">
        <f t="shared" si="6"/>
        <v>4810.2070000000003</v>
      </c>
      <c r="G102" s="151">
        <v>1</v>
      </c>
      <c r="H102" s="152">
        <f t="shared" si="7"/>
        <v>1</v>
      </c>
      <c r="I102" s="118">
        <v>4810.2070000000003</v>
      </c>
      <c r="J102" s="116" t="s">
        <v>8</v>
      </c>
      <c r="K102" s="117">
        <v>42292</v>
      </c>
      <c r="L102" s="119" t="s">
        <v>690</v>
      </c>
    </row>
    <row r="103" spans="1:12">
      <c r="A103" s="116" t="s">
        <v>7</v>
      </c>
      <c r="B103" s="192" t="s">
        <v>521</v>
      </c>
      <c r="C103" s="116" t="s">
        <v>1045</v>
      </c>
      <c r="D103" s="117">
        <v>42275</v>
      </c>
      <c r="E103" s="117"/>
      <c r="F103" s="191">
        <f t="shared" si="6"/>
        <v>4623.7160000000003</v>
      </c>
      <c r="G103" s="151">
        <v>1</v>
      </c>
      <c r="H103" s="152">
        <f t="shared" si="7"/>
        <v>1</v>
      </c>
      <c r="I103" s="118">
        <v>4623.7160000000003</v>
      </c>
      <c r="J103" s="116" t="s">
        <v>8</v>
      </c>
      <c r="K103" s="117">
        <v>42292</v>
      </c>
      <c r="L103" s="119" t="s">
        <v>1046</v>
      </c>
    </row>
    <row r="104" spans="1:12">
      <c r="A104" s="116" t="s">
        <v>11</v>
      </c>
      <c r="B104" s="192" t="s">
        <v>10</v>
      </c>
      <c r="C104" s="116" t="s">
        <v>651</v>
      </c>
      <c r="D104" s="117">
        <v>42221</v>
      </c>
      <c r="E104" s="117">
        <v>42244</v>
      </c>
      <c r="F104" s="191">
        <f t="shared" si="6"/>
        <v>713.13</v>
      </c>
      <c r="G104" s="151">
        <v>1</v>
      </c>
      <c r="H104" s="152">
        <f t="shared" si="7"/>
        <v>0</v>
      </c>
      <c r="I104" s="118">
        <v>713.13</v>
      </c>
      <c r="J104" s="116" t="s">
        <v>8</v>
      </c>
      <c r="K104" s="117">
        <v>42292</v>
      </c>
      <c r="L104" s="119" t="s">
        <v>652</v>
      </c>
    </row>
    <row r="105" spans="1:12">
      <c r="A105" s="116" t="s">
        <v>11</v>
      </c>
      <c r="B105" s="192" t="s">
        <v>136</v>
      </c>
      <c r="C105" s="116" t="s">
        <v>127</v>
      </c>
      <c r="D105" s="117">
        <v>42108</v>
      </c>
      <c r="E105" s="117">
        <v>42108</v>
      </c>
      <c r="F105" s="191">
        <f t="shared" si="6"/>
        <v>73875</v>
      </c>
      <c r="G105" s="151">
        <v>1</v>
      </c>
      <c r="H105" s="152">
        <f t="shared" si="7"/>
        <v>0</v>
      </c>
      <c r="I105" s="118">
        <v>73875</v>
      </c>
      <c r="J105" s="116" t="s">
        <v>134</v>
      </c>
      <c r="K105" s="117">
        <v>42292</v>
      </c>
      <c r="L105" s="119" t="s">
        <v>491</v>
      </c>
    </row>
    <row r="106" spans="1:12">
      <c r="A106" s="116" t="s">
        <v>11</v>
      </c>
      <c r="B106" s="192" t="s">
        <v>422</v>
      </c>
      <c r="C106" s="116" t="s">
        <v>707</v>
      </c>
      <c r="D106" s="117">
        <v>42248</v>
      </c>
      <c r="E106" s="117">
        <v>42251</v>
      </c>
      <c r="F106" s="191">
        <f t="shared" si="6"/>
        <v>3689.4560000000001</v>
      </c>
      <c r="G106" s="151">
        <v>1</v>
      </c>
      <c r="H106" s="152">
        <f t="shared" si="7"/>
        <v>0</v>
      </c>
      <c r="I106" s="118">
        <v>3689.4560000000001</v>
      </c>
      <c r="J106" s="116" t="s">
        <v>8</v>
      </c>
      <c r="K106" s="117">
        <v>42292</v>
      </c>
      <c r="L106" s="119" t="s">
        <v>708</v>
      </c>
    </row>
    <row r="107" spans="1:12">
      <c r="A107" s="116" t="s">
        <v>11</v>
      </c>
      <c r="B107" s="192" t="s">
        <v>438</v>
      </c>
      <c r="C107" s="116" t="s">
        <v>709</v>
      </c>
      <c r="D107" s="117">
        <v>42248</v>
      </c>
      <c r="E107" s="117"/>
      <c r="F107" s="191">
        <f t="shared" si="6"/>
        <v>2098.8809999999999</v>
      </c>
      <c r="G107" s="151">
        <v>1</v>
      </c>
      <c r="H107" s="152">
        <f t="shared" si="7"/>
        <v>1</v>
      </c>
      <c r="I107" s="118">
        <v>2098.8809999999999</v>
      </c>
      <c r="J107" s="116" t="s">
        <v>8</v>
      </c>
      <c r="K107" s="117">
        <v>42292</v>
      </c>
      <c r="L107" s="119" t="s">
        <v>710</v>
      </c>
    </row>
    <row r="108" spans="1:12">
      <c r="A108" s="116" t="s">
        <v>11</v>
      </c>
      <c r="B108" s="192" t="s">
        <v>857</v>
      </c>
      <c r="C108" s="116" t="s">
        <v>967</v>
      </c>
      <c r="D108" s="117">
        <v>42275</v>
      </c>
      <c r="E108" s="117"/>
      <c r="F108" s="191">
        <f t="shared" si="6"/>
        <v>2115.8789999999999</v>
      </c>
      <c r="G108" s="151">
        <v>1</v>
      </c>
      <c r="H108" s="152">
        <f t="shared" si="7"/>
        <v>1</v>
      </c>
      <c r="I108" s="118">
        <v>2115.8789999999999</v>
      </c>
      <c r="J108" s="116" t="s">
        <v>8</v>
      </c>
      <c r="K108" s="117">
        <v>42292</v>
      </c>
      <c r="L108" s="119" t="s">
        <v>1036</v>
      </c>
    </row>
    <row r="109" spans="1:12">
      <c r="A109" s="116" t="s">
        <v>11</v>
      </c>
      <c r="B109" s="192" t="s">
        <v>259</v>
      </c>
      <c r="C109" s="116" t="s">
        <v>1004</v>
      </c>
      <c r="D109" s="117">
        <v>42275</v>
      </c>
      <c r="E109" s="117"/>
      <c r="F109" s="191">
        <f t="shared" si="6"/>
        <v>425.21</v>
      </c>
      <c r="G109" s="151">
        <v>1</v>
      </c>
      <c r="H109" s="152">
        <f t="shared" si="7"/>
        <v>1</v>
      </c>
      <c r="I109" s="118">
        <v>425.21</v>
      </c>
      <c r="J109" s="116" t="s">
        <v>8</v>
      </c>
      <c r="K109" s="117">
        <v>42302</v>
      </c>
      <c r="L109" s="119" t="s">
        <v>1005</v>
      </c>
    </row>
    <row r="110" spans="1:12">
      <c r="A110" s="116" t="s">
        <v>7</v>
      </c>
      <c r="B110" s="192" t="s">
        <v>845</v>
      </c>
      <c r="C110" s="116" t="s">
        <v>1028</v>
      </c>
      <c r="D110" s="117">
        <v>42275</v>
      </c>
      <c r="E110" s="117"/>
      <c r="F110" s="191">
        <f t="shared" si="6"/>
        <v>1050.29</v>
      </c>
      <c r="G110" s="151">
        <v>1</v>
      </c>
      <c r="H110" s="152">
        <f t="shared" si="7"/>
        <v>1</v>
      </c>
      <c r="I110" s="118">
        <v>1050.29</v>
      </c>
      <c r="J110" s="116" t="s">
        <v>8</v>
      </c>
      <c r="K110" s="117">
        <v>42308</v>
      </c>
      <c r="L110" s="119" t="s">
        <v>1029</v>
      </c>
    </row>
    <row r="111" spans="1:12">
      <c r="A111" s="116" t="s">
        <v>7</v>
      </c>
      <c r="B111" s="192" t="s">
        <v>521</v>
      </c>
      <c r="C111" s="116" t="s">
        <v>1043</v>
      </c>
      <c r="D111" s="117">
        <v>42275</v>
      </c>
      <c r="E111" s="117"/>
      <c r="F111" s="191">
        <f t="shared" si="6"/>
        <v>2742.4169999999999</v>
      </c>
      <c r="G111" s="151">
        <v>1</v>
      </c>
      <c r="H111" s="152">
        <f t="shared" si="7"/>
        <v>1</v>
      </c>
      <c r="I111" s="118">
        <v>2742.4169999999999</v>
      </c>
      <c r="J111" s="116" t="s">
        <v>8</v>
      </c>
      <c r="K111" s="117">
        <v>42308</v>
      </c>
      <c r="L111" s="119" t="s">
        <v>1044</v>
      </c>
    </row>
    <row r="112" spans="1:12">
      <c r="A112" s="725" t="s">
        <v>11</v>
      </c>
      <c r="B112" s="726" t="s">
        <v>10</v>
      </c>
      <c r="C112" s="725" t="s">
        <v>685</v>
      </c>
      <c r="D112" s="727">
        <v>42248</v>
      </c>
      <c r="E112" s="117"/>
      <c r="F112" s="191">
        <f t="shared" si="6"/>
        <v>2396.89</v>
      </c>
      <c r="G112" s="151">
        <v>1</v>
      </c>
      <c r="H112" s="152">
        <f t="shared" si="7"/>
        <v>1</v>
      </c>
      <c r="I112" s="118">
        <v>2396.89</v>
      </c>
      <c r="J112" s="116" t="s">
        <v>8</v>
      </c>
      <c r="K112" s="117">
        <v>42308</v>
      </c>
      <c r="L112" s="119" t="s">
        <v>686</v>
      </c>
    </row>
    <row r="113" spans="1:12">
      <c r="A113" s="116" t="s">
        <v>11</v>
      </c>
      <c r="B113" s="192" t="s">
        <v>567</v>
      </c>
      <c r="C113" s="116" t="s">
        <v>807</v>
      </c>
      <c r="D113" s="117">
        <v>42248</v>
      </c>
      <c r="E113" s="117">
        <v>42251</v>
      </c>
      <c r="F113" s="191">
        <f t="shared" si="6"/>
        <v>1893.2570000000001</v>
      </c>
      <c r="G113" s="151">
        <v>1</v>
      </c>
      <c r="H113" s="152">
        <f t="shared" si="7"/>
        <v>0</v>
      </c>
      <c r="I113" s="118">
        <v>1893.2570000000001</v>
      </c>
      <c r="J113" s="116" t="s">
        <v>8</v>
      </c>
      <c r="K113" s="117">
        <v>42308</v>
      </c>
      <c r="L113" s="119" t="s">
        <v>808</v>
      </c>
    </row>
    <row r="114" spans="1:12">
      <c r="A114" s="116" t="s">
        <v>11</v>
      </c>
      <c r="B114" s="192" t="s">
        <v>230</v>
      </c>
      <c r="C114" s="116" t="s">
        <v>713</v>
      </c>
      <c r="D114" s="117">
        <v>42248</v>
      </c>
      <c r="E114" s="117">
        <v>42251</v>
      </c>
      <c r="F114" s="191">
        <f t="shared" si="6"/>
        <v>585.154</v>
      </c>
      <c r="G114" s="151">
        <v>1</v>
      </c>
      <c r="H114" s="152">
        <f t="shared" si="7"/>
        <v>0</v>
      </c>
      <c r="I114" s="118">
        <v>585.154</v>
      </c>
      <c r="J114" s="116" t="s">
        <v>8</v>
      </c>
      <c r="K114" s="117">
        <v>42308</v>
      </c>
      <c r="L114" s="119" t="s">
        <v>714</v>
      </c>
    </row>
    <row r="115" spans="1:12">
      <c r="A115" s="116" t="s">
        <v>553</v>
      </c>
      <c r="B115" s="192" t="s">
        <v>75</v>
      </c>
      <c r="C115" s="116" t="s">
        <v>568</v>
      </c>
      <c r="D115" s="117">
        <v>42216</v>
      </c>
      <c r="E115" s="117"/>
      <c r="F115" s="191">
        <f t="shared" si="6"/>
        <v>162410.48000000001</v>
      </c>
      <c r="G115" s="151">
        <v>1</v>
      </c>
      <c r="H115" s="152">
        <f t="shared" si="7"/>
        <v>1</v>
      </c>
      <c r="I115" s="118">
        <v>162410.48000000001</v>
      </c>
      <c r="J115" s="116" t="s">
        <v>8</v>
      </c>
      <c r="K115" s="117">
        <v>42308</v>
      </c>
      <c r="L115" s="119" t="s">
        <v>634</v>
      </c>
    </row>
    <row r="116" spans="1:12">
      <c r="A116" s="116" t="s">
        <v>11</v>
      </c>
      <c r="B116" s="192" t="s">
        <v>136</v>
      </c>
      <c r="C116" s="116" t="s">
        <v>127</v>
      </c>
      <c r="D116" s="117">
        <v>42188</v>
      </c>
      <c r="E116" s="117">
        <v>42188</v>
      </c>
      <c r="F116" s="191">
        <f t="shared" si="6"/>
        <v>73875</v>
      </c>
      <c r="G116" s="151">
        <v>1</v>
      </c>
      <c r="H116" s="152">
        <f t="shared" si="7"/>
        <v>0</v>
      </c>
      <c r="I116" s="118">
        <v>73875</v>
      </c>
      <c r="J116" s="116" t="s">
        <v>134</v>
      </c>
      <c r="K116" s="117">
        <v>42323</v>
      </c>
      <c r="L116" s="119" t="s">
        <v>574</v>
      </c>
    </row>
    <row r="117" spans="1:12">
      <c r="A117" s="725" t="s">
        <v>11</v>
      </c>
      <c r="B117" s="726" t="s">
        <v>268</v>
      </c>
      <c r="C117" s="725" t="s">
        <v>691</v>
      </c>
      <c r="D117" s="727">
        <v>42248</v>
      </c>
      <c r="E117" s="117">
        <v>42251</v>
      </c>
      <c r="F117" s="191">
        <f t="shared" si="6"/>
        <v>373.47399999999999</v>
      </c>
      <c r="G117" s="151">
        <v>1</v>
      </c>
      <c r="H117" s="152">
        <f t="shared" si="7"/>
        <v>0</v>
      </c>
      <c r="I117" s="118">
        <v>373.47399999999999</v>
      </c>
      <c r="J117" s="116" t="s">
        <v>8</v>
      </c>
      <c r="K117" s="117">
        <v>42323</v>
      </c>
      <c r="L117" s="119" t="s">
        <v>692</v>
      </c>
    </row>
    <row r="118" spans="1:12">
      <c r="A118" s="116" t="s">
        <v>11</v>
      </c>
      <c r="B118" s="192" t="s">
        <v>10</v>
      </c>
      <c r="C118" s="116" t="s">
        <v>711</v>
      </c>
      <c r="D118" s="117">
        <v>42248</v>
      </c>
      <c r="E118" s="117"/>
      <c r="F118" s="191">
        <f t="shared" si="6"/>
        <v>1184.1189999999999</v>
      </c>
      <c r="G118" s="151">
        <v>1</v>
      </c>
      <c r="H118" s="152">
        <f t="shared" si="7"/>
        <v>1</v>
      </c>
      <c r="I118" s="118">
        <v>1184.1189999999999</v>
      </c>
      <c r="J118" s="116" t="s">
        <v>8</v>
      </c>
      <c r="K118" s="117">
        <v>42323</v>
      </c>
      <c r="L118" s="119" t="s">
        <v>712</v>
      </c>
    </row>
    <row r="119" spans="1:12">
      <c r="A119" s="116" t="s">
        <v>11</v>
      </c>
      <c r="B119" s="192" t="s">
        <v>76</v>
      </c>
      <c r="C119" s="116" t="s">
        <v>1039</v>
      </c>
      <c r="D119" s="117">
        <v>42275</v>
      </c>
      <c r="E119" s="117"/>
      <c r="F119" s="191">
        <f t="shared" si="6"/>
        <v>10409.555</v>
      </c>
      <c r="G119" s="151">
        <v>1</v>
      </c>
      <c r="H119" s="152">
        <f t="shared" si="7"/>
        <v>1</v>
      </c>
      <c r="I119" s="118">
        <v>10409.555</v>
      </c>
      <c r="J119" s="116" t="s">
        <v>8</v>
      </c>
      <c r="K119" s="117">
        <v>42323</v>
      </c>
      <c r="L119" s="119" t="s">
        <v>1040</v>
      </c>
    </row>
    <row r="120" spans="1:12">
      <c r="A120" s="116" t="s">
        <v>11</v>
      </c>
      <c r="B120" s="192" t="s">
        <v>438</v>
      </c>
      <c r="C120" s="116" t="s">
        <v>1060</v>
      </c>
      <c r="D120" s="117">
        <v>42275</v>
      </c>
      <c r="E120" s="117"/>
      <c r="F120" s="191">
        <f t="shared" si="6"/>
        <v>2993.4110000000001</v>
      </c>
      <c r="G120" s="151">
        <v>1</v>
      </c>
      <c r="H120" s="152">
        <f t="shared" si="7"/>
        <v>1</v>
      </c>
      <c r="I120" s="118">
        <v>2993.4110000000001</v>
      </c>
      <c r="J120" s="116" t="s">
        <v>8</v>
      </c>
      <c r="K120" s="117">
        <v>42338</v>
      </c>
      <c r="L120" s="119" t="s">
        <v>1061</v>
      </c>
    </row>
    <row r="121" spans="1:12">
      <c r="A121" s="116" t="s">
        <v>11</v>
      </c>
      <c r="B121" s="192" t="s">
        <v>76</v>
      </c>
      <c r="C121" s="116" t="s">
        <v>1041</v>
      </c>
      <c r="D121" s="117">
        <v>42275</v>
      </c>
      <c r="E121" s="117"/>
      <c r="F121" s="191">
        <f t="shared" si="6"/>
        <v>10093.795</v>
      </c>
      <c r="G121" s="151">
        <v>1</v>
      </c>
      <c r="H121" s="152">
        <f t="shared" si="7"/>
        <v>1</v>
      </c>
      <c r="I121" s="118">
        <v>10093.795</v>
      </c>
      <c r="J121" s="116" t="s">
        <v>8</v>
      </c>
      <c r="K121" s="117">
        <v>42338</v>
      </c>
      <c r="L121" s="119" t="s">
        <v>1042</v>
      </c>
    </row>
    <row r="122" spans="1:12">
      <c r="A122" s="116" t="s">
        <v>11</v>
      </c>
      <c r="B122" s="192" t="s">
        <v>10</v>
      </c>
      <c r="C122" s="116" t="s">
        <v>1030</v>
      </c>
      <c r="D122" s="117">
        <v>42275</v>
      </c>
      <c r="E122" s="117"/>
      <c r="F122" s="191">
        <f t="shared" si="6"/>
        <v>2036.489</v>
      </c>
      <c r="G122" s="151">
        <v>1</v>
      </c>
      <c r="H122" s="152">
        <f t="shared" si="7"/>
        <v>1</v>
      </c>
      <c r="I122" s="118">
        <v>2036.489</v>
      </c>
      <c r="J122" s="116" t="s">
        <v>8</v>
      </c>
      <c r="K122" s="117">
        <v>42338</v>
      </c>
      <c r="L122" s="119" t="s">
        <v>1031</v>
      </c>
    </row>
    <row r="123" spans="1:12">
      <c r="A123" s="116" t="s">
        <v>11</v>
      </c>
      <c r="B123" s="192" t="s">
        <v>916</v>
      </c>
      <c r="C123" s="116" t="s">
        <v>1000</v>
      </c>
      <c r="D123" s="117">
        <v>42275</v>
      </c>
      <c r="E123" s="117"/>
      <c r="F123" s="191">
        <f t="shared" si="6"/>
        <v>255.083</v>
      </c>
      <c r="G123" s="151">
        <v>1</v>
      </c>
      <c r="H123" s="152">
        <f t="shared" si="7"/>
        <v>1</v>
      </c>
      <c r="I123" s="118">
        <v>255.083</v>
      </c>
      <c r="J123" s="116" t="s">
        <v>8</v>
      </c>
      <c r="K123" s="117">
        <v>42338</v>
      </c>
      <c r="L123" s="119" t="s">
        <v>1001</v>
      </c>
    </row>
    <row r="124" spans="1:12">
      <c r="A124" s="116" t="s">
        <v>11</v>
      </c>
      <c r="B124" s="192" t="s">
        <v>136</v>
      </c>
      <c r="C124" s="116" t="s">
        <v>127</v>
      </c>
      <c r="D124" s="117">
        <v>42188</v>
      </c>
      <c r="E124" s="117">
        <v>42188</v>
      </c>
      <c r="F124" s="191">
        <f t="shared" si="6"/>
        <v>73875</v>
      </c>
      <c r="G124" s="151">
        <v>1</v>
      </c>
      <c r="H124" s="152">
        <f t="shared" si="7"/>
        <v>0</v>
      </c>
      <c r="I124" s="118">
        <v>73875</v>
      </c>
      <c r="J124" s="116" t="s">
        <v>134</v>
      </c>
      <c r="K124" s="117">
        <v>42353</v>
      </c>
      <c r="L124" s="119" t="s">
        <v>575</v>
      </c>
    </row>
    <row r="125" spans="1:12">
      <c r="A125" s="116" t="s">
        <v>11</v>
      </c>
      <c r="B125" s="192" t="s">
        <v>136</v>
      </c>
      <c r="C125" s="116" t="s">
        <v>127</v>
      </c>
      <c r="D125" s="117">
        <v>42255</v>
      </c>
      <c r="E125" s="117">
        <v>42255</v>
      </c>
      <c r="F125" s="191">
        <f t="shared" si="6"/>
        <v>73875</v>
      </c>
      <c r="G125" s="151">
        <v>1</v>
      </c>
      <c r="H125" s="152">
        <f t="shared" si="7"/>
        <v>0</v>
      </c>
      <c r="I125" s="118">
        <v>73875</v>
      </c>
      <c r="J125" s="116" t="s">
        <v>134</v>
      </c>
      <c r="K125" s="117">
        <v>42384</v>
      </c>
      <c r="L125" s="119" t="s">
        <v>809</v>
      </c>
    </row>
    <row r="126" spans="1:12">
      <c r="A126" s="116" t="s">
        <v>11</v>
      </c>
      <c r="B126" s="192" t="s">
        <v>136</v>
      </c>
      <c r="C126" s="116" t="s">
        <v>127</v>
      </c>
      <c r="D126" s="117">
        <v>42255</v>
      </c>
      <c r="E126" s="117">
        <v>42255</v>
      </c>
      <c r="F126" s="191">
        <f t="shared" si="6"/>
        <v>73875</v>
      </c>
      <c r="G126" s="151">
        <v>1</v>
      </c>
      <c r="H126" s="152">
        <f t="shared" si="7"/>
        <v>0</v>
      </c>
      <c r="I126" s="118">
        <v>73875</v>
      </c>
      <c r="J126" s="116" t="s">
        <v>134</v>
      </c>
      <c r="K126" s="117">
        <v>42415</v>
      </c>
      <c r="L126" s="119" t="s">
        <v>810</v>
      </c>
    </row>
  </sheetData>
  <autoFilter ref="A4:L126">
    <filterColumn colId="0"/>
    <filterColumn colId="1"/>
    <filterColumn colId="9"/>
    <sortState ref="A5:L92">
      <sortCondition ref="K5:K92"/>
    </sortState>
  </autoFilter>
  <sortState ref="A5:L126">
    <sortCondition ref="K5:K126"/>
  </sortState>
  <mergeCells count="1">
    <mergeCell ref="G4:H4"/>
  </mergeCells>
  <pageMargins left="0" right="0" top="0.11811023622047245" bottom="0" header="0" footer="0"/>
  <pageSetup paperSize="9" orientation="portrait" horizontalDpi="180" verticalDpi="180" r:id="rId1"/>
</worksheet>
</file>

<file path=xl/worksheets/sheet9.xml><?xml version="1.0" encoding="utf-8"?>
<worksheet xmlns="http://schemas.openxmlformats.org/spreadsheetml/2006/main" xmlns:r="http://schemas.openxmlformats.org/officeDocument/2006/relationships">
  <sheetPr codeName="Feuil11">
    <pageSetUpPr fitToPage="1"/>
  </sheetPr>
  <dimension ref="A1:L29"/>
  <sheetViews>
    <sheetView zoomScale="85" zoomScaleNormal="85" workbookViewId="0">
      <pane ySplit="4" topLeftCell="A5" activePane="bottomLeft" state="frozen"/>
      <selection activeCell="P28" sqref="P28"/>
      <selection pane="bottomLeft" activeCell="I48" sqref="I48"/>
    </sheetView>
  </sheetViews>
  <sheetFormatPr baseColWidth="10" defaultColWidth="31.5703125" defaultRowHeight="12.75"/>
  <cols>
    <col min="1" max="1" width="11" style="124" customWidth="1"/>
    <col min="2" max="2" width="32.5703125" style="124" bestFit="1" customWidth="1"/>
    <col min="3" max="3" width="22.85546875" style="124" bestFit="1" customWidth="1"/>
    <col min="4" max="4" width="14.42578125" style="124" bestFit="1" customWidth="1"/>
    <col min="5" max="5" width="16.5703125" style="124" bestFit="1" customWidth="1"/>
    <col min="6" max="6" width="15.140625" style="124" bestFit="1" customWidth="1"/>
    <col min="7" max="8" width="2.140625" style="124" bestFit="1" customWidth="1"/>
    <col min="9" max="9" width="11.28515625" style="126" bestFit="1" customWidth="1"/>
    <col min="10" max="10" width="10.42578125" style="124" bestFit="1" customWidth="1"/>
    <col min="11" max="11" width="15.28515625" style="124" bestFit="1" customWidth="1"/>
    <col min="12" max="12" width="13.28515625" style="127" bestFit="1" customWidth="1"/>
    <col min="13" max="16384" width="31.5703125" style="124"/>
  </cols>
  <sheetData>
    <row r="1" spans="1:12" ht="13.5" thickBot="1">
      <c r="A1" s="88"/>
      <c r="B1" s="88"/>
      <c r="C1" s="88"/>
      <c r="D1" s="88"/>
      <c r="E1" s="115"/>
      <c r="F1" s="108"/>
      <c r="G1" s="109"/>
      <c r="H1" s="110"/>
      <c r="I1" s="6"/>
      <c r="J1" s="89"/>
      <c r="K1" s="111"/>
      <c r="L1" s="89"/>
    </row>
    <row r="2" spans="1:12" ht="13.5" thickBot="1">
      <c r="A2" s="88"/>
      <c r="B2" s="112" t="s">
        <v>128</v>
      </c>
      <c r="C2" s="88"/>
      <c r="D2" s="88"/>
      <c r="E2" s="115"/>
      <c r="F2" s="108"/>
      <c r="G2" s="109"/>
      <c r="H2" s="110"/>
      <c r="I2" s="6"/>
      <c r="J2" s="89"/>
      <c r="K2" s="111"/>
      <c r="L2" s="89"/>
    </row>
    <row r="3" spans="1:12">
      <c r="A3" s="121"/>
      <c r="B3" s="121"/>
      <c r="C3" s="121"/>
      <c r="D3" s="121"/>
      <c r="E3" s="121"/>
      <c r="F3" s="121"/>
      <c r="G3" s="121"/>
      <c r="H3" s="121"/>
      <c r="I3" s="88"/>
      <c r="J3" s="121"/>
      <c r="K3" s="121"/>
      <c r="L3" s="125"/>
    </row>
    <row r="4" spans="1:12" s="122" customFormat="1">
      <c r="A4" s="182" t="s">
        <v>0</v>
      </c>
      <c r="B4" s="182" t="s">
        <v>1</v>
      </c>
      <c r="C4" s="183" t="s">
        <v>2</v>
      </c>
      <c r="D4" s="182" t="s">
        <v>123</v>
      </c>
      <c r="E4" s="291" t="s">
        <v>124</v>
      </c>
      <c r="F4" s="185" t="s">
        <v>125</v>
      </c>
      <c r="G4" s="1035" t="s">
        <v>126</v>
      </c>
      <c r="H4" s="1036"/>
      <c r="I4" s="186" t="s">
        <v>3</v>
      </c>
      <c r="J4" s="183" t="s">
        <v>4</v>
      </c>
      <c r="K4" s="184" t="s">
        <v>5</v>
      </c>
      <c r="L4" s="183" t="s">
        <v>6</v>
      </c>
    </row>
    <row r="5" spans="1:12">
      <c r="A5" s="2" t="s">
        <v>7</v>
      </c>
      <c r="B5" s="493" t="s">
        <v>287</v>
      </c>
      <c r="C5" s="188" t="s">
        <v>420</v>
      </c>
      <c r="D5" s="189">
        <v>41303</v>
      </c>
      <c r="E5" s="189"/>
      <c r="F5" s="190">
        <f t="shared" ref="F5:F29" si="0">SUM(I5*G5)</f>
        <v>275.61799999999999</v>
      </c>
      <c r="G5" s="90">
        <v>1</v>
      </c>
      <c r="H5" s="152">
        <f t="shared" ref="H5:H29" si="1">IF(E5="",1,0)</f>
        <v>1</v>
      </c>
      <c r="I5" s="361">
        <v>275.61799999999999</v>
      </c>
      <c r="J5" s="4" t="s">
        <v>8</v>
      </c>
      <c r="K5" s="3">
        <v>41303</v>
      </c>
      <c r="L5" s="4" t="s">
        <v>421</v>
      </c>
    </row>
    <row r="6" spans="1:12">
      <c r="A6" s="116" t="s">
        <v>7</v>
      </c>
      <c r="B6" s="411" t="s">
        <v>479</v>
      </c>
      <c r="C6" s="116" t="s">
        <v>127</v>
      </c>
      <c r="D6" s="117">
        <v>42065</v>
      </c>
      <c r="E6" s="117"/>
      <c r="F6" s="113">
        <f t="shared" si="0"/>
        <v>583.82600000000002</v>
      </c>
      <c r="G6" s="90">
        <v>1</v>
      </c>
      <c r="H6" s="152">
        <f t="shared" si="1"/>
        <v>1</v>
      </c>
      <c r="I6" s="118">
        <v>583.82600000000002</v>
      </c>
      <c r="J6" s="116" t="s">
        <v>8</v>
      </c>
      <c r="K6" s="117">
        <v>42097</v>
      </c>
      <c r="L6" s="119" t="s">
        <v>478</v>
      </c>
    </row>
    <row r="7" spans="1:12">
      <c r="A7" s="116" t="s">
        <v>7</v>
      </c>
      <c r="B7" s="411" t="s">
        <v>495</v>
      </c>
      <c r="C7" s="116" t="s">
        <v>496</v>
      </c>
      <c r="D7" s="117">
        <v>42118</v>
      </c>
      <c r="E7" s="117"/>
      <c r="F7" s="113">
        <f t="shared" si="0"/>
        <v>2113.5790000000002</v>
      </c>
      <c r="G7" s="90">
        <v>1</v>
      </c>
      <c r="H7" s="152">
        <f t="shared" si="1"/>
        <v>1</v>
      </c>
      <c r="I7" s="118">
        <v>2113.5790000000002</v>
      </c>
      <c r="J7" s="116" t="s">
        <v>8</v>
      </c>
      <c r="K7" s="117">
        <v>42118</v>
      </c>
      <c r="L7" s="119" t="s">
        <v>497</v>
      </c>
    </row>
    <row r="8" spans="1:12">
      <c r="A8" s="116" t="s">
        <v>7</v>
      </c>
      <c r="B8" s="411" t="s">
        <v>501</v>
      </c>
      <c r="C8" s="116" t="s">
        <v>502</v>
      </c>
      <c r="D8" s="117">
        <v>42126</v>
      </c>
      <c r="E8" s="117">
        <v>42277</v>
      </c>
      <c r="F8" s="113">
        <f t="shared" si="0"/>
        <v>189.434</v>
      </c>
      <c r="G8" s="90">
        <v>1</v>
      </c>
      <c r="H8" s="152">
        <f t="shared" si="1"/>
        <v>0</v>
      </c>
      <c r="I8" s="118">
        <v>189.434</v>
      </c>
      <c r="J8" s="116" t="s">
        <v>8</v>
      </c>
      <c r="K8" s="117">
        <v>42126</v>
      </c>
      <c r="L8" s="119" t="s">
        <v>503</v>
      </c>
    </row>
    <row r="9" spans="1:12">
      <c r="A9" s="116" t="s">
        <v>7</v>
      </c>
      <c r="B9" s="411" t="s">
        <v>501</v>
      </c>
      <c r="C9" s="116" t="s">
        <v>534</v>
      </c>
      <c r="D9" s="117">
        <v>42142</v>
      </c>
      <c r="E9" s="117">
        <v>42277</v>
      </c>
      <c r="F9" s="113">
        <f t="shared" si="0"/>
        <v>416.62799999999999</v>
      </c>
      <c r="G9" s="90">
        <v>1</v>
      </c>
      <c r="H9" s="152">
        <f t="shared" si="1"/>
        <v>0</v>
      </c>
      <c r="I9" s="118">
        <v>416.62799999999999</v>
      </c>
      <c r="J9" s="116" t="s">
        <v>8</v>
      </c>
      <c r="K9" s="117">
        <v>42142</v>
      </c>
      <c r="L9" s="119" t="s">
        <v>522</v>
      </c>
    </row>
    <row r="10" spans="1:12">
      <c r="A10" s="116" t="s">
        <v>7</v>
      </c>
      <c r="B10" s="411" t="s">
        <v>501</v>
      </c>
      <c r="C10" s="116" t="s">
        <v>545</v>
      </c>
      <c r="D10" s="117">
        <v>42181</v>
      </c>
      <c r="E10" s="117">
        <v>42277</v>
      </c>
      <c r="F10" s="113">
        <f t="shared" si="0"/>
        <v>836.60299999999995</v>
      </c>
      <c r="G10" s="90">
        <v>1</v>
      </c>
      <c r="H10" s="152">
        <f t="shared" si="1"/>
        <v>0</v>
      </c>
      <c r="I10" s="118">
        <v>836.60299999999995</v>
      </c>
      <c r="J10" s="116" t="s">
        <v>8</v>
      </c>
      <c r="K10" s="117">
        <v>42181</v>
      </c>
      <c r="L10" s="119" t="s">
        <v>546</v>
      </c>
    </row>
    <row r="11" spans="1:12">
      <c r="A11" s="116" t="s">
        <v>7</v>
      </c>
      <c r="B11" s="411" t="s">
        <v>269</v>
      </c>
      <c r="C11" s="116" t="s">
        <v>589</v>
      </c>
      <c r="D11" s="117">
        <v>42199</v>
      </c>
      <c r="E11" s="117"/>
      <c r="F11" s="113">
        <f t="shared" si="0"/>
        <v>2545.558</v>
      </c>
      <c r="G11" s="90">
        <v>1</v>
      </c>
      <c r="H11" s="152">
        <f t="shared" si="1"/>
        <v>1</v>
      </c>
      <c r="I11" s="118">
        <v>2545.558</v>
      </c>
      <c r="J11" s="116" t="s">
        <v>8</v>
      </c>
      <c r="K11" s="117">
        <v>42199</v>
      </c>
      <c r="L11" s="119" t="s">
        <v>590</v>
      </c>
    </row>
    <row r="12" spans="1:12">
      <c r="A12" s="116" t="s">
        <v>7</v>
      </c>
      <c r="B12" s="411" t="s">
        <v>501</v>
      </c>
      <c r="C12" s="116" t="s">
        <v>626</v>
      </c>
      <c r="D12" s="117">
        <v>42217</v>
      </c>
      <c r="E12" s="117">
        <v>42277</v>
      </c>
      <c r="F12" s="113">
        <f t="shared" si="0"/>
        <v>515.03399999999999</v>
      </c>
      <c r="G12" s="90">
        <v>1</v>
      </c>
      <c r="H12" s="152">
        <f t="shared" si="1"/>
        <v>0</v>
      </c>
      <c r="I12" s="118">
        <v>515.03399999999999</v>
      </c>
      <c r="J12" s="116" t="s">
        <v>8</v>
      </c>
      <c r="K12" s="117">
        <v>42217</v>
      </c>
      <c r="L12" s="119" t="s">
        <v>627</v>
      </c>
    </row>
    <row r="13" spans="1:12">
      <c r="A13" s="116" t="s">
        <v>7</v>
      </c>
      <c r="B13" s="411" t="s">
        <v>721</v>
      </c>
      <c r="C13" s="116" t="s">
        <v>722</v>
      </c>
      <c r="D13" s="117">
        <v>42236</v>
      </c>
      <c r="E13" s="117"/>
      <c r="F13" s="113">
        <f t="shared" si="0"/>
        <v>496.55900000000003</v>
      </c>
      <c r="G13" s="90">
        <v>1</v>
      </c>
      <c r="H13" s="152">
        <f t="shared" si="1"/>
        <v>1</v>
      </c>
      <c r="I13" s="118">
        <v>496.55900000000003</v>
      </c>
      <c r="J13" s="116" t="s">
        <v>8</v>
      </c>
      <c r="K13" s="117">
        <v>42236</v>
      </c>
      <c r="L13" s="119" t="s">
        <v>723</v>
      </c>
    </row>
    <row r="14" spans="1:12">
      <c r="A14" s="116" t="s">
        <v>7</v>
      </c>
      <c r="B14" s="411" t="s">
        <v>501</v>
      </c>
      <c r="C14" s="116" t="s">
        <v>1071</v>
      </c>
      <c r="D14" s="117">
        <v>42236</v>
      </c>
      <c r="E14" s="117">
        <v>42277</v>
      </c>
      <c r="F14" s="113">
        <f t="shared" si="0"/>
        <v>133.512</v>
      </c>
      <c r="G14" s="90">
        <v>1</v>
      </c>
      <c r="H14" s="152">
        <f t="shared" si="1"/>
        <v>0</v>
      </c>
      <c r="I14" s="118">
        <v>133.512</v>
      </c>
      <c r="J14" s="116" t="s">
        <v>8</v>
      </c>
      <c r="K14" s="117">
        <v>42236</v>
      </c>
      <c r="L14" s="119" t="s">
        <v>523</v>
      </c>
    </row>
    <row r="15" spans="1:12">
      <c r="A15" s="116" t="s">
        <v>7</v>
      </c>
      <c r="B15" s="411" t="s">
        <v>543</v>
      </c>
      <c r="C15" s="116" t="s">
        <v>629</v>
      </c>
      <c r="D15" s="117">
        <v>42217</v>
      </c>
      <c r="E15" s="117"/>
      <c r="F15" s="113">
        <f t="shared" si="0"/>
        <v>8395.6029999999992</v>
      </c>
      <c r="G15" s="90">
        <v>1</v>
      </c>
      <c r="H15" s="152">
        <f t="shared" si="1"/>
        <v>1</v>
      </c>
      <c r="I15" s="118">
        <v>8395.6029999999992</v>
      </c>
      <c r="J15" s="116" t="s">
        <v>8</v>
      </c>
      <c r="K15" s="117">
        <v>42247</v>
      </c>
      <c r="L15" s="119" t="s">
        <v>630</v>
      </c>
    </row>
    <row r="16" spans="1:12">
      <c r="A16" s="116" t="s">
        <v>7</v>
      </c>
      <c r="B16" s="411" t="s">
        <v>501</v>
      </c>
      <c r="C16" s="116" t="s">
        <v>774</v>
      </c>
      <c r="D16" s="117">
        <v>42256</v>
      </c>
      <c r="E16" s="117">
        <v>42277</v>
      </c>
      <c r="F16" s="113">
        <f t="shared" si="0"/>
        <v>157.90199999999999</v>
      </c>
      <c r="G16" s="90">
        <v>1</v>
      </c>
      <c r="H16" s="152">
        <f t="shared" si="1"/>
        <v>0</v>
      </c>
      <c r="I16" s="118">
        <v>157.90199999999999</v>
      </c>
      <c r="J16" s="116" t="s">
        <v>8</v>
      </c>
      <c r="K16" s="117">
        <v>42256</v>
      </c>
      <c r="L16" s="119" t="s">
        <v>775</v>
      </c>
    </row>
    <row r="17" spans="1:12">
      <c r="A17" s="116" t="s">
        <v>7</v>
      </c>
      <c r="B17" s="411" t="s">
        <v>776</v>
      </c>
      <c r="C17" s="116" t="s">
        <v>777</v>
      </c>
      <c r="D17" s="117">
        <v>42256</v>
      </c>
      <c r="E17" s="117"/>
      <c r="F17" s="113">
        <f t="shared" si="0"/>
        <v>90</v>
      </c>
      <c r="G17" s="90">
        <v>1</v>
      </c>
      <c r="H17" s="152">
        <f t="shared" si="1"/>
        <v>1</v>
      </c>
      <c r="I17" s="118">
        <v>90</v>
      </c>
      <c r="J17" s="116" t="s">
        <v>8</v>
      </c>
      <c r="K17" s="117">
        <v>42256</v>
      </c>
      <c r="L17" s="119" t="s">
        <v>778</v>
      </c>
    </row>
    <row r="18" spans="1:12">
      <c r="A18" s="116" t="s">
        <v>7</v>
      </c>
      <c r="B18" s="411" t="s">
        <v>544</v>
      </c>
      <c r="C18" s="116" t="s">
        <v>779</v>
      </c>
      <c r="D18" s="117">
        <v>42256</v>
      </c>
      <c r="E18" s="117"/>
      <c r="F18" s="113">
        <f t="shared" si="0"/>
        <v>101.43</v>
      </c>
      <c r="G18" s="90">
        <v>1</v>
      </c>
      <c r="H18" s="152">
        <f t="shared" si="1"/>
        <v>1</v>
      </c>
      <c r="I18" s="118">
        <v>101.43</v>
      </c>
      <c r="J18" s="116" t="s">
        <v>8</v>
      </c>
      <c r="K18" s="117">
        <v>42256</v>
      </c>
      <c r="L18" s="119" t="s">
        <v>780</v>
      </c>
    </row>
    <row r="19" spans="1:12">
      <c r="A19" s="116" t="s">
        <v>7</v>
      </c>
      <c r="B19" s="411" t="s">
        <v>846</v>
      </c>
      <c r="C19" s="116" t="s">
        <v>1064</v>
      </c>
      <c r="D19" s="117">
        <v>42269</v>
      </c>
      <c r="E19" s="117"/>
      <c r="F19" s="113">
        <f t="shared" si="0"/>
        <v>1976.403</v>
      </c>
      <c r="G19" s="90">
        <v>1</v>
      </c>
      <c r="H19" s="152">
        <f t="shared" si="1"/>
        <v>1</v>
      </c>
      <c r="I19" s="118">
        <v>1976.403</v>
      </c>
      <c r="J19" s="116" t="s">
        <v>8</v>
      </c>
      <c r="K19" s="117">
        <v>42269</v>
      </c>
      <c r="L19" s="119" t="s">
        <v>863</v>
      </c>
    </row>
    <row r="20" spans="1:12">
      <c r="A20" s="116" t="s">
        <v>7</v>
      </c>
      <c r="B20" s="411" t="s">
        <v>1065</v>
      </c>
      <c r="C20" s="116" t="s">
        <v>1066</v>
      </c>
      <c r="D20" s="117">
        <v>42269</v>
      </c>
      <c r="E20" s="117"/>
      <c r="F20" s="113">
        <f t="shared" si="0"/>
        <v>5554.2889999999998</v>
      </c>
      <c r="G20" s="90">
        <v>1</v>
      </c>
      <c r="H20" s="152">
        <f t="shared" si="1"/>
        <v>1</v>
      </c>
      <c r="I20" s="118">
        <v>5554.2889999999998</v>
      </c>
      <c r="J20" s="116" t="s">
        <v>8</v>
      </c>
      <c r="K20" s="117">
        <v>42269</v>
      </c>
      <c r="L20" s="119" t="s">
        <v>864</v>
      </c>
    </row>
    <row r="21" spans="1:12">
      <c r="A21" s="116" t="s">
        <v>7</v>
      </c>
      <c r="B21" s="411" t="s">
        <v>858</v>
      </c>
      <c r="C21" s="116" t="s">
        <v>1067</v>
      </c>
      <c r="D21" s="117">
        <v>42269</v>
      </c>
      <c r="E21" s="117">
        <v>42276</v>
      </c>
      <c r="F21" s="113">
        <f t="shared" si="0"/>
        <v>2836.4059999999999</v>
      </c>
      <c r="G21" s="90">
        <v>1</v>
      </c>
      <c r="H21" s="152">
        <f t="shared" si="1"/>
        <v>0</v>
      </c>
      <c r="I21" s="118">
        <v>2836.4059999999999</v>
      </c>
      <c r="J21" s="116" t="s">
        <v>8</v>
      </c>
      <c r="K21" s="117">
        <v>42269</v>
      </c>
      <c r="L21" s="119" t="s">
        <v>865</v>
      </c>
    </row>
    <row r="22" spans="1:12">
      <c r="A22" s="116" t="s">
        <v>7</v>
      </c>
      <c r="B22" s="411" t="s">
        <v>1068</v>
      </c>
      <c r="C22" s="116" t="s">
        <v>1069</v>
      </c>
      <c r="D22" s="117">
        <v>42269</v>
      </c>
      <c r="E22" s="117"/>
      <c r="F22" s="113">
        <f t="shared" si="0"/>
        <v>1000</v>
      </c>
      <c r="G22" s="90">
        <v>1</v>
      </c>
      <c r="H22" s="152">
        <f t="shared" si="1"/>
        <v>1</v>
      </c>
      <c r="I22" s="118">
        <v>1000</v>
      </c>
      <c r="J22" s="116" t="s">
        <v>720</v>
      </c>
      <c r="K22" s="117">
        <v>42269</v>
      </c>
      <c r="L22" s="119" t="s">
        <v>1070</v>
      </c>
    </row>
    <row r="23" spans="1:12">
      <c r="A23" s="116" t="s">
        <v>7</v>
      </c>
      <c r="B23" s="411" t="s">
        <v>543</v>
      </c>
      <c r="C23" s="116" t="s">
        <v>724</v>
      </c>
      <c r="D23" s="117">
        <v>42248</v>
      </c>
      <c r="E23" s="117"/>
      <c r="F23" s="113">
        <f t="shared" si="0"/>
        <v>9594.9040000000005</v>
      </c>
      <c r="G23" s="90">
        <v>1</v>
      </c>
      <c r="H23" s="152">
        <f t="shared" si="1"/>
        <v>1</v>
      </c>
      <c r="I23" s="118">
        <v>9594.9040000000005</v>
      </c>
      <c r="J23" s="116" t="s">
        <v>8</v>
      </c>
      <c r="K23" s="117">
        <v>42277</v>
      </c>
      <c r="L23" s="119" t="s">
        <v>725</v>
      </c>
    </row>
    <row r="24" spans="1:12">
      <c r="A24" s="116" t="s">
        <v>7</v>
      </c>
      <c r="B24" s="411" t="s">
        <v>843</v>
      </c>
      <c r="C24" s="116" t="s">
        <v>1062</v>
      </c>
      <c r="D24" s="117">
        <v>42262</v>
      </c>
      <c r="E24" s="117"/>
      <c r="F24" s="113">
        <f t="shared" si="0"/>
        <v>25</v>
      </c>
      <c r="G24" s="90">
        <v>1</v>
      </c>
      <c r="H24" s="152">
        <f t="shared" si="1"/>
        <v>1</v>
      </c>
      <c r="I24" s="118">
        <v>25</v>
      </c>
      <c r="J24" s="116" t="s">
        <v>720</v>
      </c>
      <c r="K24" s="117">
        <v>42278</v>
      </c>
      <c r="L24" s="119" t="s">
        <v>1063</v>
      </c>
    </row>
    <row r="25" spans="1:12">
      <c r="A25" s="116" t="s">
        <v>11</v>
      </c>
      <c r="B25" s="411" t="s">
        <v>38</v>
      </c>
      <c r="C25" s="116" t="s">
        <v>12</v>
      </c>
      <c r="D25" s="117">
        <v>42235</v>
      </c>
      <c r="E25" s="117">
        <v>42235</v>
      </c>
      <c r="F25" s="113">
        <f t="shared" si="0"/>
        <v>75000</v>
      </c>
      <c r="G25" s="90">
        <v>1</v>
      </c>
      <c r="H25" s="152">
        <f t="shared" si="1"/>
        <v>0</v>
      </c>
      <c r="I25" s="118">
        <v>75000</v>
      </c>
      <c r="J25" s="116" t="s">
        <v>8</v>
      </c>
      <c r="K25" s="117">
        <v>42287</v>
      </c>
      <c r="L25" s="119" t="s">
        <v>11</v>
      </c>
    </row>
    <row r="26" spans="1:12">
      <c r="A26" s="116" t="s">
        <v>11</v>
      </c>
      <c r="B26" s="411" t="s">
        <v>30</v>
      </c>
      <c r="C26" s="116" t="s">
        <v>12</v>
      </c>
      <c r="D26" s="117">
        <v>42235</v>
      </c>
      <c r="E26" s="117">
        <v>42235</v>
      </c>
      <c r="F26" s="113">
        <f t="shared" si="0"/>
        <v>75000</v>
      </c>
      <c r="G26" s="90">
        <v>1</v>
      </c>
      <c r="H26" s="152">
        <f t="shared" si="1"/>
        <v>0</v>
      </c>
      <c r="I26" s="118">
        <v>75000</v>
      </c>
      <c r="J26" s="116" t="s">
        <v>8</v>
      </c>
      <c r="K26" s="117">
        <v>42287</v>
      </c>
      <c r="L26" s="119" t="s">
        <v>11</v>
      </c>
    </row>
    <row r="27" spans="1:12">
      <c r="A27" s="116" t="s">
        <v>11</v>
      </c>
      <c r="B27" s="411" t="s">
        <v>30</v>
      </c>
      <c r="C27" s="116" t="s">
        <v>12</v>
      </c>
      <c r="D27" s="117">
        <v>42263</v>
      </c>
      <c r="E27" s="117">
        <v>42263</v>
      </c>
      <c r="F27" s="113">
        <f t="shared" si="0"/>
        <v>75000</v>
      </c>
      <c r="G27" s="90">
        <v>1</v>
      </c>
      <c r="H27" s="152">
        <f t="shared" si="1"/>
        <v>0</v>
      </c>
      <c r="I27" s="118">
        <v>75000</v>
      </c>
      <c r="J27" s="116" t="s">
        <v>8</v>
      </c>
      <c r="K27" s="117">
        <v>42308</v>
      </c>
      <c r="L27" s="119" t="s">
        <v>11</v>
      </c>
    </row>
    <row r="28" spans="1:12">
      <c r="A28" s="116" t="s">
        <v>11</v>
      </c>
      <c r="B28" s="411" t="s">
        <v>30</v>
      </c>
      <c r="C28" s="116" t="s">
        <v>12</v>
      </c>
      <c r="D28" s="117">
        <v>42263</v>
      </c>
      <c r="E28" s="117">
        <v>42263</v>
      </c>
      <c r="F28" s="113">
        <f t="shared" si="0"/>
        <v>75000</v>
      </c>
      <c r="G28" s="90">
        <v>1</v>
      </c>
      <c r="H28" s="152">
        <f t="shared" si="1"/>
        <v>0</v>
      </c>
      <c r="I28" s="118">
        <v>75000</v>
      </c>
      <c r="J28" s="116" t="s">
        <v>8</v>
      </c>
      <c r="K28" s="117">
        <v>42323</v>
      </c>
      <c r="L28" s="119" t="s">
        <v>11</v>
      </c>
    </row>
    <row r="29" spans="1:12">
      <c r="A29" s="116" t="s">
        <v>11</v>
      </c>
      <c r="B29" s="411" t="s">
        <v>38</v>
      </c>
      <c r="C29" s="116" t="s">
        <v>12</v>
      </c>
      <c r="D29" s="117">
        <v>42265</v>
      </c>
      <c r="E29" s="117">
        <v>42265</v>
      </c>
      <c r="F29" s="113">
        <f t="shared" si="0"/>
        <v>50000</v>
      </c>
      <c r="G29" s="90">
        <v>1</v>
      </c>
      <c r="H29" s="152">
        <f t="shared" si="1"/>
        <v>0</v>
      </c>
      <c r="I29" s="118">
        <v>50000</v>
      </c>
      <c r="J29" s="116" t="s">
        <v>8</v>
      </c>
      <c r="K29" s="117">
        <v>42323</v>
      </c>
      <c r="L29" s="119" t="s">
        <v>11</v>
      </c>
    </row>
  </sheetData>
  <autoFilter ref="A4:L5">
    <filterColumn colId="0"/>
    <filterColumn colId="1"/>
    <filterColumn colId="6" showButton="0"/>
  </autoFilter>
  <sortState ref="A5:L33">
    <sortCondition ref="K5:K33"/>
  </sortState>
  <mergeCells count="1">
    <mergeCell ref="G4:H4"/>
  </mergeCells>
  <pageMargins left="0.70866141732283472" right="0.70866141732283472" top="0.74803149606299213" bottom="0.74803149606299213" header="0.31496062992125984" footer="0.31496062992125984"/>
  <pageSetup paperSize="9" scale="78" fitToHeight="2" orientation="landscape" horizontalDpi="180" verticalDpi="180" r:id="rId1"/>
</worksheet>
</file>

<file path=xl/worksheets/sheet10.xml><?xml version="1.0" encoding="utf-8"?>
<worksheet xmlns="http://schemas.openxmlformats.org/spreadsheetml/2006/main" xmlns:r="http://schemas.openxmlformats.org/officeDocument/2006/relationships">
  <sheetPr codeName="Feuil12">
    <pageSetUpPr fitToPage="1"/>
  </sheetPr>
  <dimension ref="A1:L16"/>
  <sheetViews>
    <sheetView zoomScale="85" zoomScaleNormal="85" workbookViewId="0">
      <selection activeCell="I24" sqref="I24"/>
    </sheetView>
  </sheetViews>
  <sheetFormatPr baseColWidth="10" defaultColWidth="5.7109375" defaultRowHeight="12.75"/>
  <cols>
    <col min="1" max="1" width="5.7109375" style="122" bestFit="1" customWidth="1"/>
    <col min="2" max="2" width="29.140625" style="122" bestFit="1" customWidth="1"/>
    <col min="3" max="3" width="15.42578125" style="122" bestFit="1" customWidth="1"/>
    <col min="4" max="4" width="10.140625" style="122" bestFit="1" customWidth="1"/>
    <col min="5" max="5" width="11.42578125" style="122" bestFit="1" customWidth="1"/>
    <col min="6" max="6" width="10.140625" style="122" bestFit="1" customWidth="1"/>
    <col min="7" max="8" width="2" style="122" bestFit="1" customWidth="1"/>
    <col min="9" max="9" width="10.140625" style="122" bestFit="1" customWidth="1"/>
    <col min="10" max="10" width="7.42578125" style="122" bestFit="1" customWidth="1"/>
    <col min="11" max="11" width="10.140625" style="122" bestFit="1" customWidth="1"/>
    <col min="12" max="12" width="8" style="122" bestFit="1" customWidth="1"/>
    <col min="13" max="16384" width="5.7109375" style="122"/>
  </cols>
  <sheetData>
    <row r="1" spans="1:12" ht="13.5" thickBot="1">
      <c r="A1" s="88"/>
      <c r="B1" s="88"/>
      <c r="C1" s="88"/>
      <c r="D1" s="88"/>
      <c r="E1" s="115"/>
      <c r="F1" s="108"/>
      <c r="G1" s="88"/>
      <c r="H1" s="88"/>
      <c r="I1" s="6"/>
      <c r="J1" s="89"/>
      <c r="K1" s="111"/>
      <c r="L1" s="89"/>
    </row>
    <row r="2" spans="1:12" ht="13.5" thickBot="1">
      <c r="A2" s="88"/>
      <c r="B2" s="112" t="s">
        <v>129</v>
      </c>
      <c r="C2" s="88"/>
      <c r="D2" s="88"/>
      <c r="E2" s="115"/>
      <c r="F2" s="108"/>
      <c r="G2" s="88"/>
      <c r="H2" s="88"/>
      <c r="I2" s="6"/>
      <c r="J2" s="89"/>
      <c r="K2" s="111"/>
      <c r="L2" s="89"/>
    </row>
    <row r="3" spans="1:12">
      <c r="A3" s="121"/>
      <c r="B3" s="121"/>
      <c r="C3" s="121"/>
      <c r="D3" s="121"/>
      <c r="E3" s="121"/>
      <c r="F3" s="121"/>
      <c r="G3" s="121"/>
      <c r="H3" s="121"/>
      <c r="I3" s="121"/>
      <c r="J3" s="121"/>
      <c r="K3" s="121"/>
      <c r="L3" s="121"/>
    </row>
    <row r="4" spans="1:12">
      <c r="A4" s="182" t="s">
        <v>0</v>
      </c>
      <c r="B4" s="182" t="s">
        <v>1</v>
      </c>
      <c r="C4" s="183" t="s">
        <v>2</v>
      </c>
      <c r="D4" s="182" t="s">
        <v>123</v>
      </c>
      <c r="E4" s="291" t="s">
        <v>124</v>
      </c>
      <c r="F4" s="185" t="s">
        <v>125</v>
      </c>
      <c r="G4" s="1035" t="s">
        <v>126</v>
      </c>
      <c r="H4" s="1036"/>
      <c r="I4" s="186" t="s">
        <v>3</v>
      </c>
      <c r="J4" s="183" t="s">
        <v>4</v>
      </c>
      <c r="K4" s="184" t="s">
        <v>5</v>
      </c>
      <c r="L4" s="183" t="s">
        <v>6</v>
      </c>
    </row>
    <row r="5" spans="1:12">
      <c r="A5" s="2" t="s">
        <v>7</v>
      </c>
      <c r="B5" s="187" t="s">
        <v>9</v>
      </c>
      <c r="C5" s="188" t="s">
        <v>130</v>
      </c>
      <c r="D5" s="189">
        <v>41472</v>
      </c>
      <c r="E5" s="189"/>
      <c r="F5" s="190">
        <f t="shared" ref="F5:F16" si="0">SUM(I5*G5)</f>
        <v>218.85300000000001</v>
      </c>
      <c r="G5" s="90">
        <v>1</v>
      </c>
      <c r="H5" s="152">
        <f t="shared" ref="H5:H16" si="1">IF(E5="",1,0)</f>
        <v>1</v>
      </c>
      <c r="I5" s="361">
        <v>218.85300000000001</v>
      </c>
      <c r="J5" s="4" t="s">
        <v>8</v>
      </c>
      <c r="K5" s="3">
        <v>41472</v>
      </c>
      <c r="L5" s="4" t="s">
        <v>118</v>
      </c>
    </row>
    <row r="6" spans="1:12">
      <c r="A6" s="2" t="s">
        <v>7</v>
      </c>
      <c r="B6" s="187" t="s">
        <v>120</v>
      </c>
      <c r="C6" s="188" t="s">
        <v>131</v>
      </c>
      <c r="D6" s="189">
        <v>41487</v>
      </c>
      <c r="E6" s="189"/>
      <c r="F6" s="190">
        <f t="shared" si="0"/>
        <v>1371.2</v>
      </c>
      <c r="G6" s="90">
        <v>1</v>
      </c>
      <c r="H6" s="152">
        <f t="shared" si="1"/>
        <v>1</v>
      </c>
      <c r="I6" s="361">
        <v>1371.2</v>
      </c>
      <c r="J6" s="4" t="s">
        <v>8</v>
      </c>
      <c r="K6" s="3">
        <v>41487</v>
      </c>
      <c r="L6" s="4" t="s">
        <v>121</v>
      </c>
    </row>
    <row r="7" spans="1:12">
      <c r="A7" s="2" t="s">
        <v>7</v>
      </c>
      <c r="B7" s="187" t="s">
        <v>591</v>
      </c>
      <c r="C7" s="188" t="s">
        <v>592</v>
      </c>
      <c r="D7" s="189">
        <v>41639</v>
      </c>
      <c r="E7" s="189"/>
      <c r="F7" s="190">
        <f t="shared" si="0"/>
        <v>3981.2469999999998</v>
      </c>
      <c r="G7" s="90">
        <v>1</v>
      </c>
      <c r="H7" s="152">
        <f t="shared" si="1"/>
        <v>1</v>
      </c>
      <c r="I7" s="361">
        <v>3981.2469999999998</v>
      </c>
      <c r="J7" s="4" t="s">
        <v>8</v>
      </c>
      <c r="K7" s="3">
        <v>41639</v>
      </c>
      <c r="L7" s="4" t="s">
        <v>593</v>
      </c>
    </row>
    <row r="8" spans="1:12">
      <c r="A8" s="116" t="s">
        <v>7</v>
      </c>
      <c r="B8" s="192" t="s">
        <v>426</v>
      </c>
      <c r="C8" s="116" t="s">
        <v>427</v>
      </c>
      <c r="D8" s="117">
        <v>42027</v>
      </c>
      <c r="E8" s="117"/>
      <c r="F8" s="113">
        <f t="shared" si="0"/>
        <v>4123.7240000000002</v>
      </c>
      <c r="G8" s="90">
        <v>1</v>
      </c>
      <c r="H8" s="152">
        <f t="shared" si="1"/>
        <v>1</v>
      </c>
      <c r="I8" s="362">
        <v>4123.7240000000002</v>
      </c>
      <c r="J8" s="116" t="s">
        <v>8</v>
      </c>
      <c r="K8" s="117">
        <v>42031</v>
      </c>
      <c r="L8" s="119" t="s">
        <v>428</v>
      </c>
    </row>
    <row r="9" spans="1:12">
      <c r="A9" s="116" t="s">
        <v>7</v>
      </c>
      <c r="B9" s="192" t="s">
        <v>464</v>
      </c>
      <c r="C9" s="116" t="s">
        <v>468</v>
      </c>
      <c r="D9" s="117">
        <v>42076</v>
      </c>
      <c r="E9" s="117"/>
      <c r="F9" s="113">
        <f t="shared" si="0"/>
        <v>1338.8979999999999</v>
      </c>
      <c r="G9" s="90">
        <v>1</v>
      </c>
      <c r="H9" s="152">
        <f t="shared" si="1"/>
        <v>1</v>
      </c>
      <c r="I9" s="118">
        <v>1338.8979999999999</v>
      </c>
      <c r="J9" s="116" t="s">
        <v>8</v>
      </c>
      <c r="K9" s="117">
        <v>42076</v>
      </c>
      <c r="L9" s="119" t="s">
        <v>469</v>
      </c>
    </row>
    <row r="10" spans="1:12">
      <c r="A10" s="116" t="s">
        <v>7</v>
      </c>
      <c r="B10" s="192" t="s">
        <v>231</v>
      </c>
      <c r="C10" s="116" t="s">
        <v>470</v>
      </c>
      <c r="D10" s="117">
        <v>42076</v>
      </c>
      <c r="E10" s="117"/>
      <c r="F10" s="113">
        <f t="shared" si="0"/>
        <v>2114.6</v>
      </c>
      <c r="G10" s="90">
        <v>1</v>
      </c>
      <c r="H10" s="152">
        <f t="shared" si="1"/>
        <v>1</v>
      </c>
      <c r="I10" s="118">
        <v>2114.6</v>
      </c>
      <c r="J10" s="116" t="s">
        <v>8</v>
      </c>
      <c r="K10" s="117">
        <v>42076</v>
      </c>
      <c r="L10" s="119" t="s">
        <v>471</v>
      </c>
    </row>
    <row r="11" spans="1:12">
      <c r="A11" s="116" t="s">
        <v>7</v>
      </c>
      <c r="B11" s="192" t="s">
        <v>426</v>
      </c>
      <c r="C11" s="116" t="s">
        <v>472</v>
      </c>
      <c r="D11" s="117">
        <v>42076</v>
      </c>
      <c r="E11" s="117"/>
      <c r="F11" s="113">
        <f t="shared" si="0"/>
        <v>10521.865</v>
      </c>
      <c r="G11" s="90">
        <v>1</v>
      </c>
      <c r="H11" s="152">
        <f t="shared" si="1"/>
        <v>1</v>
      </c>
      <c r="I11" s="118">
        <v>10521.865</v>
      </c>
      <c r="J11" s="116" t="s">
        <v>8</v>
      </c>
      <c r="K11" s="117">
        <v>42076</v>
      </c>
      <c r="L11" s="119" t="s">
        <v>473</v>
      </c>
    </row>
    <row r="12" spans="1:12">
      <c r="A12" s="116" t="s">
        <v>7</v>
      </c>
      <c r="B12" s="192" t="s">
        <v>481</v>
      </c>
      <c r="C12" s="116" t="s">
        <v>482</v>
      </c>
      <c r="D12" s="117">
        <v>42101</v>
      </c>
      <c r="E12" s="117"/>
      <c r="F12" s="113">
        <f t="shared" si="0"/>
        <v>2479.6790000000001</v>
      </c>
      <c r="G12" s="90">
        <v>1</v>
      </c>
      <c r="H12" s="152">
        <f t="shared" si="1"/>
        <v>1</v>
      </c>
      <c r="I12" s="118">
        <v>2479.6790000000001</v>
      </c>
      <c r="J12" s="116" t="s">
        <v>8</v>
      </c>
      <c r="K12" s="117">
        <v>42102</v>
      </c>
      <c r="L12" s="119" t="s">
        <v>483</v>
      </c>
    </row>
    <row r="13" spans="1:12">
      <c r="A13" s="116" t="s">
        <v>7</v>
      </c>
      <c r="B13" s="192" t="s">
        <v>480</v>
      </c>
      <c r="C13" s="116" t="s">
        <v>484</v>
      </c>
      <c r="D13" s="117">
        <v>42101</v>
      </c>
      <c r="E13" s="117"/>
      <c r="F13" s="113">
        <f t="shared" si="0"/>
        <v>2448.79</v>
      </c>
      <c r="G13" s="90">
        <v>1</v>
      </c>
      <c r="H13" s="152">
        <f t="shared" si="1"/>
        <v>1</v>
      </c>
      <c r="I13" s="118">
        <v>2448.79</v>
      </c>
      <c r="J13" s="116" t="s">
        <v>8</v>
      </c>
      <c r="K13" s="117">
        <v>42102</v>
      </c>
      <c r="L13" s="119" t="s">
        <v>485</v>
      </c>
    </row>
    <row r="14" spans="1:12">
      <c r="A14" s="116" t="s">
        <v>7</v>
      </c>
      <c r="B14" s="192" t="s">
        <v>464</v>
      </c>
      <c r="C14" s="116" t="s">
        <v>547</v>
      </c>
      <c r="D14" s="117">
        <v>42181</v>
      </c>
      <c r="E14" s="117"/>
      <c r="F14" s="113">
        <f t="shared" si="0"/>
        <v>1237.578</v>
      </c>
      <c r="G14" s="90">
        <v>1</v>
      </c>
      <c r="H14" s="152">
        <f t="shared" si="1"/>
        <v>1</v>
      </c>
      <c r="I14" s="118">
        <v>1237.578</v>
      </c>
      <c r="J14" s="116" t="s">
        <v>8</v>
      </c>
      <c r="K14" s="117">
        <v>42181</v>
      </c>
      <c r="L14" s="119" t="s">
        <v>548</v>
      </c>
    </row>
    <row r="15" spans="1:12">
      <c r="A15" s="116" t="s">
        <v>7</v>
      </c>
      <c r="B15" s="192" t="s">
        <v>231</v>
      </c>
      <c r="C15" s="116" t="s">
        <v>549</v>
      </c>
      <c r="D15" s="117">
        <v>42181</v>
      </c>
      <c r="E15" s="117"/>
      <c r="F15" s="113">
        <f t="shared" si="0"/>
        <v>2236.433</v>
      </c>
      <c r="G15" s="90">
        <v>1</v>
      </c>
      <c r="H15" s="152">
        <f t="shared" si="1"/>
        <v>1</v>
      </c>
      <c r="I15" s="118">
        <v>2236.433</v>
      </c>
      <c r="J15" s="116" t="s">
        <v>8</v>
      </c>
      <c r="K15" s="117">
        <v>42181</v>
      </c>
      <c r="L15" s="119" t="s">
        <v>550</v>
      </c>
    </row>
    <row r="16" spans="1:12">
      <c r="A16" s="116" t="s">
        <v>7</v>
      </c>
      <c r="B16" s="192" t="s">
        <v>231</v>
      </c>
      <c r="C16" s="116" t="s">
        <v>551</v>
      </c>
      <c r="D16" s="117">
        <v>42181</v>
      </c>
      <c r="E16" s="117"/>
      <c r="F16" s="113">
        <f t="shared" si="0"/>
        <v>1844.923</v>
      </c>
      <c r="G16" s="90">
        <v>1</v>
      </c>
      <c r="H16" s="152">
        <f t="shared" si="1"/>
        <v>1</v>
      </c>
      <c r="I16" s="118">
        <v>1844.923</v>
      </c>
      <c r="J16" s="116" t="s">
        <v>8</v>
      </c>
      <c r="K16" s="117">
        <v>42181</v>
      </c>
      <c r="L16" s="119" t="s">
        <v>552</v>
      </c>
    </row>
  </sheetData>
  <sortState ref="A5:L15">
    <sortCondition ref="K5:K15"/>
  </sortState>
  <mergeCells count="1">
    <mergeCell ref="G4:H4"/>
  </mergeCells>
  <pageMargins left="0" right="0" top="0.74803149606299213" bottom="0.74803149606299213" header="0.31496062992125984" footer="0.31496062992125984"/>
  <pageSetup paperSize="9" scale="83" orientation="portrait" horizontalDpi="180" verticalDpi="180" r:id="rId1"/>
</worksheet>
</file>

<file path=xl/worksheets/sheet11.xml><?xml version="1.0" encoding="utf-8"?>
<worksheet xmlns="http://schemas.openxmlformats.org/spreadsheetml/2006/main" xmlns:r="http://schemas.openxmlformats.org/officeDocument/2006/relationships">
  <sheetPr codeName="Feuil13"/>
  <dimension ref="A1:J34"/>
  <sheetViews>
    <sheetView workbookViewId="0">
      <selection activeCell="A20" sqref="A20"/>
    </sheetView>
  </sheetViews>
  <sheetFormatPr baseColWidth="10" defaultRowHeight="15"/>
  <cols>
    <col min="1" max="1" width="11" bestFit="1" customWidth="1"/>
    <col min="2" max="2" width="47.7109375" bestFit="1" customWidth="1"/>
    <col min="3" max="3" width="11.140625" bestFit="1" customWidth="1"/>
    <col min="4" max="4" width="13.28515625" style="16" bestFit="1" customWidth="1"/>
    <col min="5" max="5" width="11.140625" bestFit="1" customWidth="1"/>
    <col min="6" max="6" width="13.140625" bestFit="1" customWidth="1"/>
    <col min="7" max="7" width="8.7109375" bestFit="1" customWidth="1"/>
  </cols>
  <sheetData>
    <row r="1" spans="1:10" ht="15.75">
      <c r="A1" s="130" t="s">
        <v>140</v>
      </c>
      <c r="B1" s="130" t="s">
        <v>141</v>
      </c>
      <c r="C1" s="130" t="s">
        <v>142</v>
      </c>
      <c r="D1" s="439">
        <v>2013</v>
      </c>
      <c r="E1" s="130" t="s">
        <v>142</v>
      </c>
      <c r="F1" s="130">
        <v>2014</v>
      </c>
      <c r="G1" s="130" t="s">
        <v>143</v>
      </c>
    </row>
    <row r="2" spans="1:10">
      <c r="A2" s="131">
        <v>850508</v>
      </c>
      <c r="B2" s="132" t="s">
        <v>145</v>
      </c>
      <c r="C2" s="137">
        <v>41639</v>
      </c>
      <c r="D2" s="170">
        <v>-92545.509000000005</v>
      </c>
      <c r="E2" s="133">
        <v>42004</v>
      </c>
      <c r="F2" s="169">
        <v>-115967.243</v>
      </c>
      <c r="G2" s="138" t="s">
        <v>144</v>
      </c>
    </row>
    <row r="3" spans="1:10">
      <c r="A3" s="135">
        <v>452286638</v>
      </c>
      <c r="B3" s="136" t="s">
        <v>146</v>
      </c>
      <c r="C3" s="137">
        <v>41639</v>
      </c>
      <c r="D3" s="170">
        <v>-27868.498</v>
      </c>
      <c r="E3" s="137">
        <v>42004</v>
      </c>
      <c r="F3" s="170">
        <v>-44431.684000000001</v>
      </c>
      <c r="G3" s="138" t="s">
        <v>144</v>
      </c>
    </row>
    <row r="4" spans="1:10">
      <c r="A4" s="131">
        <v>818106</v>
      </c>
      <c r="B4" s="132" t="s">
        <v>147</v>
      </c>
      <c r="C4" s="133">
        <v>41639</v>
      </c>
      <c r="D4" s="169">
        <v>212.12799999999999</v>
      </c>
      <c r="E4" s="133">
        <v>42004</v>
      </c>
      <c r="F4" s="169">
        <v>8.8849999999999998</v>
      </c>
      <c r="G4" s="134" t="s">
        <v>144</v>
      </c>
    </row>
    <row r="5" spans="1:10">
      <c r="A5" s="135">
        <v>812139</v>
      </c>
      <c r="B5" s="136" t="s">
        <v>148</v>
      </c>
      <c r="C5" s="137">
        <v>41639</v>
      </c>
      <c r="D5" s="170">
        <v>-1007487.1</v>
      </c>
      <c r="E5" s="137">
        <v>42004</v>
      </c>
      <c r="F5" s="170">
        <v>-416775.342</v>
      </c>
      <c r="G5" s="138" t="s">
        <v>144</v>
      </c>
    </row>
    <row r="6" spans="1:10">
      <c r="A6" s="131">
        <v>811635</v>
      </c>
      <c r="B6" s="132" t="s">
        <v>149</v>
      </c>
      <c r="C6" s="137">
        <v>41639</v>
      </c>
      <c r="D6" s="170">
        <v>-85348.582999999999</v>
      </c>
      <c r="E6" s="133">
        <v>42004</v>
      </c>
      <c r="F6" s="668">
        <v>-134936.10800000001</v>
      </c>
      <c r="G6" s="138" t="s">
        <v>144</v>
      </c>
    </row>
    <row r="7" spans="1:10">
      <c r="A7" s="135">
        <v>846367</v>
      </c>
      <c r="B7" s="136" t="s">
        <v>150</v>
      </c>
      <c r="C7" s="133">
        <v>41639</v>
      </c>
      <c r="D7" s="169">
        <v>36.637</v>
      </c>
      <c r="E7" s="137">
        <v>42004</v>
      </c>
      <c r="F7" s="170">
        <v>1591.095</v>
      </c>
      <c r="G7" s="134" t="s">
        <v>144</v>
      </c>
    </row>
    <row r="8" spans="1:10">
      <c r="A8" s="131">
        <v>847247</v>
      </c>
      <c r="B8" s="132" t="s">
        <v>152</v>
      </c>
      <c r="C8" s="133">
        <v>41639</v>
      </c>
      <c r="D8" s="169">
        <v>-107543.049</v>
      </c>
      <c r="E8" s="133">
        <v>42004</v>
      </c>
      <c r="F8" s="169">
        <v>-837212.74300000002</v>
      </c>
      <c r="G8" s="134" t="s">
        <v>144</v>
      </c>
    </row>
    <row r="9" spans="1:10">
      <c r="A9" s="135">
        <v>845139</v>
      </c>
      <c r="B9" s="136" t="s">
        <v>153</v>
      </c>
      <c r="C9" s="137">
        <v>41639</v>
      </c>
      <c r="D9" s="170">
        <v>-10158.962</v>
      </c>
      <c r="E9" s="137">
        <v>42004</v>
      </c>
      <c r="F9" s="170">
        <v>-5917.41</v>
      </c>
      <c r="G9" s="138" t="s">
        <v>144</v>
      </c>
    </row>
    <row r="10" spans="1:10">
      <c r="A10" s="131">
        <v>853370</v>
      </c>
      <c r="B10" s="132" t="s">
        <v>154</v>
      </c>
      <c r="C10" s="137">
        <v>41639</v>
      </c>
      <c r="D10" s="170">
        <v>1214.7439999999999</v>
      </c>
      <c r="E10" s="133">
        <v>42004</v>
      </c>
      <c r="F10" s="169">
        <v>903.11800000000005</v>
      </c>
      <c r="G10" s="138" t="s">
        <v>144</v>
      </c>
    </row>
    <row r="11" spans="1:10">
      <c r="A11" s="135">
        <v>8900050978</v>
      </c>
      <c r="B11" s="136" t="s">
        <v>155</v>
      </c>
      <c r="C11" s="133">
        <v>41628</v>
      </c>
      <c r="D11" s="273">
        <v>45.13</v>
      </c>
      <c r="E11" s="137">
        <v>42003</v>
      </c>
      <c r="F11" s="274">
        <v>169240.23</v>
      </c>
      <c r="G11" s="134" t="s">
        <v>156</v>
      </c>
    </row>
    <row r="12" spans="1:10">
      <c r="A12" s="131">
        <v>8900069978</v>
      </c>
      <c r="B12" s="132" t="s">
        <v>150</v>
      </c>
      <c r="C12" s="137">
        <v>41634</v>
      </c>
      <c r="D12" s="274">
        <v>19620.849999999999</v>
      </c>
      <c r="E12" s="133">
        <v>41991</v>
      </c>
      <c r="F12" s="273">
        <v>19268.98</v>
      </c>
      <c r="G12" s="138" t="s">
        <v>156</v>
      </c>
    </row>
    <row r="13" spans="1:10">
      <c r="A13" s="135">
        <v>8900207978</v>
      </c>
      <c r="B13" s="136" t="s">
        <v>157</v>
      </c>
      <c r="C13" s="133">
        <v>41037</v>
      </c>
      <c r="D13" s="273">
        <v>0</v>
      </c>
      <c r="E13" s="137">
        <v>41037</v>
      </c>
      <c r="F13" s="274">
        <v>0</v>
      </c>
      <c r="G13" s="134" t="s">
        <v>156</v>
      </c>
    </row>
    <row r="14" spans="1:10">
      <c r="A14" s="131">
        <v>70470489</v>
      </c>
      <c r="B14" s="132" t="s">
        <v>158</v>
      </c>
      <c r="C14" s="137">
        <v>41639</v>
      </c>
      <c r="D14" s="170">
        <v>11728.517</v>
      </c>
      <c r="E14" s="133">
        <v>42004</v>
      </c>
      <c r="F14" s="668">
        <v>9765.6890000000003</v>
      </c>
      <c r="G14" s="138" t="s">
        <v>144</v>
      </c>
      <c r="J14">
        <f>+F8+F11*2.18+F12*1.92+F21</f>
        <v>-431520.02699999994</v>
      </c>
    </row>
    <row r="15" spans="1:10">
      <c r="A15" s="135">
        <v>20234678</v>
      </c>
      <c r="B15" s="136" t="s">
        <v>310</v>
      </c>
      <c r="C15" s="133">
        <v>41639</v>
      </c>
      <c r="D15" s="169">
        <v>6140.817</v>
      </c>
      <c r="E15" s="137">
        <v>42004</v>
      </c>
      <c r="F15" s="669">
        <v>20060.487000000001</v>
      </c>
      <c r="G15" s="134" t="s">
        <v>144</v>
      </c>
    </row>
    <row r="16" spans="1:10">
      <c r="A16" s="131">
        <v>211188782</v>
      </c>
      <c r="B16" s="132" t="s">
        <v>310</v>
      </c>
      <c r="C16" s="137">
        <v>41639</v>
      </c>
      <c r="D16" s="170">
        <v>25843.562999999998</v>
      </c>
      <c r="E16" s="133">
        <v>42004</v>
      </c>
      <c r="F16" s="668">
        <v>6179.7020000000002</v>
      </c>
      <c r="G16" s="138" t="s">
        <v>144</v>
      </c>
    </row>
    <row r="17" spans="1:7">
      <c r="A17" s="135">
        <v>160912912</v>
      </c>
      <c r="B17" s="136" t="s">
        <v>159</v>
      </c>
      <c r="C17" s="133">
        <v>41639</v>
      </c>
      <c r="D17" s="169">
        <v>9560.7970000000005</v>
      </c>
      <c r="E17" s="137">
        <v>42004</v>
      </c>
      <c r="F17" s="669">
        <v>5041.317</v>
      </c>
      <c r="G17" s="134" t="s">
        <v>144</v>
      </c>
    </row>
    <row r="18" spans="1:7">
      <c r="A18" s="131">
        <v>392039199</v>
      </c>
      <c r="B18" s="132" t="s">
        <v>310</v>
      </c>
      <c r="C18" s="137">
        <v>41639</v>
      </c>
      <c r="D18" s="170">
        <v>14251.725</v>
      </c>
      <c r="E18" s="133">
        <v>42004</v>
      </c>
      <c r="F18" s="668">
        <v>8673.1669999999995</v>
      </c>
      <c r="G18" s="138" t="s">
        <v>144</v>
      </c>
    </row>
    <row r="19" spans="1:7">
      <c r="A19" s="135">
        <v>8900243840</v>
      </c>
      <c r="B19" s="136" t="s">
        <v>160</v>
      </c>
      <c r="C19" s="133">
        <v>41634</v>
      </c>
      <c r="D19" s="273">
        <v>4255.8999999999996</v>
      </c>
      <c r="E19" s="137">
        <v>41996</v>
      </c>
      <c r="F19" s="274">
        <v>6998.49</v>
      </c>
      <c r="G19" s="134" t="s">
        <v>161</v>
      </c>
    </row>
    <row r="20" spans="1:7">
      <c r="A20" s="131">
        <v>8900308840</v>
      </c>
      <c r="B20" s="132" t="s">
        <v>151</v>
      </c>
      <c r="C20" s="137">
        <v>41593</v>
      </c>
      <c r="D20" s="274">
        <v>76.28</v>
      </c>
      <c r="E20" s="133">
        <v>42002</v>
      </c>
      <c r="F20" s="273">
        <v>3543.95</v>
      </c>
      <c r="G20" s="138" t="s">
        <v>161</v>
      </c>
    </row>
    <row r="21" spans="1:7">
      <c r="A21" s="135">
        <v>875673</v>
      </c>
      <c r="B21" s="136" t="s">
        <v>162</v>
      </c>
      <c r="C21" s="133">
        <v>41639</v>
      </c>
      <c r="D21" s="169">
        <v>30738.432000000001</v>
      </c>
      <c r="E21" s="137">
        <v>42004</v>
      </c>
      <c r="F21" s="170">
        <v>-247.42699999999999</v>
      </c>
      <c r="G21" s="134" t="s">
        <v>144</v>
      </c>
    </row>
    <row r="22" spans="1:7">
      <c r="A22" s="131">
        <v>452312071</v>
      </c>
      <c r="B22" s="132" t="s">
        <v>311</v>
      </c>
      <c r="E22" s="133">
        <v>42004</v>
      </c>
      <c r="F22" s="169">
        <v>-23.6</v>
      </c>
      <c r="G22" s="134" t="s">
        <v>144</v>
      </c>
    </row>
    <row r="23" spans="1:7">
      <c r="A23" s="135">
        <v>452311818</v>
      </c>
      <c r="B23" s="136" t="s">
        <v>312</v>
      </c>
      <c r="E23" s="137">
        <v>42004</v>
      </c>
      <c r="F23" s="170">
        <v>31464.722000000002</v>
      </c>
      <c r="G23" s="138" t="s">
        <v>144</v>
      </c>
    </row>
    <row r="24" spans="1:7">
      <c r="A24" s="131">
        <v>813431</v>
      </c>
      <c r="B24" s="132" t="s">
        <v>313</v>
      </c>
      <c r="E24" s="133">
        <v>42004</v>
      </c>
      <c r="F24" s="169">
        <v>55802.764999999999</v>
      </c>
      <c r="G24" s="134" t="s">
        <v>144</v>
      </c>
    </row>
    <row r="25" spans="1:7">
      <c r="A25" s="135">
        <v>812762</v>
      </c>
      <c r="B25" s="136" t="s">
        <v>314</v>
      </c>
      <c r="E25" s="137">
        <v>42004</v>
      </c>
      <c r="F25" s="170">
        <v>-1711.2929999999999</v>
      </c>
      <c r="G25" s="138" t="s">
        <v>144</v>
      </c>
    </row>
    <row r="26" spans="1:7">
      <c r="A26" s="131">
        <v>452312160</v>
      </c>
      <c r="B26" s="132" t="s">
        <v>315</v>
      </c>
      <c r="E26" s="133">
        <v>42004</v>
      </c>
      <c r="F26" s="169">
        <v>466.63900000000001</v>
      </c>
      <c r="G26" s="134" t="s">
        <v>144</v>
      </c>
    </row>
    <row r="27" spans="1:7" ht="15" customHeight="1"/>
    <row r="28" spans="1:7" ht="15" customHeight="1">
      <c r="C28" t="s">
        <v>24</v>
      </c>
      <c r="D28" s="16">
        <f>+D2+D3+D4+D5+D6+D7+D8+D9+D10+D14+D15+D16+D17+D18+D21+D22+D23+D24+D25+D26</f>
        <v>-1231224.3409999998</v>
      </c>
      <c r="E28" s="16"/>
      <c r="F28" s="16">
        <f>+F2+F3+F4+F5+F6+F7+F8+F9+F10+F14+F15+F16+F17+F18+F21+F22+F23+F24+F25+F26</f>
        <v>-1417265.2640000002</v>
      </c>
    </row>
    <row r="29" spans="1:7">
      <c r="C29" t="s">
        <v>214</v>
      </c>
      <c r="D29" s="16">
        <f>D11+D12+D13</f>
        <v>19665.98</v>
      </c>
      <c r="E29" s="16"/>
      <c r="F29" s="16">
        <f>F11+F12+F13</f>
        <v>188509.21000000002</v>
      </c>
    </row>
    <row r="30" spans="1:7">
      <c r="C30" t="s">
        <v>215</v>
      </c>
      <c r="D30" s="16">
        <f>D19+D20</f>
        <v>4332.1799999999994</v>
      </c>
      <c r="E30" s="16"/>
      <c r="F30" s="16">
        <f>F19+F20</f>
        <v>10542.439999999999</v>
      </c>
    </row>
    <row r="32" spans="1:7">
      <c r="F32" s="16"/>
    </row>
    <row r="33" spans="6:6">
      <c r="F33" s="16"/>
    </row>
    <row r="34" spans="6:6">
      <c r="F34" s="16"/>
    </row>
  </sheetData>
  <hyperlinks>
    <hyperlink ref="A2" r:id="rId1" display="http://stbnet.stb.com.tn/Infocentre/menucpt.asp?i=0"/>
    <hyperlink ref="A3" r:id="rId2" display="http://stbnet.stb.com.tn/Infocentre/menucpt.asp?i=1"/>
    <hyperlink ref="A4" r:id="rId3" display="http://stbnet.stb.com.tn/Infocentre/menucpt.asp?i=2"/>
    <hyperlink ref="A5" r:id="rId4" display="http://stbnet.stb.com.tn/Infocentre/menucpt.asp?i=3"/>
    <hyperlink ref="A6" r:id="rId5" display="http://stbnet.stb.com.tn/Infocentre/menucpt.asp?i=4"/>
    <hyperlink ref="A7" r:id="rId6" display="http://stbnet.stb.com.tn/Infocentre/menucpt.asp?i=5"/>
    <hyperlink ref="A8" r:id="rId7" display="http://stbnet.stb.com.tn/Infocentre/menucpt.asp?i=6"/>
    <hyperlink ref="A9" r:id="rId8" display="http://stbnet.stb.com.tn/Infocentre/menucpt.asp?i=7"/>
    <hyperlink ref="A10" r:id="rId9" display="http://stbnet.stb.com.tn/Infocentre/menucpt.asp?i=8"/>
    <hyperlink ref="A11" r:id="rId10" display="http://stbnet.stb.com.tn/devise/menucptDevise.asp?i=9789"/>
    <hyperlink ref="A12" r:id="rId11" display="http://stbnet.stb.com.tn/devise/menucptDevise.asp?i=97810"/>
    <hyperlink ref="A13" r:id="rId12" display="http://stbnet.stb.com.tn/devise/menucptDevise.asp?i=97811"/>
    <hyperlink ref="A14" r:id="rId13" display="http://stbnet.stb.com.tn/Infocentre/menucpt.asp?i=12"/>
    <hyperlink ref="A15" r:id="rId14" display="http://stbnet.stb.com.tn/Infocentre/menucpt.asp?i=13"/>
    <hyperlink ref="A16" r:id="rId15" display="http://stbnet.stb.com.tn/Infocentre/menucpt.asp?i=14"/>
    <hyperlink ref="A17" r:id="rId16" display="http://stbnet.stb.com.tn/Infocentre/menucpt.asp?i=15"/>
    <hyperlink ref="A18" r:id="rId17" display="http://stbnet.stb.com.tn/Infocentre/menucpt.asp?i=16"/>
    <hyperlink ref="A19" r:id="rId18" display="http://stbnet.stb.com.tn/devise/menucptDevise.asp?i=84017"/>
    <hyperlink ref="A20" r:id="rId19" display="http://stbnet.stb.com.tn/devise/menucptDevise.asp?i=84018"/>
    <hyperlink ref="A21" r:id="rId20" display="http://stbnet.stb.com.tn/Infocentre/menucpt.asp?i=19"/>
    <hyperlink ref="A22" r:id="rId21" display="http://stbnet.stb.com.tn/Infocentre/menucpt.asp?i=20"/>
    <hyperlink ref="A23" r:id="rId22" display="http://stbnet.stb.com.tn/Infocentre/menucpt.asp?i=21"/>
    <hyperlink ref="A24" r:id="rId23" display="http://stbnet.stb.com.tn/Infocentre/menucpt.asp?i=22"/>
    <hyperlink ref="A25" r:id="rId24" display="http://stbnet.stb.com.tn/Infocentre/menucpt.asp?i=23"/>
    <hyperlink ref="A26" r:id="rId25" display="http://stbnet.stb.com.tn/Infocentre/menucpt.asp?i=24"/>
  </hyperlinks>
  <pageMargins left="0.70866141732283472" right="0.70866141732283472" top="0.74803149606299213" bottom="0.74803149606299213" header="0.31496062992125984" footer="0.31496062992125984"/>
  <pageSetup paperSize="9" orientation="landscape" horizontalDpi="180" verticalDpi="180" r:id="rId26"/>
</worksheet>
</file>

<file path=xl/worksheets/sheet12.xml><?xml version="1.0" encoding="utf-8"?>
<worksheet xmlns="http://schemas.openxmlformats.org/spreadsheetml/2006/main" xmlns:r="http://schemas.openxmlformats.org/officeDocument/2006/relationships">
  <sheetPr>
    <tabColor rgb="FFFF0000"/>
    <pageSetUpPr fitToPage="1"/>
  </sheetPr>
  <dimension ref="A1:T203"/>
  <sheetViews>
    <sheetView tabSelected="1" topLeftCell="A52" workbookViewId="0">
      <selection activeCell="I113" sqref="I113"/>
    </sheetView>
  </sheetViews>
  <sheetFormatPr baseColWidth="10" defaultRowHeight="15"/>
  <cols>
    <col min="1" max="2" width="11.42578125" style="8"/>
    <col min="3" max="3" width="11.42578125" style="346"/>
    <col min="4" max="4" width="11.42578125" style="8"/>
    <col min="5" max="5" width="14.42578125" style="347" customWidth="1"/>
    <col min="6" max="6" width="11.42578125" style="8"/>
    <col min="7" max="7" width="3" style="8" customWidth="1"/>
    <col min="8" max="8" width="13.85546875" style="347" bestFit="1" customWidth="1"/>
    <col min="9" max="9" width="12.42578125" style="347" bestFit="1" customWidth="1"/>
    <col min="10" max="10" width="11.42578125" style="8"/>
    <col min="11" max="11" width="12.42578125" style="8" bestFit="1" customWidth="1"/>
    <col min="12" max="12" width="11.42578125" style="8"/>
    <col min="13" max="13" width="7.42578125" style="8" customWidth="1"/>
    <col min="14" max="14" width="11" style="347" customWidth="1"/>
    <col min="15" max="15" width="11.42578125" style="8"/>
    <col min="16" max="16" width="4.7109375" style="8" bestFit="1" customWidth="1"/>
    <col min="17" max="16384" width="11.42578125" style="8"/>
  </cols>
  <sheetData>
    <row r="1" spans="1:15" s="344" customFormat="1">
      <c r="A1" s="1041" t="s">
        <v>204</v>
      </c>
      <c r="B1" s="1041"/>
      <c r="C1" s="343"/>
      <c r="E1" s="345">
        <v>212438.16</v>
      </c>
      <c r="F1" s="344" t="s">
        <v>203</v>
      </c>
      <c r="H1" s="345"/>
      <c r="I1" s="345"/>
      <c r="N1" s="345"/>
    </row>
    <row r="2" spans="1:15" ht="15.75" thickBot="1"/>
    <row r="3" spans="1:15" s="818" customFormat="1" ht="15.75" thickBot="1">
      <c r="A3" s="825" t="s">
        <v>199</v>
      </c>
      <c r="B3" s="826" t="s">
        <v>200</v>
      </c>
      <c r="C3" s="348" t="s">
        <v>201</v>
      </c>
      <c r="D3" s="826" t="s">
        <v>205</v>
      </c>
      <c r="E3" s="349" t="s">
        <v>12</v>
      </c>
      <c r="F3" s="350" t="s">
        <v>202</v>
      </c>
      <c r="H3" s="825" t="s">
        <v>199</v>
      </c>
      <c r="I3" s="348" t="s">
        <v>201</v>
      </c>
      <c r="J3" s="826" t="s">
        <v>205</v>
      </c>
      <c r="K3" s="349" t="s">
        <v>12</v>
      </c>
      <c r="L3" s="350" t="s">
        <v>202</v>
      </c>
      <c r="N3" s="572"/>
    </row>
    <row r="4" spans="1:15">
      <c r="A4" s="351">
        <v>41645</v>
      </c>
      <c r="B4" s="352">
        <v>2174</v>
      </c>
      <c r="C4" s="353">
        <v>33060</v>
      </c>
      <c r="D4" s="1042">
        <v>2.95</v>
      </c>
      <c r="E4" s="1042">
        <f>+D4*(C4+C5)</f>
        <v>203196</v>
      </c>
      <c r="F4" s="1044" t="s">
        <v>203</v>
      </c>
      <c r="H4" s="351">
        <v>42025</v>
      </c>
      <c r="I4" s="353">
        <v>27420</v>
      </c>
      <c r="J4" s="379">
        <v>2.95</v>
      </c>
      <c r="K4" s="379">
        <f>J4*I4</f>
        <v>80889</v>
      </c>
      <c r="L4" s="821" t="s">
        <v>203</v>
      </c>
    </row>
    <row r="5" spans="1:15" ht="15.75" thickBot="1">
      <c r="A5" s="380">
        <v>41643</v>
      </c>
      <c r="B5" s="381">
        <v>2173</v>
      </c>
      <c r="C5" s="382">
        <v>35820</v>
      </c>
      <c r="D5" s="1043"/>
      <c r="E5" s="1043"/>
      <c r="F5" s="1045"/>
      <c r="H5" s="354">
        <v>42026</v>
      </c>
      <c r="I5" s="356">
        <v>28320</v>
      </c>
      <c r="J5" s="384">
        <v>2.95</v>
      </c>
      <c r="K5" s="384">
        <f>J5*I5</f>
        <v>83544</v>
      </c>
      <c r="L5" s="824" t="s">
        <v>203</v>
      </c>
    </row>
    <row r="6" spans="1:15" ht="15.75" thickBot="1">
      <c r="A6" s="380">
        <v>41646</v>
      </c>
      <c r="B6" s="381">
        <v>2177</v>
      </c>
      <c r="C6" s="382">
        <v>32880</v>
      </c>
      <c r="D6" s="1043">
        <v>2.95</v>
      </c>
      <c r="E6" s="1043">
        <f>+D6*(C6+C7)</f>
        <v>188328</v>
      </c>
      <c r="F6" s="1045" t="s">
        <v>203</v>
      </c>
      <c r="H6" s="805" t="s">
        <v>1077</v>
      </c>
      <c r="I6" s="359">
        <f>SUM(I4:I5)</f>
        <v>55740</v>
      </c>
      <c r="J6" s="343"/>
      <c r="K6" s="360">
        <f>SUM(K4:K5)</f>
        <v>164433</v>
      </c>
      <c r="L6" s="344"/>
    </row>
    <row r="7" spans="1:15" ht="15.75" thickBot="1">
      <c r="A7" s="380">
        <v>41648</v>
      </c>
      <c r="B7" s="381">
        <v>2181</v>
      </c>
      <c r="C7" s="382">
        <v>30960</v>
      </c>
      <c r="D7" s="1043"/>
      <c r="E7" s="1043"/>
      <c r="F7" s="1045"/>
      <c r="H7" s="8"/>
      <c r="I7" s="346"/>
      <c r="K7" s="347"/>
    </row>
    <row r="8" spans="1:15" ht="15.75" thickBot="1">
      <c r="A8" s="380">
        <v>41656</v>
      </c>
      <c r="B8" s="381">
        <v>2189</v>
      </c>
      <c r="C8" s="382">
        <v>32640</v>
      </c>
      <c r="D8" s="1043">
        <v>2.95</v>
      </c>
      <c r="E8" s="1043">
        <f>+D8*(C8+C9)</f>
        <v>214524</v>
      </c>
      <c r="F8" s="1045" t="s">
        <v>203</v>
      </c>
      <c r="H8" s="825" t="s">
        <v>199</v>
      </c>
      <c r="I8" s="348" t="s">
        <v>201</v>
      </c>
      <c r="J8" s="826" t="s">
        <v>205</v>
      </c>
      <c r="K8" s="349" t="s">
        <v>12</v>
      </c>
      <c r="L8" s="350" t="s">
        <v>202</v>
      </c>
    </row>
    <row r="9" spans="1:15">
      <c r="A9" s="380">
        <v>41655</v>
      </c>
      <c r="B9" s="381">
        <v>2188</v>
      </c>
      <c r="C9" s="382">
        <v>40080</v>
      </c>
      <c r="D9" s="1043"/>
      <c r="E9" s="1043"/>
      <c r="F9" s="1045"/>
      <c r="H9" s="351">
        <v>42054</v>
      </c>
      <c r="I9" s="353">
        <v>10328</v>
      </c>
      <c r="J9" s="379">
        <v>3.1</v>
      </c>
      <c r="K9" s="379">
        <f>J9*I9</f>
        <v>32016.799999999999</v>
      </c>
      <c r="L9" s="821" t="s">
        <v>203</v>
      </c>
    </row>
    <row r="10" spans="1:15">
      <c r="A10" s="380">
        <v>41659</v>
      </c>
      <c r="B10" s="381">
        <v>2196</v>
      </c>
      <c r="C10" s="382">
        <v>38880</v>
      </c>
      <c r="D10" s="1043">
        <v>2.95</v>
      </c>
      <c r="E10" s="1043">
        <f>+D10*(C10+C11)</f>
        <v>211810</v>
      </c>
      <c r="F10" s="1045" t="s">
        <v>203</v>
      </c>
      <c r="H10" s="380">
        <v>42060</v>
      </c>
      <c r="I10" s="382">
        <v>37120</v>
      </c>
      <c r="J10" s="383">
        <v>3.05</v>
      </c>
      <c r="K10" s="383">
        <f>J10*I10</f>
        <v>113216</v>
      </c>
      <c r="L10" s="822" t="s">
        <v>203</v>
      </c>
    </row>
    <row r="11" spans="1:15" ht="15.75" thickBot="1">
      <c r="A11" s="380">
        <v>41660</v>
      </c>
      <c r="B11" s="381">
        <v>2199</v>
      </c>
      <c r="C11" s="382">
        <v>32920</v>
      </c>
      <c r="D11" s="1043"/>
      <c r="E11" s="1043"/>
      <c r="F11" s="1045"/>
      <c r="H11" s="354">
        <v>42063</v>
      </c>
      <c r="I11" s="356">
        <v>27140</v>
      </c>
      <c r="J11" s="384">
        <v>3.05</v>
      </c>
      <c r="K11" s="384">
        <f>J11*I11</f>
        <v>82777</v>
      </c>
      <c r="L11" s="824" t="s">
        <v>203</v>
      </c>
    </row>
    <row r="12" spans="1:15" ht="15.75" thickBot="1">
      <c r="A12" s="380">
        <v>41661</v>
      </c>
      <c r="B12" s="381">
        <v>2200</v>
      </c>
      <c r="C12" s="382">
        <v>30240</v>
      </c>
      <c r="D12" s="1043">
        <v>2.93</v>
      </c>
      <c r="E12" s="1043">
        <f>+D12*(C12+C13)</f>
        <v>191211.80000000002</v>
      </c>
      <c r="F12" s="1045" t="s">
        <v>203</v>
      </c>
      <c r="H12" s="805" t="s">
        <v>1078</v>
      </c>
      <c r="I12" s="359">
        <f>SUM(I9:I11)</f>
        <v>74588</v>
      </c>
      <c r="J12" s="343"/>
      <c r="K12" s="360">
        <f>SUM(K9:K11)</f>
        <v>228009.8</v>
      </c>
      <c r="L12" s="344"/>
    </row>
    <row r="13" spans="1:15" ht="15.75" thickBot="1">
      <c r="A13" s="380">
        <v>41666</v>
      </c>
      <c r="B13" s="381">
        <v>2956</v>
      </c>
      <c r="C13" s="382">
        <v>35020</v>
      </c>
      <c r="D13" s="1043"/>
      <c r="E13" s="1043"/>
      <c r="F13" s="1045"/>
      <c r="H13" s="8"/>
      <c r="I13" s="346"/>
      <c r="K13" s="347"/>
    </row>
    <row r="14" spans="1:15" ht="15.75" thickBot="1">
      <c r="A14" s="380">
        <v>41667</v>
      </c>
      <c r="B14" s="381">
        <v>2958</v>
      </c>
      <c r="C14" s="382">
        <v>34860</v>
      </c>
      <c r="D14" s="1043">
        <v>2.93</v>
      </c>
      <c r="E14" s="1043">
        <f>+D14*(C14+C15)</f>
        <v>207502.6</v>
      </c>
      <c r="F14" s="1045" t="s">
        <v>203</v>
      </c>
      <c r="H14" s="825" t="s">
        <v>199</v>
      </c>
      <c r="I14" s="348" t="s">
        <v>201</v>
      </c>
      <c r="J14" s="826" t="s">
        <v>205</v>
      </c>
      <c r="K14" s="349" t="s">
        <v>12</v>
      </c>
      <c r="L14" s="350" t="s">
        <v>202</v>
      </c>
    </row>
    <row r="15" spans="1:15" ht="15.75" thickBot="1">
      <c r="A15" s="354">
        <v>41670</v>
      </c>
      <c r="B15" s="355">
        <v>2964</v>
      </c>
      <c r="C15" s="356">
        <v>35960</v>
      </c>
      <c r="D15" s="1046"/>
      <c r="E15" s="1046"/>
      <c r="F15" s="1047"/>
      <c r="H15" s="351">
        <v>42072</v>
      </c>
      <c r="I15" s="353">
        <v>28280</v>
      </c>
      <c r="J15" s="379">
        <v>3.05</v>
      </c>
      <c r="K15" s="379">
        <f>I15*J15</f>
        <v>86254</v>
      </c>
      <c r="L15" s="821" t="s">
        <v>203</v>
      </c>
      <c r="O15" s="347"/>
    </row>
    <row r="16" spans="1:15" ht="15.75" thickBot="1">
      <c r="A16" s="1048" t="s">
        <v>206</v>
      </c>
      <c r="B16" s="1049"/>
      <c r="C16" s="357">
        <f>SUM(C4:C15)</f>
        <v>413320</v>
      </c>
      <c r="D16" s="343"/>
      <c r="E16" s="358">
        <f>SUM(E4:E15)</f>
        <v>1216572.4000000001</v>
      </c>
      <c r="F16" s="344"/>
      <c r="H16" s="380">
        <v>42077</v>
      </c>
      <c r="I16" s="382">
        <v>18300</v>
      </c>
      <c r="J16" s="383">
        <v>3.05</v>
      </c>
      <c r="K16" s="383">
        <f t="shared" ref="K16:K22" si="0">J16*I16</f>
        <v>55815</v>
      </c>
      <c r="L16" s="822" t="s">
        <v>203</v>
      </c>
      <c r="O16" s="347"/>
    </row>
    <row r="17" spans="1:15" ht="15.75" thickBot="1">
      <c r="H17" s="380">
        <v>42080</v>
      </c>
      <c r="I17" s="382">
        <v>20080</v>
      </c>
      <c r="J17" s="383">
        <v>3.05</v>
      </c>
      <c r="K17" s="383">
        <f t="shared" si="0"/>
        <v>61244</v>
      </c>
      <c r="L17" s="822" t="s">
        <v>203</v>
      </c>
      <c r="O17" s="347"/>
    </row>
    <row r="18" spans="1:15" ht="15.75" thickBot="1">
      <c r="A18" s="825" t="s">
        <v>199</v>
      </c>
      <c r="B18" s="826" t="s">
        <v>200</v>
      </c>
      <c r="C18" s="348" t="s">
        <v>201</v>
      </c>
      <c r="D18" s="826" t="s">
        <v>205</v>
      </c>
      <c r="E18" s="349" t="s">
        <v>12</v>
      </c>
      <c r="F18" s="350" t="s">
        <v>202</v>
      </c>
      <c r="H18" s="380">
        <v>42086</v>
      </c>
      <c r="I18" s="382">
        <v>42720</v>
      </c>
      <c r="J18" s="383">
        <v>3.05</v>
      </c>
      <c r="K18" s="383">
        <f t="shared" si="0"/>
        <v>130295.99999999999</v>
      </c>
      <c r="L18" s="822" t="s">
        <v>203</v>
      </c>
      <c r="O18" s="347"/>
    </row>
    <row r="19" spans="1:15">
      <c r="A19" s="351">
        <v>41678</v>
      </c>
      <c r="B19" s="352">
        <v>2976</v>
      </c>
      <c r="C19" s="353">
        <v>31940</v>
      </c>
      <c r="D19" s="1042">
        <v>2.9</v>
      </c>
      <c r="E19" s="1042">
        <f>+D19*(C19+C20)</f>
        <v>182758</v>
      </c>
      <c r="F19" s="1044" t="s">
        <v>203</v>
      </c>
      <c r="H19" s="380">
        <v>42088</v>
      </c>
      <c r="I19" s="382">
        <v>32620</v>
      </c>
      <c r="J19" s="383">
        <v>3.05</v>
      </c>
      <c r="K19" s="383">
        <f t="shared" si="0"/>
        <v>99491</v>
      </c>
      <c r="L19" s="822" t="s">
        <v>203</v>
      </c>
      <c r="O19" s="347"/>
    </row>
    <row r="20" spans="1:15">
      <c r="A20" s="380">
        <v>41680</v>
      </c>
      <c r="B20" s="381">
        <v>2977</v>
      </c>
      <c r="C20" s="382">
        <v>31080</v>
      </c>
      <c r="D20" s="1043"/>
      <c r="E20" s="1043"/>
      <c r="F20" s="1045"/>
      <c r="H20" s="380">
        <v>42089</v>
      </c>
      <c r="I20" s="382">
        <v>40420</v>
      </c>
      <c r="J20" s="383">
        <v>3.05</v>
      </c>
      <c r="K20" s="383">
        <f t="shared" si="0"/>
        <v>123281</v>
      </c>
      <c r="L20" s="822" t="s">
        <v>203</v>
      </c>
      <c r="O20" s="347"/>
    </row>
    <row r="21" spans="1:15">
      <c r="A21" s="380">
        <v>41682</v>
      </c>
      <c r="B21" s="381">
        <v>2984</v>
      </c>
      <c r="C21" s="382">
        <v>25600</v>
      </c>
      <c r="D21" s="1043">
        <v>2.9</v>
      </c>
      <c r="E21" s="1043">
        <f>+D21*(C21+C22)</f>
        <v>149097.69999999998</v>
      </c>
      <c r="F21" s="1045" t="s">
        <v>203</v>
      </c>
      <c r="H21" s="380">
        <v>42090</v>
      </c>
      <c r="I21" s="382">
        <v>35040</v>
      </c>
      <c r="J21" s="383">
        <v>3.05</v>
      </c>
      <c r="K21" s="383">
        <f t="shared" si="0"/>
        <v>106872</v>
      </c>
      <c r="L21" s="822" t="s">
        <v>203</v>
      </c>
      <c r="O21" s="347"/>
    </row>
    <row r="22" spans="1:15" ht="15.75" thickBot="1">
      <c r="A22" s="380">
        <v>41683</v>
      </c>
      <c r="B22" s="381">
        <v>2985</v>
      </c>
      <c r="C22" s="382">
        <v>25813</v>
      </c>
      <c r="D22" s="1043"/>
      <c r="E22" s="1043"/>
      <c r="F22" s="1045"/>
      <c r="H22" s="354">
        <v>42094</v>
      </c>
      <c r="I22" s="356">
        <v>36940</v>
      </c>
      <c r="J22" s="384">
        <v>3.05</v>
      </c>
      <c r="K22" s="384">
        <f t="shared" si="0"/>
        <v>112667</v>
      </c>
      <c r="L22" s="824" t="s">
        <v>203</v>
      </c>
      <c r="O22" s="347"/>
    </row>
    <row r="23" spans="1:15" ht="15.75" thickBot="1">
      <c r="A23" s="380">
        <v>41687</v>
      </c>
      <c r="B23" s="381">
        <v>2986</v>
      </c>
      <c r="C23" s="382">
        <v>36120</v>
      </c>
      <c r="D23" s="1043">
        <v>2.9249999999999998</v>
      </c>
      <c r="E23" s="1043">
        <f>+D23*(C23+C24)</f>
        <v>211126.5</v>
      </c>
      <c r="F23" s="1045" t="s">
        <v>203</v>
      </c>
      <c r="H23" s="805" t="s">
        <v>1079</v>
      </c>
      <c r="I23" s="359">
        <f>SUM(I15:I22)</f>
        <v>254400</v>
      </c>
      <c r="J23" s="343"/>
      <c r="K23" s="360">
        <f>SUM(K15:K22)</f>
        <v>775920</v>
      </c>
      <c r="L23" s="344"/>
      <c r="O23" s="347"/>
    </row>
    <row r="24" spans="1:15" ht="15.75" thickBot="1">
      <c r="A24" s="380">
        <v>41688</v>
      </c>
      <c r="B24" s="381">
        <v>2990</v>
      </c>
      <c r="C24" s="382">
        <v>36060</v>
      </c>
      <c r="D24" s="1043"/>
      <c r="E24" s="1043"/>
      <c r="F24" s="1045"/>
      <c r="O24" s="347"/>
    </row>
    <row r="25" spans="1:15" ht="15.75" thickBot="1">
      <c r="A25" s="380">
        <v>41691</v>
      </c>
      <c r="B25" s="381">
        <v>2993</v>
      </c>
      <c r="C25" s="382">
        <v>36120</v>
      </c>
      <c r="D25" s="1043">
        <v>2.93</v>
      </c>
      <c r="E25" s="1043">
        <f>+D25*(C25+C26)</f>
        <v>208909</v>
      </c>
      <c r="F25" s="1045" t="s">
        <v>203</v>
      </c>
      <c r="H25" s="825" t="s">
        <v>199</v>
      </c>
      <c r="I25" s="348" t="s">
        <v>201</v>
      </c>
      <c r="J25" s="826" t="s">
        <v>205</v>
      </c>
      <c r="K25" s="349" t="s">
        <v>12</v>
      </c>
      <c r="L25" s="350" t="s">
        <v>202</v>
      </c>
      <c r="O25" s="347"/>
    </row>
    <row r="26" spans="1:15" ht="15.75" thickBot="1">
      <c r="A26" s="380">
        <v>41695</v>
      </c>
      <c r="B26" s="381">
        <v>2851</v>
      </c>
      <c r="C26" s="382">
        <v>35180</v>
      </c>
      <c r="D26" s="1043"/>
      <c r="E26" s="1043"/>
      <c r="F26" s="1045"/>
      <c r="H26" s="419" t="s">
        <v>1080</v>
      </c>
      <c r="I26" s="421">
        <v>5808</v>
      </c>
      <c r="J26" s="422">
        <v>30</v>
      </c>
      <c r="K26" s="422">
        <f>+I26*J26</f>
        <v>174240</v>
      </c>
      <c r="L26" s="770" t="s">
        <v>203</v>
      </c>
      <c r="O26" s="347"/>
    </row>
    <row r="27" spans="1:15" ht="15.75" thickBot="1">
      <c r="A27" s="380">
        <v>41696</v>
      </c>
      <c r="B27" s="381">
        <v>2854</v>
      </c>
      <c r="C27" s="382">
        <v>34820</v>
      </c>
      <c r="D27" s="1043">
        <v>2.93</v>
      </c>
      <c r="E27" s="1043">
        <f>+D27*(C27+C28)</f>
        <v>165427.80000000002</v>
      </c>
      <c r="F27" s="1045" t="s">
        <v>203</v>
      </c>
      <c r="H27" s="805" t="s">
        <v>1079</v>
      </c>
      <c r="I27" s="359">
        <f>SUM(I26:I26)</f>
        <v>5808</v>
      </c>
      <c r="J27" s="343"/>
      <c r="K27" s="360">
        <f>SUM(K26:K26)</f>
        <v>174240</v>
      </c>
      <c r="L27" s="344"/>
      <c r="O27" s="347"/>
    </row>
    <row r="28" spans="1:15" ht="15.75" thickBot="1">
      <c r="A28" s="354">
        <v>41697</v>
      </c>
      <c r="B28" s="355">
        <v>2860</v>
      </c>
      <c r="C28" s="356">
        <v>21640</v>
      </c>
      <c r="D28" s="1046"/>
      <c r="E28" s="1046"/>
      <c r="F28" s="1047"/>
      <c r="O28" s="347"/>
    </row>
    <row r="29" spans="1:15" ht="15.75" thickBot="1">
      <c r="A29" s="1048" t="s">
        <v>213</v>
      </c>
      <c r="B29" s="1049"/>
      <c r="C29" s="357">
        <f>SUM(C19:C28)</f>
        <v>314373</v>
      </c>
      <c r="D29" s="343"/>
      <c r="E29" s="358">
        <f>SUM(E19:E24)</f>
        <v>542982.19999999995</v>
      </c>
      <c r="F29" s="344"/>
      <c r="H29" s="825" t="s">
        <v>199</v>
      </c>
      <c r="I29" s="348" t="s">
        <v>201</v>
      </c>
      <c r="J29" s="826" t="s">
        <v>205</v>
      </c>
      <c r="K29" s="349" t="s">
        <v>12</v>
      </c>
      <c r="L29" s="350" t="s">
        <v>202</v>
      </c>
      <c r="O29" s="347"/>
    </row>
    <row r="30" spans="1:15" ht="15.75" thickBot="1">
      <c r="H30" s="351">
        <v>42096</v>
      </c>
      <c r="I30" s="353">
        <v>36000</v>
      </c>
      <c r="J30" s="379">
        <v>3.05</v>
      </c>
      <c r="K30" s="379">
        <f>I30*J30</f>
        <v>109800</v>
      </c>
      <c r="L30" s="821" t="s">
        <v>203</v>
      </c>
      <c r="O30" s="347"/>
    </row>
    <row r="31" spans="1:15" ht="15.75" thickBot="1">
      <c r="A31" s="825" t="s">
        <v>199</v>
      </c>
      <c r="B31" s="826" t="s">
        <v>200</v>
      </c>
      <c r="C31" s="348" t="s">
        <v>201</v>
      </c>
      <c r="D31" s="826" t="s">
        <v>205</v>
      </c>
      <c r="E31" s="349" t="s">
        <v>12</v>
      </c>
      <c r="F31" s="350" t="s">
        <v>202</v>
      </c>
      <c r="H31" s="380">
        <v>42097</v>
      </c>
      <c r="I31" s="382">
        <v>35560</v>
      </c>
      <c r="J31" s="383">
        <v>3.05</v>
      </c>
      <c r="K31" s="383">
        <f>I31*J31</f>
        <v>108458</v>
      </c>
      <c r="L31" s="822" t="s">
        <v>203</v>
      </c>
      <c r="O31" s="347"/>
    </row>
    <row r="32" spans="1:15">
      <c r="A32" s="351">
        <v>41701</v>
      </c>
      <c r="B32" s="352">
        <v>2863</v>
      </c>
      <c r="C32" s="353">
        <v>34900</v>
      </c>
      <c r="D32" s="819">
        <v>2.93</v>
      </c>
      <c r="E32" s="819">
        <f>+D32*(C32)</f>
        <v>102257</v>
      </c>
      <c r="F32" s="821" t="s">
        <v>203</v>
      </c>
      <c r="H32" s="380">
        <v>42098</v>
      </c>
      <c r="I32" s="382">
        <v>31080</v>
      </c>
      <c r="J32" s="383">
        <v>3.05</v>
      </c>
      <c r="K32" s="383">
        <f t="shared" ref="K32:K40" si="1">I32*J32</f>
        <v>94794</v>
      </c>
      <c r="L32" s="822" t="s">
        <v>203</v>
      </c>
      <c r="O32" s="347"/>
    </row>
    <row r="33" spans="1:20" ht="15.75" thickBot="1">
      <c r="A33" s="354">
        <v>41723</v>
      </c>
      <c r="B33" s="355">
        <v>2889</v>
      </c>
      <c r="C33" s="356">
        <v>34920</v>
      </c>
      <c r="D33" s="823">
        <v>2.83</v>
      </c>
      <c r="E33" s="823">
        <f>C33*D33</f>
        <v>98823.6</v>
      </c>
      <c r="F33" s="824" t="s">
        <v>203</v>
      </c>
      <c r="H33" s="380">
        <v>42102</v>
      </c>
      <c r="I33" s="382">
        <v>27640</v>
      </c>
      <c r="J33" s="383">
        <v>3.05</v>
      </c>
      <c r="K33" s="383">
        <f t="shared" si="1"/>
        <v>84302</v>
      </c>
      <c r="L33" s="822" t="s">
        <v>203</v>
      </c>
      <c r="O33" s="347"/>
    </row>
    <row r="34" spans="1:20" ht="15.75" thickBot="1">
      <c r="A34" s="1050" t="s">
        <v>223</v>
      </c>
      <c r="B34" s="1051"/>
      <c r="C34" s="359">
        <f>SUM(C32:C33)</f>
        <v>69820</v>
      </c>
      <c r="D34" s="343"/>
      <c r="E34" s="360">
        <f>SUM(E32:E33)</f>
        <v>201080.6</v>
      </c>
      <c r="F34" s="344"/>
      <c r="H34" s="380">
        <v>42103</v>
      </c>
      <c r="I34" s="382">
        <v>27620</v>
      </c>
      <c r="J34" s="383">
        <v>3.05</v>
      </c>
      <c r="K34" s="383">
        <f t="shared" si="1"/>
        <v>84241</v>
      </c>
      <c r="L34" s="822" t="s">
        <v>203</v>
      </c>
      <c r="O34" s="347"/>
    </row>
    <row r="35" spans="1:20" ht="15.75" thickBot="1">
      <c r="H35" s="380">
        <v>42108</v>
      </c>
      <c r="I35" s="382">
        <v>35700</v>
      </c>
      <c r="J35" s="383">
        <v>3.1</v>
      </c>
      <c r="K35" s="383">
        <f t="shared" si="1"/>
        <v>110670</v>
      </c>
      <c r="L35" s="822" t="s">
        <v>203</v>
      </c>
      <c r="O35" s="347"/>
    </row>
    <row r="36" spans="1:20" ht="15.75" thickBot="1">
      <c r="A36" s="825" t="s">
        <v>199</v>
      </c>
      <c r="B36" s="826" t="s">
        <v>200</v>
      </c>
      <c r="C36" s="348" t="s">
        <v>201</v>
      </c>
      <c r="D36" s="826" t="s">
        <v>205</v>
      </c>
      <c r="E36" s="349" t="s">
        <v>12</v>
      </c>
      <c r="F36" s="350" t="s">
        <v>202</v>
      </c>
      <c r="H36" s="380">
        <v>42111</v>
      </c>
      <c r="I36" s="382">
        <v>33240</v>
      </c>
      <c r="J36" s="383">
        <v>3.1</v>
      </c>
      <c r="K36" s="383">
        <f t="shared" si="1"/>
        <v>103044</v>
      </c>
      <c r="L36" s="822" t="s">
        <v>203</v>
      </c>
      <c r="O36" s="347"/>
    </row>
    <row r="37" spans="1:20">
      <c r="A37" s="351">
        <v>41761</v>
      </c>
      <c r="B37" s="352">
        <v>2787</v>
      </c>
      <c r="C37" s="353">
        <v>35720</v>
      </c>
      <c r="D37" s="819">
        <v>2.85</v>
      </c>
      <c r="E37" s="819">
        <f>+D37*(C37)</f>
        <v>101802</v>
      </c>
      <c r="F37" s="821" t="s">
        <v>203</v>
      </c>
      <c r="H37" s="771">
        <v>42112</v>
      </c>
      <c r="I37" s="772">
        <v>27500</v>
      </c>
      <c r="J37" s="773">
        <v>3.1</v>
      </c>
      <c r="K37" s="773">
        <f t="shared" si="1"/>
        <v>85250</v>
      </c>
      <c r="L37" s="774" t="s">
        <v>203</v>
      </c>
      <c r="O37" s="347"/>
    </row>
    <row r="38" spans="1:20">
      <c r="A38" s="380">
        <v>41764</v>
      </c>
      <c r="B38" s="381">
        <v>2788</v>
      </c>
      <c r="C38" s="382">
        <v>35600</v>
      </c>
      <c r="D38" s="820">
        <v>2.85</v>
      </c>
      <c r="E38" s="820">
        <f>C38*D38</f>
        <v>101460</v>
      </c>
      <c r="F38" s="822" t="s">
        <v>203</v>
      </c>
      <c r="H38" s="771">
        <v>42114</v>
      </c>
      <c r="I38" s="772">
        <v>27940</v>
      </c>
      <c r="J38" s="773">
        <v>3.1</v>
      </c>
      <c r="K38" s="773">
        <f t="shared" si="1"/>
        <v>86614</v>
      </c>
      <c r="L38" s="774" t="s">
        <v>203</v>
      </c>
      <c r="O38" s="347"/>
      <c r="T38" s="347"/>
    </row>
    <row r="39" spans="1:20">
      <c r="A39" s="613">
        <v>41769</v>
      </c>
      <c r="B39" s="614">
        <v>2795</v>
      </c>
      <c r="C39" s="615">
        <v>36180</v>
      </c>
      <c r="D39" s="616">
        <v>2.85</v>
      </c>
      <c r="E39" s="616">
        <f t="shared" ref="E39:E44" si="2">C39*D39</f>
        <v>103113</v>
      </c>
      <c r="F39" s="617" t="s">
        <v>203</v>
      </c>
      <c r="H39" s="771">
        <v>42122</v>
      </c>
      <c r="I39" s="772">
        <v>35240</v>
      </c>
      <c r="J39" s="773">
        <v>3.1</v>
      </c>
      <c r="K39" s="773">
        <f t="shared" si="1"/>
        <v>109244</v>
      </c>
      <c r="L39" s="774" t="s">
        <v>203</v>
      </c>
      <c r="O39" s="347"/>
    </row>
    <row r="40" spans="1:20" ht="15.75" thickBot="1">
      <c r="A40" s="613">
        <v>41771</v>
      </c>
      <c r="B40" s="614">
        <v>2796</v>
      </c>
      <c r="C40" s="615">
        <v>35020</v>
      </c>
      <c r="D40" s="616">
        <v>2.85</v>
      </c>
      <c r="E40" s="616">
        <f t="shared" si="2"/>
        <v>99807</v>
      </c>
      <c r="F40" s="617" t="s">
        <v>203</v>
      </c>
      <c r="H40" s="354">
        <v>42124</v>
      </c>
      <c r="I40" s="356">
        <v>40120</v>
      </c>
      <c r="J40" s="384">
        <v>3.1</v>
      </c>
      <c r="K40" s="384">
        <f t="shared" si="1"/>
        <v>124372</v>
      </c>
      <c r="L40" s="824" t="s">
        <v>203</v>
      </c>
      <c r="O40" s="347"/>
    </row>
    <row r="41" spans="1:20" ht="15.75" thickBot="1">
      <c r="A41" s="613">
        <v>41772</v>
      </c>
      <c r="B41" s="614">
        <v>2800</v>
      </c>
      <c r="C41" s="615">
        <v>35280</v>
      </c>
      <c r="D41" s="616">
        <v>2.85</v>
      </c>
      <c r="E41" s="616">
        <f>D41*C41</f>
        <v>100548</v>
      </c>
      <c r="F41" s="617" t="s">
        <v>203</v>
      </c>
      <c r="H41" s="805" t="s">
        <v>1081</v>
      </c>
      <c r="I41" s="359">
        <f>SUM(I30:I40)</f>
        <v>357640</v>
      </c>
      <c r="J41" s="343"/>
      <c r="K41" s="360">
        <f>SUM(K30:K40)</f>
        <v>1100789</v>
      </c>
      <c r="L41" s="344"/>
      <c r="O41" s="347"/>
    </row>
    <row r="42" spans="1:20" ht="15.75" thickBot="1">
      <c r="A42" s="613">
        <v>41775</v>
      </c>
      <c r="B42" s="614">
        <v>2651</v>
      </c>
      <c r="C42" s="615">
        <v>35200</v>
      </c>
      <c r="D42" s="616">
        <v>2.85</v>
      </c>
      <c r="E42" s="616">
        <f t="shared" si="2"/>
        <v>100320</v>
      </c>
      <c r="F42" s="617" t="s">
        <v>203</v>
      </c>
      <c r="O42" s="347"/>
    </row>
    <row r="43" spans="1:20" ht="15.75" thickBot="1">
      <c r="A43" s="613">
        <v>41779</v>
      </c>
      <c r="B43" s="614">
        <v>2652</v>
      </c>
      <c r="C43" s="615">
        <v>35300</v>
      </c>
      <c r="D43" s="616">
        <v>2.85</v>
      </c>
      <c r="E43" s="616">
        <f t="shared" si="2"/>
        <v>100605</v>
      </c>
      <c r="F43" s="617" t="s">
        <v>203</v>
      </c>
      <c r="H43" s="825" t="s">
        <v>199</v>
      </c>
      <c r="I43" s="348" t="s">
        <v>201</v>
      </c>
      <c r="J43" s="826" t="s">
        <v>205</v>
      </c>
      <c r="K43" s="349" t="s">
        <v>12</v>
      </c>
      <c r="L43" s="350" t="s">
        <v>202</v>
      </c>
      <c r="O43" s="347"/>
    </row>
    <row r="44" spans="1:20" s="387" customFormat="1" ht="15.75" thickBot="1">
      <c r="A44" s="524">
        <v>41780</v>
      </c>
      <c r="B44" s="525">
        <v>2653</v>
      </c>
      <c r="C44" s="526">
        <v>31020</v>
      </c>
      <c r="D44" s="618">
        <v>2.85</v>
      </c>
      <c r="E44" s="618">
        <f t="shared" si="2"/>
        <v>88407</v>
      </c>
      <c r="F44" s="619" t="s">
        <v>203</v>
      </c>
      <c r="H44" s="351">
        <v>42126</v>
      </c>
      <c r="I44" s="353">
        <v>40260</v>
      </c>
      <c r="J44" s="379">
        <v>3.15</v>
      </c>
      <c r="K44" s="379">
        <f>I44*J44</f>
        <v>126819</v>
      </c>
      <c r="L44" s="821" t="s">
        <v>203</v>
      </c>
      <c r="N44" s="347"/>
      <c r="O44" s="347"/>
      <c r="P44" s="1"/>
    </row>
    <row r="45" spans="1:20" ht="15.75" thickBot="1">
      <c r="A45" s="1052" t="s">
        <v>235</v>
      </c>
      <c r="B45" s="1053"/>
      <c r="C45" s="388">
        <f>SUM(C37:C44)</f>
        <v>279320</v>
      </c>
      <c r="D45" s="308"/>
      <c r="E45" s="389">
        <f>SUM(E37:E44)</f>
        <v>796062</v>
      </c>
      <c r="F45" s="390"/>
      <c r="H45" s="380">
        <v>42129</v>
      </c>
      <c r="I45" s="382">
        <f>37860+60</f>
        <v>37920</v>
      </c>
      <c r="J45" s="383">
        <v>3.0550000000000002</v>
      </c>
      <c r="K45" s="383">
        <f t="shared" ref="K45:K59" si="3">I45*J45</f>
        <v>115845.6</v>
      </c>
      <c r="L45" s="822" t="s">
        <v>203</v>
      </c>
      <c r="O45" s="347"/>
      <c r="P45" s="627"/>
    </row>
    <row r="46" spans="1:20" ht="15.75" thickBot="1">
      <c r="A46" s="1"/>
      <c r="B46" s="1"/>
      <c r="C46" s="206"/>
      <c r="D46" s="1"/>
      <c r="E46" s="391"/>
      <c r="F46" s="1"/>
      <c r="H46" s="380">
        <v>42130</v>
      </c>
      <c r="I46" s="382">
        <v>31180</v>
      </c>
      <c r="J46" s="383">
        <v>3.15</v>
      </c>
      <c r="K46" s="383">
        <f t="shared" si="3"/>
        <v>98217</v>
      </c>
      <c r="L46" s="822" t="s">
        <v>203</v>
      </c>
      <c r="N46" s="654"/>
      <c r="O46" s="654"/>
      <c r="P46" s="387"/>
    </row>
    <row r="47" spans="1:20" ht="15.75" thickBot="1">
      <c r="A47" s="392" t="s">
        <v>199</v>
      </c>
      <c r="B47" s="393" t="s">
        <v>200</v>
      </c>
      <c r="C47" s="394" t="s">
        <v>201</v>
      </c>
      <c r="D47" s="393" t="s">
        <v>205</v>
      </c>
      <c r="E47" s="395" t="s">
        <v>12</v>
      </c>
      <c r="F47" s="396" t="s">
        <v>202</v>
      </c>
      <c r="H47" s="380">
        <v>42131</v>
      </c>
      <c r="I47" s="382">
        <v>29980</v>
      </c>
      <c r="J47" s="383">
        <v>3.15</v>
      </c>
      <c r="K47" s="383">
        <f t="shared" si="3"/>
        <v>94437</v>
      </c>
      <c r="L47" s="822" t="s">
        <v>203</v>
      </c>
      <c r="N47" s="654"/>
      <c r="O47" s="654"/>
      <c r="P47" s="387"/>
    </row>
    <row r="48" spans="1:20" s="387" customFormat="1">
      <c r="A48" s="620">
        <v>41792</v>
      </c>
      <c r="B48" s="621">
        <v>2672</v>
      </c>
      <c r="C48" s="622">
        <v>35340</v>
      </c>
      <c r="D48" s="623">
        <v>2.85</v>
      </c>
      <c r="E48" s="623">
        <f>+D48*(C48)</f>
        <v>100719</v>
      </c>
      <c r="F48" s="624" t="s">
        <v>203</v>
      </c>
      <c r="H48" s="380">
        <v>42132</v>
      </c>
      <c r="I48" s="382">
        <v>15540</v>
      </c>
      <c r="J48" s="383">
        <v>3.15</v>
      </c>
      <c r="K48" s="383">
        <f t="shared" si="3"/>
        <v>48951</v>
      </c>
      <c r="L48" s="822" t="s">
        <v>203</v>
      </c>
      <c r="N48" s="626"/>
      <c r="O48" s="626"/>
      <c r="P48" s="1"/>
    </row>
    <row r="49" spans="1:17">
      <c r="A49" s="613">
        <v>41793</v>
      </c>
      <c r="B49" s="614">
        <v>2673</v>
      </c>
      <c r="C49" s="615">
        <v>35120</v>
      </c>
      <c r="D49" s="616">
        <v>2.85</v>
      </c>
      <c r="E49" s="616">
        <f>C49*D49</f>
        <v>100092</v>
      </c>
      <c r="F49" s="617" t="s">
        <v>203</v>
      </c>
      <c r="H49" s="380">
        <v>42133</v>
      </c>
      <c r="I49" s="382">
        <v>27780</v>
      </c>
      <c r="J49" s="383">
        <v>3.15</v>
      </c>
      <c r="K49" s="383">
        <f t="shared" si="3"/>
        <v>87507</v>
      </c>
      <c r="L49" s="822" t="s">
        <v>203</v>
      </c>
      <c r="N49" s="626"/>
      <c r="O49" s="626"/>
      <c r="P49" s="627"/>
      <c r="Q49" s="347"/>
    </row>
    <row r="50" spans="1:17">
      <c r="A50" s="380">
        <v>41811</v>
      </c>
      <c r="B50" s="381"/>
      <c r="C50" s="382">
        <v>12100</v>
      </c>
      <c r="D50" s="820">
        <v>2.9</v>
      </c>
      <c r="E50" s="820">
        <f>C50*D50</f>
        <v>35090</v>
      </c>
      <c r="F50" s="822" t="s">
        <v>203</v>
      </c>
      <c r="H50" s="380">
        <v>42133</v>
      </c>
      <c r="I50" s="382">
        <v>25220</v>
      </c>
      <c r="J50" s="383">
        <v>3.15</v>
      </c>
      <c r="K50" s="383">
        <f t="shared" si="3"/>
        <v>79443</v>
      </c>
      <c r="L50" s="822" t="s">
        <v>203</v>
      </c>
      <c r="N50" s="626"/>
      <c r="O50" s="626"/>
      <c r="P50" s="627"/>
    </row>
    <row r="51" spans="1:17">
      <c r="A51" s="380">
        <v>41814</v>
      </c>
      <c r="B51" s="381">
        <v>2699</v>
      </c>
      <c r="C51" s="382">
        <v>21260</v>
      </c>
      <c r="D51" s="820">
        <v>2.9</v>
      </c>
      <c r="E51" s="820">
        <f>C51*D51</f>
        <v>61654</v>
      </c>
      <c r="F51" s="822" t="s">
        <v>203</v>
      </c>
      <c r="H51" s="380">
        <v>42137</v>
      </c>
      <c r="I51" s="382">
        <v>35720</v>
      </c>
      <c r="J51" s="383">
        <v>3.15</v>
      </c>
      <c r="K51" s="383">
        <f t="shared" si="3"/>
        <v>112518</v>
      </c>
      <c r="L51" s="822" t="s">
        <v>203</v>
      </c>
      <c r="N51" s="626"/>
      <c r="O51" s="626"/>
      <c r="P51" s="627"/>
    </row>
    <row r="52" spans="1:17">
      <c r="A52" s="380">
        <v>41816</v>
      </c>
      <c r="B52" s="381">
        <v>2700</v>
      </c>
      <c r="C52" s="382">
        <v>35080</v>
      </c>
      <c r="D52" s="820">
        <v>2.9</v>
      </c>
      <c r="E52" s="820">
        <f>D52*C52</f>
        <v>101732</v>
      </c>
      <c r="F52" s="822" t="s">
        <v>203</v>
      </c>
      <c r="H52" s="380">
        <v>42139</v>
      </c>
      <c r="I52" s="382">
        <v>35120</v>
      </c>
      <c r="J52" s="383">
        <v>3.15</v>
      </c>
      <c r="K52" s="383">
        <f t="shared" si="3"/>
        <v>110628</v>
      </c>
      <c r="L52" s="822" t="s">
        <v>203</v>
      </c>
      <c r="N52" s="626"/>
      <c r="O52" s="626"/>
      <c r="P52" s="627"/>
    </row>
    <row r="53" spans="1:17" ht="15.75" thickBot="1">
      <c r="A53" s="354">
        <v>41817</v>
      </c>
      <c r="B53" s="355">
        <v>2551</v>
      </c>
      <c r="C53" s="356">
        <v>35120</v>
      </c>
      <c r="D53" s="823">
        <v>2.9</v>
      </c>
      <c r="E53" s="823">
        <f>D53*C53</f>
        <v>101848</v>
      </c>
      <c r="F53" s="824" t="s">
        <v>203</v>
      </c>
      <c r="H53" s="380">
        <v>42142</v>
      </c>
      <c r="I53" s="382">
        <v>31300</v>
      </c>
      <c r="J53" s="383">
        <v>3.15</v>
      </c>
      <c r="K53" s="383">
        <f t="shared" si="3"/>
        <v>98595</v>
      </c>
      <c r="L53" s="822" t="s">
        <v>203</v>
      </c>
      <c r="N53" s="626"/>
      <c r="O53" s="626"/>
      <c r="P53" s="627"/>
    </row>
    <row r="54" spans="1:17" ht="15.75" thickBot="1">
      <c r="A54" s="1050" t="s">
        <v>240</v>
      </c>
      <c r="B54" s="1051"/>
      <c r="C54" s="359">
        <f>SUM(C48:C53)</f>
        <v>174020</v>
      </c>
      <c r="D54" s="343"/>
      <c r="E54" s="360">
        <f>SUM(E48:E51)</f>
        <v>297555</v>
      </c>
      <c r="F54" s="344"/>
      <c r="H54" s="380">
        <v>42144</v>
      </c>
      <c r="I54" s="382">
        <v>30960</v>
      </c>
      <c r="J54" s="383">
        <v>3.15</v>
      </c>
      <c r="K54" s="383">
        <f t="shared" si="3"/>
        <v>97524</v>
      </c>
      <c r="L54" s="822" t="s">
        <v>203</v>
      </c>
      <c r="N54" s="626"/>
      <c r="O54" s="654"/>
      <c r="P54" s="627"/>
    </row>
    <row r="55" spans="1:17" ht="15.75" thickBot="1">
      <c r="H55" s="380">
        <v>42144</v>
      </c>
      <c r="I55" s="382">
        <v>34920</v>
      </c>
      <c r="J55" s="383">
        <v>3.15</v>
      </c>
      <c r="K55" s="383">
        <f t="shared" si="3"/>
        <v>109998</v>
      </c>
      <c r="L55" s="822" t="s">
        <v>203</v>
      </c>
      <c r="N55" s="626"/>
      <c r="O55" s="626"/>
      <c r="P55" s="627"/>
    </row>
    <row r="56" spans="1:17" ht="15.75" thickBot="1">
      <c r="A56" s="825" t="s">
        <v>199</v>
      </c>
      <c r="B56" s="826" t="s">
        <v>200</v>
      </c>
      <c r="C56" s="348" t="s">
        <v>201</v>
      </c>
      <c r="D56" s="826" t="s">
        <v>205</v>
      </c>
      <c r="E56" s="349" t="s">
        <v>12</v>
      </c>
      <c r="F56" s="350" t="s">
        <v>202</v>
      </c>
      <c r="H56" s="380">
        <v>42146</v>
      </c>
      <c r="I56" s="382">
        <v>38960</v>
      </c>
      <c r="J56" s="383">
        <v>3.15</v>
      </c>
      <c r="K56" s="383">
        <f t="shared" si="3"/>
        <v>122724</v>
      </c>
      <c r="L56" s="822" t="s">
        <v>203</v>
      </c>
      <c r="N56" s="626"/>
      <c r="O56" s="626"/>
      <c r="P56" s="627"/>
    </row>
    <row r="57" spans="1:17">
      <c r="A57" s="351">
        <v>41822</v>
      </c>
      <c r="B57" s="352">
        <v>2558</v>
      </c>
      <c r="C57" s="353">
        <v>26860</v>
      </c>
      <c r="D57" s="819">
        <v>2.9</v>
      </c>
      <c r="E57" s="819">
        <f>C57*D57</f>
        <v>77894</v>
      </c>
      <c r="F57" s="821" t="s">
        <v>203</v>
      </c>
      <c r="H57" s="380">
        <v>42147</v>
      </c>
      <c r="I57" s="382">
        <v>38980</v>
      </c>
      <c r="J57" s="383">
        <v>3.15</v>
      </c>
      <c r="K57" s="383">
        <f t="shared" si="3"/>
        <v>122787</v>
      </c>
      <c r="L57" s="822" t="s">
        <v>203</v>
      </c>
      <c r="N57" s="626"/>
      <c r="O57" s="626"/>
      <c r="P57" s="627"/>
    </row>
    <row r="58" spans="1:17">
      <c r="A58" s="380">
        <v>41828</v>
      </c>
      <c r="B58" s="381">
        <v>2561</v>
      </c>
      <c r="C58" s="382">
        <v>30680</v>
      </c>
      <c r="D58" s="820">
        <v>2.9</v>
      </c>
      <c r="E58" s="820">
        <f>D58*C58</f>
        <v>88972</v>
      </c>
      <c r="F58" s="822" t="s">
        <v>203</v>
      </c>
      <c r="H58" s="380">
        <v>42149</v>
      </c>
      <c r="I58" s="382">
        <v>30140</v>
      </c>
      <c r="J58" s="383">
        <v>3.15</v>
      </c>
      <c r="K58" s="383">
        <f t="shared" si="3"/>
        <v>94941</v>
      </c>
      <c r="L58" s="822" t="s">
        <v>203</v>
      </c>
      <c r="N58" s="391"/>
      <c r="O58" s="391"/>
      <c r="P58" s="1"/>
    </row>
    <row r="59" spans="1:17" ht="15.75" thickBot="1">
      <c r="A59" s="380">
        <v>41829</v>
      </c>
      <c r="B59" s="381">
        <v>2562</v>
      </c>
      <c r="C59" s="382">
        <v>35020</v>
      </c>
      <c r="D59" s="820">
        <v>2.9</v>
      </c>
      <c r="E59" s="820">
        <f t="shared" ref="E59:E67" si="4">D59*C59</f>
        <v>101558</v>
      </c>
      <c r="F59" s="822" t="s">
        <v>203</v>
      </c>
      <c r="H59" s="354">
        <v>42150</v>
      </c>
      <c r="I59" s="356">
        <v>40240</v>
      </c>
      <c r="J59" s="384">
        <v>3.15</v>
      </c>
      <c r="K59" s="384">
        <f t="shared" si="3"/>
        <v>126756</v>
      </c>
      <c r="L59" s="824" t="s">
        <v>203</v>
      </c>
      <c r="N59" s="391"/>
      <c r="O59" s="391"/>
      <c r="P59" s="1"/>
    </row>
    <row r="60" spans="1:17" ht="15.75" thickBot="1">
      <c r="A60" s="380">
        <v>41830</v>
      </c>
      <c r="B60" s="381">
        <v>2563</v>
      </c>
      <c r="C60" s="382">
        <v>32200</v>
      </c>
      <c r="D60" s="820">
        <v>2.9</v>
      </c>
      <c r="E60" s="820">
        <f t="shared" si="4"/>
        <v>93380</v>
      </c>
      <c r="F60" s="822" t="s">
        <v>203</v>
      </c>
      <c r="H60" s="805" t="s">
        <v>1082</v>
      </c>
      <c r="I60" s="359">
        <f>SUM(I44:I59)</f>
        <v>524220</v>
      </c>
      <c r="J60" s="343"/>
      <c r="K60" s="360">
        <f>SUM(K44:K59)</f>
        <v>1647690.6</v>
      </c>
      <c r="L60" s="344"/>
      <c r="N60" s="391"/>
      <c r="O60" s="1"/>
      <c r="P60" s="1"/>
    </row>
    <row r="61" spans="1:17">
      <c r="A61" s="380">
        <v>41831</v>
      </c>
      <c r="B61" s="381">
        <v>2565</v>
      </c>
      <c r="C61" s="382">
        <v>31200</v>
      </c>
      <c r="D61" s="820">
        <v>2.9</v>
      </c>
      <c r="E61" s="820">
        <f t="shared" si="4"/>
        <v>90480</v>
      </c>
      <c r="F61" s="822" t="s">
        <v>203</v>
      </c>
      <c r="N61" s="391"/>
      <c r="O61" s="1"/>
      <c r="P61" s="1"/>
    </row>
    <row r="62" spans="1:17">
      <c r="A62" s="380">
        <v>41831</v>
      </c>
      <c r="B62" s="381">
        <v>2572</v>
      </c>
      <c r="C62" s="382">
        <v>35140</v>
      </c>
      <c r="D62" s="820">
        <v>2.9</v>
      </c>
      <c r="E62" s="820">
        <f t="shared" si="4"/>
        <v>101906</v>
      </c>
      <c r="F62" s="822" t="s">
        <v>203</v>
      </c>
      <c r="N62" s="391"/>
      <c r="O62" s="1"/>
      <c r="P62" s="1"/>
    </row>
    <row r="63" spans="1:17" ht="15.75" thickBot="1">
      <c r="A63" s="380">
        <v>41833</v>
      </c>
      <c r="B63" s="381">
        <v>2573</v>
      </c>
      <c r="C63" s="382">
        <v>28620</v>
      </c>
      <c r="D63" s="820">
        <v>2.9</v>
      </c>
      <c r="E63" s="820">
        <f t="shared" si="4"/>
        <v>82998</v>
      </c>
      <c r="F63" s="822" t="s">
        <v>203</v>
      </c>
      <c r="N63" s="391"/>
      <c r="O63" s="1"/>
      <c r="P63" s="1"/>
    </row>
    <row r="64" spans="1:17" ht="15.75" thickBot="1">
      <c r="A64" s="380">
        <v>41834</v>
      </c>
      <c r="B64" s="381"/>
      <c r="C64" s="382">
        <v>35060</v>
      </c>
      <c r="D64" s="820">
        <v>2.9</v>
      </c>
      <c r="E64" s="820">
        <f t="shared" si="4"/>
        <v>101674</v>
      </c>
      <c r="F64" s="822" t="s">
        <v>203</v>
      </c>
      <c r="H64" s="825" t="s">
        <v>199</v>
      </c>
      <c r="I64" s="348" t="s">
        <v>201</v>
      </c>
      <c r="J64" s="826" t="s">
        <v>205</v>
      </c>
      <c r="K64" s="349" t="s">
        <v>12</v>
      </c>
      <c r="L64" s="350" t="s">
        <v>202</v>
      </c>
      <c r="N64" s="391"/>
      <c r="O64" s="391"/>
      <c r="P64" s="1"/>
    </row>
    <row r="65" spans="1:16">
      <c r="A65" s="380">
        <v>41837</v>
      </c>
      <c r="B65" s="381"/>
      <c r="C65" s="382">
        <v>35360</v>
      </c>
      <c r="D65" s="820">
        <v>2.9</v>
      </c>
      <c r="E65" s="820">
        <f t="shared" si="4"/>
        <v>102544</v>
      </c>
      <c r="F65" s="822" t="s">
        <v>203</v>
      </c>
      <c r="H65" s="351">
        <v>42160</v>
      </c>
      <c r="I65" s="353">
        <v>39340</v>
      </c>
      <c r="J65" s="379">
        <v>3.15</v>
      </c>
      <c r="K65" s="379">
        <f>I65*J65</f>
        <v>123921</v>
      </c>
      <c r="L65" s="821" t="s">
        <v>203</v>
      </c>
      <c r="M65" s="387"/>
      <c r="N65" s="692"/>
      <c r="O65" s="692"/>
      <c r="P65" s="693"/>
    </row>
    <row r="66" spans="1:16">
      <c r="A66" s="380">
        <v>41842</v>
      </c>
      <c r="B66" s="381"/>
      <c r="C66" s="382">
        <v>34860</v>
      </c>
      <c r="D66" s="820">
        <v>2.9</v>
      </c>
      <c r="E66" s="820">
        <f t="shared" si="4"/>
        <v>101094</v>
      </c>
      <c r="F66" s="822" t="s">
        <v>203</v>
      </c>
      <c r="H66" s="380">
        <v>42161</v>
      </c>
      <c r="I66" s="382">
        <v>31660</v>
      </c>
      <c r="J66" s="383">
        <v>3.15</v>
      </c>
      <c r="K66" s="383">
        <f t="shared" ref="K66:K80" si="5">I66*J66</f>
        <v>99729</v>
      </c>
      <c r="L66" s="822" t="s">
        <v>203</v>
      </c>
      <c r="N66" s="391"/>
      <c r="O66" s="391"/>
      <c r="P66" s="1"/>
    </row>
    <row r="67" spans="1:16" ht="15.75" thickBot="1">
      <c r="A67" s="354">
        <v>41842</v>
      </c>
      <c r="B67" s="355"/>
      <c r="C67" s="356">
        <v>33820</v>
      </c>
      <c r="D67" s="823">
        <v>2.9</v>
      </c>
      <c r="E67" s="823">
        <f t="shared" si="4"/>
        <v>98078</v>
      </c>
      <c r="F67" s="824" t="s">
        <v>203</v>
      </c>
      <c r="H67" s="380">
        <v>42162</v>
      </c>
      <c r="I67" s="382">
        <v>31160</v>
      </c>
      <c r="J67" s="383">
        <v>3.15</v>
      </c>
      <c r="K67" s="383">
        <f t="shared" si="5"/>
        <v>98154</v>
      </c>
      <c r="L67" s="822" t="s">
        <v>203</v>
      </c>
      <c r="N67" s="391"/>
      <c r="O67" s="391"/>
      <c r="P67" s="1"/>
    </row>
    <row r="68" spans="1:16" ht="15.75" thickBot="1">
      <c r="A68" s="1050" t="s">
        <v>247</v>
      </c>
      <c r="B68" s="1051"/>
      <c r="C68" s="359">
        <f>SUM(C57:C67)</f>
        <v>358820</v>
      </c>
      <c r="D68" s="343"/>
      <c r="E68" s="360">
        <f>SUM(E57:E67)</f>
        <v>1040578</v>
      </c>
      <c r="F68" s="344"/>
      <c r="H68" s="380">
        <v>42163</v>
      </c>
      <c r="I68" s="382">
        <v>36040</v>
      </c>
      <c r="J68" s="383">
        <v>3.15</v>
      </c>
      <c r="K68" s="383">
        <f t="shared" si="5"/>
        <v>113526</v>
      </c>
      <c r="L68" s="822" t="s">
        <v>203</v>
      </c>
      <c r="N68" s="345"/>
      <c r="O68" s="345"/>
      <c r="P68" s="344"/>
    </row>
    <row r="69" spans="1:16" ht="15.75" thickBot="1">
      <c r="H69" s="380">
        <v>42164</v>
      </c>
      <c r="I69" s="382">
        <v>40780</v>
      </c>
      <c r="J69" s="383">
        <v>3.15</v>
      </c>
      <c r="K69" s="383">
        <f t="shared" si="5"/>
        <v>128457</v>
      </c>
      <c r="L69" s="822" t="s">
        <v>203</v>
      </c>
      <c r="M69" s="387"/>
      <c r="N69" s="626"/>
      <c r="O69" s="626"/>
      <c r="P69" s="627"/>
    </row>
    <row r="70" spans="1:16" ht="15.75" thickBot="1">
      <c r="A70" s="825" t="s">
        <v>199</v>
      </c>
      <c r="B70" s="826" t="s">
        <v>200</v>
      </c>
      <c r="C70" s="348" t="s">
        <v>201</v>
      </c>
      <c r="D70" s="826" t="s">
        <v>205</v>
      </c>
      <c r="E70" s="349" t="s">
        <v>12</v>
      </c>
      <c r="F70" s="350" t="s">
        <v>202</v>
      </c>
      <c r="H70" s="380">
        <v>42165</v>
      </c>
      <c r="I70" s="382">
        <v>43540</v>
      </c>
      <c r="J70" s="383">
        <v>3.15</v>
      </c>
      <c r="K70" s="383">
        <f t="shared" si="5"/>
        <v>137151</v>
      </c>
      <c r="L70" s="822" t="s">
        <v>203</v>
      </c>
      <c r="N70" s="345"/>
      <c r="O70" s="345"/>
      <c r="P70" s="344"/>
    </row>
    <row r="71" spans="1:16">
      <c r="A71" s="351">
        <v>41878</v>
      </c>
      <c r="B71" s="352">
        <v>3470</v>
      </c>
      <c r="C71" s="353">
        <v>31200</v>
      </c>
      <c r="D71" s="819">
        <v>2.95</v>
      </c>
      <c r="E71" s="819">
        <f>+D71*C71</f>
        <v>92040</v>
      </c>
      <c r="F71" s="821" t="s">
        <v>203</v>
      </c>
      <c r="H71" s="771">
        <v>42170</v>
      </c>
      <c r="I71" s="775">
        <v>29860</v>
      </c>
      <c r="J71" s="776">
        <v>3.15</v>
      </c>
      <c r="K71" s="776">
        <f t="shared" si="5"/>
        <v>94059</v>
      </c>
      <c r="L71" s="774" t="s">
        <v>203</v>
      </c>
      <c r="O71" s="347"/>
      <c r="P71" s="344"/>
    </row>
    <row r="72" spans="1:16">
      <c r="A72" s="380">
        <v>41879</v>
      </c>
      <c r="B72" s="381">
        <v>3471</v>
      </c>
      <c r="C72" s="382">
        <v>37040</v>
      </c>
      <c r="D72" s="820">
        <v>2.95</v>
      </c>
      <c r="E72" s="820">
        <f>D72*C72</f>
        <v>109268</v>
      </c>
      <c r="F72" s="822" t="s">
        <v>203</v>
      </c>
      <c r="H72" s="771">
        <v>42170</v>
      </c>
      <c r="I72" s="775">
        <v>39260</v>
      </c>
      <c r="J72" s="776">
        <v>3.15</v>
      </c>
      <c r="K72" s="776">
        <f t="shared" si="5"/>
        <v>123669</v>
      </c>
      <c r="L72" s="774" t="s">
        <v>203</v>
      </c>
      <c r="O72" s="347"/>
      <c r="P72" s="344"/>
    </row>
    <row r="73" spans="1:16">
      <c r="A73" s="380">
        <v>41880</v>
      </c>
      <c r="B73" s="381">
        <v>3473</v>
      </c>
      <c r="C73" s="382">
        <v>26220</v>
      </c>
      <c r="D73" s="820">
        <v>2.95</v>
      </c>
      <c r="E73" s="820">
        <f>D73*C73</f>
        <v>77349</v>
      </c>
      <c r="F73" s="822" t="s">
        <v>203</v>
      </c>
      <c r="H73" s="771">
        <v>42172</v>
      </c>
      <c r="I73" s="775">
        <v>38040</v>
      </c>
      <c r="J73" s="776">
        <v>3.15</v>
      </c>
      <c r="K73" s="776">
        <f t="shared" si="5"/>
        <v>119826</v>
      </c>
      <c r="L73" s="774" t="s">
        <v>203</v>
      </c>
      <c r="O73" s="347"/>
      <c r="P73" s="344"/>
    </row>
    <row r="74" spans="1:16" ht="15.75" thickBot="1">
      <c r="A74" s="354">
        <v>41881</v>
      </c>
      <c r="B74" s="355">
        <v>3474</v>
      </c>
      <c r="C74" s="356">
        <v>35120</v>
      </c>
      <c r="D74" s="823">
        <v>2.95</v>
      </c>
      <c r="E74" s="823">
        <f>D74*C74</f>
        <v>103604</v>
      </c>
      <c r="F74" s="824" t="s">
        <v>203</v>
      </c>
      <c r="H74" s="771">
        <v>42172</v>
      </c>
      <c r="I74" s="775">
        <v>33820</v>
      </c>
      <c r="J74" s="776">
        <v>3.15</v>
      </c>
      <c r="K74" s="776">
        <f t="shared" si="5"/>
        <v>106533</v>
      </c>
      <c r="L74" s="774" t="s">
        <v>203</v>
      </c>
      <c r="O74" s="347"/>
      <c r="P74" s="344"/>
    </row>
    <row r="75" spans="1:16" ht="15.75" thickBot="1">
      <c r="A75" s="1050" t="s">
        <v>257</v>
      </c>
      <c r="B75" s="1051"/>
      <c r="C75" s="359">
        <f>SUM(C71:C74)</f>
        <v>129580</v>
      </c>
      <c r="D75" s="343"/>
      <c r="E75" s="360">
        <f>SUM(E71:E74)</f>
        <v>382261</v>
      </c>
      <c r="F75" s="344"/>
      <c r="H75" s="771">
        <v>42174</v>
      </c>
      <c r="I75" s="775">
        <v>27960</v>
      </c>
      <c r="J75" s="776">
        <v>3.15</v>
      </c>
      <c r="K75" s="776">
        <f t="shared" si="5"/>
        <v>88074</v>
      </c>
      <c r="L75" s="774" t="s">
        <v>203</v>
      </c>
      <c r="O75" s="347"/>
      <c r="P75" s="344"/>
    </row>
    <row r="76" spans="1:16" ht="15.75" thickBot="1">
      <c r="H76" s="771">
        <v>42175</v>
      </c>
      <c r="I76" s="772">
        <v>39040</v>
      </c>
      <c r="J76" s="776">
        <v>3.05</v>
      </c>
      <c r="K76" s="776">
        <f t="shared" si="5"/>
        <v>119072</v>
      </c>
      <c r="L76" s="774" t="s">
        <v>203</v>
      </c>
      <c r="O76" s="347"/>
      <c r="P76" s="344"/>
    </row>
    <row r="77" spans="1:16" ht="15.75" thickBot="1">
      <c r="A77" s="825" t="s">
        <v>199</v>
      </c>
      <c r="B77" s="826" t="s">
        <v>200</v>
      </c>
      <c r="C77" s="348" t="s">
        <v>201</v>
      </c>
      <c r="D77" s="826" t="s">
        <v>205</v>
      </c>
      <c r="E77" s="349" t="s">
        <v>12</v>
      </c>
      <c r="F77" s="350" t="s">
        <v>202</v>
      </c>
      <c r="H77" s="771">
        <v>42176</v>
      </c>
      <c r="I77" s="772">
        <f>21300-200</f>
        <v>21100</v>
      </c>
      <c r="J77" s="776">
        <v>3.15</v>
      </c>
      <c r="K77" s="776">
        <f t="shared" si="5"/>
        <v>66465</v>
      </c>
      <c r="L77" s="774" t="s">
        <v>203</v>
      </c>
      <c r="O77" s="654"/>
    </row>
    <row r="78" spans="1:16">
      <c r="A78" s="351">
        <v>41885</v>
      </c>
      <c r="B78" s="352">
        <v>3482</v>
      </c>
      <c r="C78" s="353">
        <v>30860</v>
      </c>
      <c r="D78" s="819">
        <v>2.95</v>
      </c>
      <c r="E78" s="819">
        <f>+D78*C78</f>
        <v>91037</v>
      </c>
      <c r="F78" s="821" t="s">
        <v>203</v>
      </c>
      <c r="H78" s="380">
        <v>42179</v>
      </c>
      <c r="I78" s="382">
        <v>39040</v>
      </c>
      <c r="J78" s="777">
        <v>3.05</v>
      </c>
      <c r="K78" s="777">
        <f t="shared" si="5"/>
        <v>119072</v>
      </c>
      <c r="L78" s="822" t="s">
        <v>203</v>
      </c>
      <c r="O78" s="654"/>
    </row>
    <row r="79" spans="1:16">
      <c r="A79" s="380">
        <v>41886</v>
      </c>
      <c r="B79" s="381">
        <v>3484</v>
      </c>
      <c r="C79" s="382">
        <v>38680</v>
      </c>
      <c r="D79" s="820">
        <v>2.95</v>
      </c>
      <c r="E79" s="820">
        <f t="shared" ref="E79:E85" si="6">D79*C79</f>
        <v>114106</v>
      </c>
      <c r="F79" s="822" t="s">
        <v>203</v>
      </c>
      <c r="H79" s="380">
        <v>42180</v>
      </c>
      <c r="I79" s="382">
        <v>34920</v>
      </c>
      <c r="J79" s="777">
        <v>3.05</v>
      </c>
      <c r="K79" s="777">
        <f t="shared" si="5"/>
        <v>106506</v>
      </c>
      <c r="L79" s="822" t="s">
        <v>203</v>
      </c>
      <c r="O79" s="347"/>
    </row>
    <row r="80" spans="1:16">
      <c r="A80" s="380">
        <v>41888</v>
      </c>
      <c r="B80" s="381">
        <v>3489</v>
      </c>
      <c r="C80" s="382">
        <v>37960</v>
      </c>
      <c r="D80" s="820">
        <v>2.95</v>
      </c>
      <c r="E80" s="820">
        <f t="shared" si="6"/>
        <v>111982</v>
      </c>
      <c r="F80" s="822" t="s">
        <v>203</v>
      </c>
      <c r="H80" s="380">
        <v>42181</v>
      </c>
      <c r="I80" s="382">
        <f>37000-200</f>
        <v>36800</v>
      </c>
      <c r="J80" s="777">
        <v>3.05</v>
      </c>
      <c r="K80" s="777">
        <f t="shared" si="5"/>
        <v>112240</v>
      </c>
      <c r="L80" s="822" t="s">
        <v>203</v>
      </c>
      <c r="O80" s="347"/>
    </row>
    <row r="81" spans="1:18" ht="15.75" thickBot="1">
      <c r="A81" s="380">
        <v>41890</v>
      </c>
      <c r="B81" s="381">
        <v>3490</v>
      </c>
      <c r="C81" s="382">
        <v>36220</v>
      </c>
      <c r="D81" s="820">
        <v>2.95</v>
      </c>
      <c r="E81" s="820">
        <f t="shared" si="6"/>
        <v>106849</v>
      </c>
      <c r="F81" s="822" t="s">
        <v>203</v>
      </c>
      <c r="H81" s="354">
        <v>42182</v>
      </c>
      <c r="I81" s="356">
        <v>31520</v>
      </c>
      <c r="J81" s="528">
        <v>3.05</v>
      </c>
      <c r="K81" s="528">
        <f>I81*J81</f>
        <v>96136</v>
      </c>
      <c r="L81" s="824" t="s">
        <v>203</v>
      </c>
      <c r="N81" s="654"/>
      <c r="O81" s="654"/>
      <c r="R81" s="655"/>
    </row>
    <row r="82" spans="1:18" ht="15.75" thickBot="1">
      <c r="A82" s="380">
        <v>41894</v>
      </c>
      <c r="B82" s="381"/>
      <c r="C82" s="382">
        <v>32420</v>
      </c>
      <c r="D82" s="820">
        <v>2.95</v>
      </c>
      <c r="E82" s="820">
        <f t="shared" si="6"/>
        <v>95639</v>
      </c>
      <c r="F82" s="822" t="s">
        <v>203</v>
      </c>
      <c r="H82" s="805" t="s">
        <v>1083</v>
      </c>
      <c r="I82" s="359">
        <f>SUM(I65:I81)</f>
        <v>593880</v>
      </c>
      <c r="J82" s="343"/>
      <c r="K82" s="360">
        <f>SUM(K65:K81)</f>
        <v>1852590</v>
      </c>
      <c r="L82" s="344"/>
    </row>
    <row r="83" spans="1:18">
      <c r="A83" s="380">
        <v>41897</v>
      </c>
      <c r="B83" s="381"/>
      <c r="C83" s="382">
        <v>35300</v>
      </c>
      <c r="D83" s="820">
        <v>2.95</v>
      </c>
      <c r="E83" s="820">
        <f t="shared" si="6"/>
        <v>104135</v>
      </c>
      <c r="F83" s="822" t="s">
        <v>203</v>
      </c>
    </row>
    <row r="84" spans="1:18" ht="15.75" thickBot="1">
      <c r="A84" s="380">
        <v>41899</v>
      </c>
      <c r="B84" s="381"/>
      <c r="C84" s="382">
        <v>37460</v>
      </c>
      <c r="D84" s="820">
        <v>2.95</v>
      </c>
      <c r="E84" s="820">
        <f t="shared" si="6"/>
        <v>110507</v>
      </c>
      <c r="F84" s="822" t="s">
        <v>203</v>
      </c>
      <c r="N84" s="391"/>
      <c r="O84" s="1"/>
      <c r="P84" s="1"/>
    </row>
    <row r="85" spans="1:18" ht="15.75" thickBot="1">
      <c r="A85" s="354">
        <v>41902</v>
      </c>
      <c r="B85" s="355"/>
      <c r="C85" s="356">
        <v>36020</v>
      </c>
      <c r="D85" s="823">
        <v>2.95</v>
      </c>
      <c r="E85" s="823">
        <f t="shared" si="6"/>
        <v>106259</v>
      </c>
      <c r="F85" s="824" t="s">
        <v>203</v>
      </c>
      <c r="H85" s="825" t="s">
        <v>199</v>
      </c>
      <c r="I85" s="348" t="s">
        <v>201</v>
      </c>
      <c r="J85" s="826" t="s">
        <v>205</v>
      </c>
      <c r="K85" s="349" t="s">
        <v>12</v>
      </c>
      <c r="L85" s="350" t="s">
        <v>202</v>
      </c>
      <c r="N85" s="391"/>
      <c r="O85" s="391"/>
      <c r="P85" s="1"/>
    </row>
    <row r="86" spans="1:18" ht="15.75" thickBot="1">
      <c r="A86" s="1050" t="s">
        <v>260</v>
      </c>
      <c r="B86" s="1051"/>
      <c r="C86" s="359">
        <f>SUM(C78:C85)</f>
        <v>284920</v>
      </c>
      <c r="D86" s="343"/>
      <c r="E86" s="360">
        <f>SUM(E78:E85)</f>
        <v>840514</v>
      </c>
      <c r="F86" s="344"/>
      <c r="H86" s="351">
        <v>42217</v>
      </c>
      <c r="I86" s="353">
        <v>38160</v>
      </c>
      <c r="J86" s="379">
        <v>2.96</v>
      </c>
      <c r="K86" s="379">
        <f>I86*J86</f>
        <v>112953.60000000001</v>
      </c>
      <c r="L86" s="821" t="s">
        <v>203</v>
      </c>
      <c r="M86" s="387"/>
      <c r="O86" s="654"/>
      <c r="P86" s="693"/>
    </row>
    <row r="87" spans="1:18" ht="15.75" thickBot="1">
      <c r="A87" s="637"/>
      <c r="B87" s="637"/>
      <c r="C87" s="385"/>
      <c r="D87" s="343"/>
      <c r="E87" s="414"/>
      <c r="F87" s="344"/>
      <c r="H87" s="380">
        <v>42220</v>
      </c>
      <c r="I87" s="382">
        <v>38780</v>
      </c>
      <c r="J87" s="383">
        <v>2.96</v>
      </c>
      <c r="K87" s="383">
        <f>+I87*J87</f>
        <v>114788.8</v>
      </c>
      <c r="L87" s="822" t="s">
        <v>203</v>
      </c>
      <c r="O87" s="654"/>
      <c r="P87" s="1"/>
    </row>
    <row r="88" spans="1:18" ht="15.75" thickBot="1">
      <c r="A88" s="825" t="s">
        <v>199</v>
      </c>
      <c r="B88" s="826" t="s">
        <v>200</v>
      </c>
      <c r="C88" s="348" t="s">
        <v>201</v>
      </c>
      <c r="D88" s="826" t="s">
        <v>205</v>
      </c>
      <c r="E88" s="349" t="s">
        <v>12</v>
      </c>
      <c r="F88" s="350" t="s">
        <v>202</v>
      </c>
      <c r="H88" s="380">
        <v>42221</v>
      </c>
      <c r="I88" s="382">
        <v>39040</v>
      </c>
      <c r="J88" s="383">
        <v>2.96</v>
      </c>
      <c r="K88" s="383">
        <f>+I88*J88</f>
        <v>115558.39999999999</v>
      </c>
      <c r="L88" s="822" t="s">
        <v>203</v>
      </c>
      <c r="O88" s="347"/>
      <c r="P88" s="1"/>
    </row>
    <row r="89" spans="1:18">
      <c r="A89" s="351">
        <v>41926</v>
      </c>
      <c r="B89" s="352"/>
      <c r="C89" s="353">
        <v>35040</v>
      </c>
      <c r="D89" s="819">
        <v>2.95</v>
      </c>
      <c r="E89" s="819">
        <f t="shared" ref="E89:E95" si="7">D89*C89</f>
        <v>103368</v>
      </c>
      <c r="F89" s="821" t="s">
        <v>203</v>
      </c>
      <c r="H89" s="380">
        <v>42226</v>
      </c>
      <c r="I89" s="382">
        <v>39660</v>
      </c>
      <c r="J89" s="383">
        <v>2.96</v>
      </c>
      <c r="K89" s="383">
        <f>J89*I89</f>
        <v>117393.60000000001</v>
      </c>
      <c r="L89" s="822" t="s">
        <v>203</v>
      </c>
      <c r="O89" s="654"/>
      <c r="P89" s="344"/>
    </row>
    <row r="90" spans="1:18">
      <c r="A90" s="380">
        <v>41927</v>
      </c>
      <c r="B90" s="381"/>
      <c r="C90" s="382">
        <v>34980</v>
      </c>
      <c r="D90" s="820">
        <v>2.95</v>
      </c>
      <c r="E90" s="820">
        <f t="shared" si="7"/>
        <v>103191</v>
      </c>
      <c r="F90" s="822" t="s">
        <v>203</v>
      </c>
      <c r="H90" s="380">
        <v>42227</v>
      </c>
      <c r="I90" s="382">
        <v>39880</v>
      </c>
      <c r="J90" s="383">
        <v>2.96</v>
      </c>
      <c r="K90" s="383">
        <f>J90*I90</f>
        <v>118044.8</v>
      </c>
      <c r="L90" s="822" t="s">
        <v>203</v>
      </c>
      <c r="M90" s="387"/>
      <c r="O90" s="347"/>
      <c r="P90" s="627"/>
    </row>
    <row r="91" spans="1:18">
      <c r="A91" s="380">
        <v>41929</v>
      </c>
      <c r="B91" s="381"/>
      <c r="C91" s="382">
        <v>35080</v>
      </c>
      <c r="D91" s="820">
        <v>2.95</v>
      </c>
      <c r="E91" s="820">
        <f t="shared" si="7"/>
        <v>103486</v>
      </c>
      <c r="F91" s="822" t="s">
        <v>203</v>
      </c>
      <c r="H91" s="380">
        <v>42228</v>
      </c>
      <c r="I91" s="382">
        <v>40060</v>
      </c>
      <c r="J91" s="383">
        <v>2.96</v>
      </c>
      <c r="K91" s="383">
        <f t="shared" ref="K91:K99" si="8">J91*I91</f>
        <v>118577.60000000001</v>
      </c>
      <c r="L91" s="822" t="s">
        <v>203</v>
      </c>
      <c r="O91" s="391"/>
      <c r="P91" s="344"/>
    </row>
    <row r="92" spans="1:18">
      <c r="A92" s="380">
        <v>41930</v>
      </c>
      <c r="B92" s="381"/>
      <c r="C92" s="382">
        <v>36740</v>
      </c>
      <c r="D92" s="820">
        <v>2.95</v>
      </c>
      <c r="E92" s="820">
        <f t="shared" si="7"/>
        <v>108383</v>
      </c>
      <c r="F92" s="822" t="s">
        <v>203</v>
      </c>
      <c r="H92" s="380">
        <v>42228</v>
      </c>
      <c r="I92" s="778">
        <v>39960</v>
      </c>
      <c r="J92" s="777">
        <v>2.96</v>
      </c>
      <c r="K92" s="383">
        <f t="shared" si="8"/>
        <v>118281.60000000001</v>
      </c>
      <c r="L92" s="822" t="s">
        <v>203</v>
      </c>
      <c r="O92" s="391"/>
      <c r="P92" s="344"/>
    </row>
    <row r="93" spans="1:18">
      <c r="A93" s="380">
        <v>41935</v>
      </c>
      <c r="B93" s="381"/>
      <c r="C93" s="382">
        <v>36300</v>
      </c>
      <c r="D93" s="820">
        <v>2.95</v>
      </c>
      <c r="E93" s="820">
        <f t="shared" si="7"/>
        <v>107085</v>
      </c>
      <c r="F93" s="822" t="s">
        <v>203</v>
      </c>
      <c r="H93" s="380">
        <v>42233</v>
      </c>
      <c r="I93" s="778">
        <v>40820</v>
      </c>
      <c r="J93" s="777">
        <v>2.96</v>
      </c>
      <c r="K93" s="383">
        <f t="shared" si="8"/>
        <v>120827.2</v>
      </c>
      <c r="L93" s="822" t="s">
        <v>203</v>
      </c>
      <c r="O93" s="391"/>
      <c r="P93" s="344"/>
    </row>
    <row r="94" spans="1:18">
      <c r="A94" s="380">
        <v>41936</v>
      </c>
      <c r="B94" s="381"/>
      <c r="C94" s="382">
        <v>36280</v>
      </c>
      <c r="D94" s="820">
        <v>2.95</v>
      </c>
      <c r="E94" s="820">
        <f t="shared" si="7"/>
        <v>107026</v>
      </c>
      <c r="F94" s="822" t="s">
        <v>203</v>
      </c>
      <c r="H94" s="380">
        <v>42233</v>
      </c>
      <c r="I94" s="778">
        <v>38900</v>
      </c>
      <c r="J94" s="777">
        <v>2.96</v>
      </c>
      <c r="K94" s="383">
        <f t="shared" si="8"/>
        <v>115144</v>
      </c>
      <c r="L94" s="822" t="s">
        <v>203</v>
      </c>
      <c r="O94" s="391"/>
      <c r="P94" s="344"/>
    </row>
    <row r="95" spans="1:18" ht="15.75" thickBot="1">
      <c r="A95" s="354">
        <v>41937</v>
      </c>
      <c r="B95" s="355"/>
      <c r="C95" s="356">
        <v>31060</v>
      </c>
      <c r="D95" s="823">
        <v>2.95</v>
      </c>
      <c r="E95" s="823">
        <f t="shared" si="7"/>
        <v>91627</v>
      </c>
      <c r="F95" s="824" t="s">
        <v>203</v>
      </c>
      <c r="H95" s="380">
        <v>42235</v>
      </c>
      <c r="I95" s="778">
        <v>39920</v>
      </c>
      <c r="J95" s="777">
        <v>2.96</v>
      </c>
      <c r="K95" s="383">
        <f t="shared" si="8"/>
        <v>118163.2</v>
      </c>
      <c r="L95" s="822" t="s">
        <v>203</v>
      </c>
      <c r="O95" s="391"/>
      <c r="P95" s="344"/>
    </row>
    <row r="96" spans="1:18" ht="15.75" thickBot="1">
      <c r="A96" s="1050" t="s">
        <v>267</v>
      </c>
      <c r="B96" s="1051"/>
      <c r="C96" s="359">
        <f>SUM(C89:C95)</f>
        <v>245480</v>
      </c>
      <c r="D96" s="343"/>
      <c r="E96" s="360">
        <f>SUM(E89:E95)</f>
        <v>724166</v>
      </c>
      <c r="F96" s="344"/>
      <c r="H96" s="380">
        <v>42235</v>
      </c>
      <c r="I96" s="778">
        <v>40060</v>
      </c>
      <c r="J96" s="777">
        <v>2.96</v>
      </c>
      <c r="K96" s="383">
        <f t="shared" si="8"/>
        <v>118577.60000000001</v>
      </c>
      <c r="L96" s="822" t="s">
        <v>203</v>
      </c>
      <c r="O96" s="391"/>
    </row>
    <row r="97" spans="1:17" ht="15.75" thickBot="1">
      <c r="A97" s="637"/>
      <c r="B97" s="637"/>
      <c r="C97" s="385"/>
      <c r="D97" s="343"/>
      <c r="E97" s="414"/>
      <c r="F97" s="344"/>
      <c r="H97" s="380">
        <v>42238</v>
      </c>
      <c r="I97" s="382">
        <v>40080</v>
      </c>
      <c r="J97" s="777">
        <v>2.96</v>
      </c>
      <c r="K97" s="383">
        <f t="shared" si="8"/>
        <v>118636.8</v>
      </c>
      <c r="L97" s="822" t="s">
        <v>203</v>
      </c>
      <c r="O97" s="391"/>
    </row>
    <row r="98" spans="1:17" ht="15.75" thickBot="1">
      <c r="A98" s="825" t="s">
        <v>199</v>
      </c>
      <c r="B98" s="826" t="s">
        <v>200</v>
      </c>
      <c r="C98" s="348" t="s">
        <v>201</v>
      </c>
      <c r="D98" s="826" t="s">
        <v>205</v>
      </c>
      <c r="E98" s="349" t="s">
        <v>12</v>
      </c>
      <c r="F98" s="350" t="s">
        <v>202</v>
      </c>
      <c r="H98" s="380">
        <v>42243</v>
      </c>
      <c r="I98" s="382">
        <v>38400</v>
      </c>
      <c r="J98" s="777">
        <v>2.96</v>
      </c>
      <c r="K98" s="383">
        <f t="shared" si="8"/>
        <v>113664</v>
      </c>
      <c r="L98" s="822" t="s">
        <v>203</v>
      </c>
      <c r="N98" s="654"/>
      <c r="O98" s="654"/>
    </row>
    <row r="99" spans="1:17" ht="15.75" thickBot="1">
      <c r="A99" s="351">
        <v>41953</v>
      </c>
      <c r="B99" s="352">
        <v>3215</v>
      </c>
      <c r="C99" s="353">
        <v>37120</v>
      </c>
      <c r="D99" s="819">
        <v>2.95</v>
      </c>
      <c r="E99" s="819">
        <f>D99*C99</f>
        <v>109504</v>
      </c>
      <c r="F99" s="821" t="s">
        <v>203</v>
      </c>
      <c r="H99" s="354">
        <v>42243</v>
      </c>
      <c r="I99" s="356">
        <v>39980</v>
      </c>
      <c r="J99" s="528">
        <v>2.96</v>
      </c>
      <c r="K99" s="384">
        <f t="shared" si="8"/>
        <v>118340.8</v>
      </c>
      <c r="L99" s="824" t="s">
        <v>203</v>
      </c>
      <c r="O99" s="391"/>
    </row>
    <row r="100" spans="1:17" ht="15.75" thickBot="1">
      <c r="A100" s="380">
        <v>41954</v>
      </c>
      <c r="B100" s="381">
        <v>3216</v>
      </c>
      <c r="C100" s="382">
        <v>38800</v>
      </c>
      <c r="D100" s="820">
        <v>2.95</v>
      </c>
      <c r="E100" s="820">
        <f>D100*C100</f>
        <v>114460</v>
      </c>
      <c r="F100" s="822" t="s">
        <v>203</v>
      </c>
      <c r="H100" s="805" t="s">
        <v>1084</v>
      </c>
      <c r="I100" s="359">
        <f>SUM(I86:I99)</f>
        <v>553700</v>
      </c>
      <c r="J100" s="343"/>
      <c r="K100" s="360">
        <f>SUM(K86:K99)</f>
        <v>1638952.0000000002</v>
      </c>
      <c r="L100" s="344"/>
    </row>
    <row r="101" spans="1:17" ht="15.75" thickBot="1">
      <c r="A101" s="380">
        <v>41956</v>
      </c>
      <c r="B101" s="381">
        <v>3218</v>
      </c>
      <c r="C101" s="382">
        <v>37420</v>
      </c>
      <c r="D101" s="820">
        <v>2.95</v>
      </c>
      <c r="E101" s="820">
        <f>D101*C101</f>
        <v>110389</v>
      </c>
      <c r="F101" s="822" t="s">
        <v>203</v>
      </c>
    </row>
    <row r="102" spans="1:17" ht="15.75" thickBot="1">
      <c r="A102" s="380">
        <v>41957</v>
      </c>
      <c r="B102" s="381">
        <v>3221</v>
      </c>
      <c r="C102" s="382">
        <v>36400</v>
      </c>
      <c r="D102" s="820">
        <v>2.95</v>
      </c>
      <c r="E102" s="820">
        <f>D102*C102</f>
        <v>107380</v>
      </c>
      <c r="F102" s="822" t="s">
        <v>203</v>
      </c>
      <c r="H102" s="825" t="s">
        <v>199</v>
      </c>
      <c r="I102" s="348" t="s">
        <v>201</v>
      </c>
      <c r="J102" s="826" t="s">
        <v>205</v>
      </c>
      <c r="K102" s="349" t="s">
        <v>12</v>
      </c>
      <c r="L102" s="350" t="s">
        <v>202</v>
      </c>
      <c r="N102" s="391"/>
      <c r="O102" s="391"/>
      <c r="P102" s="1"/>
    </row>
    <row r="103" spans="1:17" ht="15.75" thickBot="1">
      <c r="A103" s="354">
        <v>41958</v>
      </c>
      <c r="B103" s="355"/>
      <c r="C103" s="356">
        <v>27880</v>
      </c>
      <c r="D103" s="823">
        <v>2.95</v>
      </c>
      <c r="E103" s="823">
        <f>D103*C103</f>
        <v>82246</v>
      </c>
      <c r="F103" s="824" t="s">
        <v>203</v>
      </c>
      <c r="H103" s="351">
        <v>42249</v>
      </c>
      <c r="I103" s="353">
        <v>42040</v>
      </c>
      <c r="J103" s="379">
        <v>2.96</v>
      </c>
      <c r="K103" s="379">
        <f>I103*J103</f>
        <v>124438.39999999999</v>
      </c>
      <c r="L103" s="821" t="s">
        <v>203</v>
      </c>
      <c r="M103" s="387"/>
      <c r="O103" s="347"/>
      <c r="P103" s="693"/>
    </row>
    <row r="104" spans="1:17" ht="15.75" thickBot="1">
      <c r="A104" s="1050" t="s">
        <v>299</v>
      </c>
      <c r="B104" s="1051"/>
      <c r="C104" s="359">
        <f>SUM(C99:C103)</f>
        <v>177620</v>
      </c>
      <c r="D104" s="343"/>
      <c r="E104" s="360">
        <f>SUM(E99:E103)</f>
        <v>523979</v>
      </c>
      <c r="F104" s="344"/>
      <c r="H104" s="380">
        <v>42249</v>
      </c>
      <c r="I104" s="382">
        <v>39920</v>
      </c>
      <c r="J104" s="383">
        <v>2.96</v>
      </c>
      <c r="K104" s="383">
        <f>+I104*J104</f>
        <v>118163.2</v>
      </c>
      <c r="L104" s="822" t="s">
        <v>203</v>
      </c>
      <c r="O104" s="347"/>
      <c r="P104" s="1"/>
    </row>
    <row r="105" spans="1:17" ht="15.75" thickBot="1">
      <c r="A105" s="637"/>
      <c r="B105" s="637"/>
      <c r="C105" s="385"/>
      <c r="D105" s="343"/>
      <c r="E105" s="414"/>
      <c r="F105" s="344"/>
      <c r="H105" s="380">
        <v>42250</v>
      </c>
      <c r="I105" s="382">
        <v>40140</v>
      </c>
      <c r="J105" s="383">
        <v>2.96</v>
      </c>
      <c r="K105" s="383">
        <f>+I105*J105</f>
        <v>118814.39999999999</v>
      </c>
      <c r="L105" s="822" t="s">
        <v>203</v>
      </c>
      <c r="O105" s="347"/>
      <c r="P105" s="1"/>
    </row>
    <row r="106" spans="1:17" ht="15.75" thickBot="1">
      <c r="A106" s="825" t="s">
        <v>199</v>
      </c>
      <c r="B106" s="826" t="s">
        <v>200</v>
      </c>
      <c r="C106" s="348" t="s">
        <v>201</v>
      </c>
      <c r="D106" s="826" t="s">
        <v>205</v>
      </c>
      <c r="E106" s="349" t="s">
        <v>12</v>
      </c>
      <c r="F106" s="350" t="s">
        <v>202</v>
      </c>
      <c r="H106" s="613">
        <v>42254</v>
      </c>
      <c r="I106" s="615">
        <v>40700</v>
      </c>
      <c r="J106" s="777">
        <v>2.88</v>
      </c>
      <c r="K106" s="777">
        <f>+I106*J106</f>
        <v>117216</v>
      </c>
      <c r="L106" s="617" t="s">
        <v>203</v>
      </c>
      <c r="O106" s="345"/>
      <c r="P106" s="1"/>
    </row>
    <row r="107" spans="1:17">
      <c r="A107" s="351">
        <v>41974</v>
      </c>
      <c r="B107" s="352"/>
      <c r="C107" s="353">
        <v>34000</v>
      </c>
      <c r="D107" s="819">
        <v>2.95</v>
      </c>
      <c r="E107" s="819">
        <f t="shared" ref="E107:E113" si="9">D107*C107</f>
        <v>100300</v>
      </c>
      <c r="F107" s="821" t="s">
        <v>203</v>
      </c>
      <c r="H107" s="613">
        <v>42256</v>
      </c>
      <c r="I107" s="615">
        <v>38020</v>
      </c>
      <c r="J107" s="777">
        <v>2.88</v>
      </c>
      <c r="K107" s="777">
        <f t="shared" ref="K107:K112" si="10">+I107*J107</f>
        <v>109497.59999999999</v>
      </c>
      <c r="L107" s="794"/>
      <c r="N107" s="347">
        <f t="shared" ref="N107:N112" si="11">K107*0.18</f>
        <v>19709.567999999999</v>
      </c>
      <c r="O107" s="345">
        <f t="shared" ref="O107:O112" si="12">K107+N107+0.5</f>
        <v>129207.66799999999</v>
      </c>
      <c r="Q107" s="8" t="s">
        <v>30</v>
      </c>
    </row>
    <row r="108" spans="1:17">
      <c r="A108" s="380">
        <v>41975</v>
      </c>
      <c r="B108" s="381"/>
      <c r="C108" s="382">
        <v>34200</v>
      </c>
      <c r="D108" s="820">
        <v>2.95</v>
      </c>
      <c r="E108" s="820">
        <f t="shared" si="9"/>
        <v>100890</v>
      </c>
      <c r="F108" s="822" t="s">
        <v>203</v>
      </c>
      <c r="H108" s="613">
        <v>42257</v>
      </c>
      <c r="I108" s="615">
        <v>39700</v>
      </c>
      <c r="J108" s="777">
        <v>2.88</v>
      </c>
      <c r="K108" s="777">
        <f t="shared" si="10"/>
        <v>114336</v>
      </c>
      <c r="L108" s="794"/>
      <c r="N108" s="347">
        <f t="shared" si="11"/>
        <v>20580.48</v>
      </c>
      <c r="O108" s="345">
        <f t="shared" si="12"/>
        <v>134916.98000000001</v>
      </c>
      <c r="Q108" s="8" t="s">
        <v>30</v>
      </c>
    </row>
    <row r="109" spans="1:17">
      <c r="A109" s="380">
        <v>41978</v>
      </c>
      <c r="B109" s="381"/>
      <c r="C109" s="382">
        <v>35320</v>
      </c>
      <c r="D109" s="820">
        <v>2.95</v>
      </c>
      <c r="E109" s="820">
        <f t="shared" si="9"/>
        <v>104194</v>
      </c>
      <c r="F109" s="822" t="s">
        <v>203</v>
      </c>
      <c r="H109" s="613">
        <v>42258</v>
      </c>
      <c r="I109" s="615">
        <f>41880-2240</f>
        <v>39640</v>
      </c>
      <c r="J109" s="777">
        <v>2.88</v>
      </c>
      <c r="K109" s="777">
        <f t="shared" si="10"/>
        <v>114163.2</v>
      </c>
      <c r="L109" s="794"/>
      <c r="N109" s="347">
        <f t="shared" si="11"/>
        <v>20549.376</v>
      </c>
      <c r="O109" s="345">
        <f t="shared" si="12"/>
        <v>134713.076</v>
      </c>
      <c r="Q109" s="346" t="s">
        <v>30</v>
      </c>
    </row>
    <row r="110" spans="1:17">
      <c r="A110" s="380">
        <v>41979</v>
      </c>
      <c r="B110" s="381"/>
      <c r="C110" s="382">
        <v>33180</v>
      </c>
      <c r="D110" s="820">
        <v>2.95</v>
      </c>
      <c r="E110" s="820">
        <f t="shared" si="9"/>
        <v>97881</v>
      </c>
      <c r="F110" s="822" t="s">
        <v>203</v>
      </c>
      <c r="H110" s="613">
        <v>42259</v>
      </c>
      <c r="I110" s="615">
        <v>26240</v>
      </c>
      <c r="J110" s="777">
        <v>2.88</v>
      </c>
      <c r="K110" s="777">
        <f t="shared" si="10"/>
        <v>75571.199999999997</v>
      </c>
      <c r="L110" s="794"/>
      <c r="N110" s="347">
        <f t="shared" si="11"/>
        <v>13602.815999999999</v>
      </c>
      <c r="O110" s="345">
        <f t="shared" si="12"/>
        <v>89174.516000000003</v>
      </c>
      <c r="Q110" s="8" t="s">
        <v>30</v>
      </c>
    </row>
    <row r="111" spans="1:17">
      <c r="A111" s="380">
        <v>41992</v>
      </c>
      <c r="B111" s="381"/>
      <c r="C111" s="382">
        <v>34360</v>
      </c>
      <c r="D111" s="820">
        <v>2.95</v>
      </c>
      <c r="E111" s="820">
        <f t="shared" si="9"/>
        <v>101362</v>
      </c>
      <c r="F111" s="822" t="s">
        <v>203</v>
      </c>
      <c r="H111" s="613">
        <v>42261</v>
      </c>
      <c r="I111" s="615">
        <v>35440</v>
      </c>
      <c r="J111" s="777">
        <v>2.88</v>
      </c>
      <c r="K111" s="777">
        <f t="shared" si="10"/>
        <v>102067.2</v>
      </c>
      <c r="L111" s="794"/>
      <c r="N111" s="347">
        <f t="shared" si="11"/>
        <v>18372.095999999998</v>
      </c>
      <c r="O111" s="345">
        <f t="shared" si="12"/>
        <v>120439.796</v>
      </c>
      <c r="Q111" s="8" t="s">
        <v>1103</v>
      </c>
    </row>
    <row r="112" spans="1:17" ht="15.75" thickBot="1">
      <c r="A112" s="380">
        <v>41995</v>
      </c>
      <c r="B112" s="381"/>
      <c r="C112" s="382">
        <v>34620</v>
      </c>
      <c r="D112" s="820">
        <v>2.95</v>
      </c>
      <c r="E112" s="820">
        <f t="shared" si="9"/>
        <v>102129</v>
      </c>
      <c r="F112" s="822" t="s">
        <v>203</v>
      </c>
      <c r="H112" s="524">
        <v>42263</v>
      </c>
      <c r="I112" s="526">
        <v>30820</v>
      </c>
      <c r="J112" s="528">
        <v>2.88</v>
      </c>
      <c r="K112" s="528">
        <f t="shared" si="10"/>
        <v>88761.599999999991</v>
      </c>
      <c r="L112" s="795"/>
      <c r="N112" s="347">
        <f t="shared" si="11"/>
        <v>15977.087999999998</v>
      </c>
      <c r="O112" s="345">
        <f t="shared" si="12"/>
        <v>104739.18799999999</v>
      </c>
      <c r="Q112" s="8" t="s">
        <v>1103</v>
      </c>
    </row>
    <row r="113" spans="1:17" ht="15.75" thickBot="1">
      <c r="A113" s="354">
        <v>42002</v>
      </c>
      <c r="B113" s="355"/>
      <c r="C113" s="356">
        <v>31840</v>
      </c>
      <c r="D113" s="823">
        <v>2.95</v>
      </c>
      <c r="E113" s="823">
        <f t="shared" si="9"/>
        <v>93928</v>
      </c>
      <c r="F113" s="824" t="s">
        <v>203</v>
      </c>
      <c r="H113" s="805" t="s">
        <v>1085</v>
      </c>
      <c r="I113" s="359">
        <f>SUM(I103:I112)</f>
        <v>372660</v>
      </c>
      <c r="J113" s="343"/>
      <c r="K113" s="360">
        <f>SUM(K103:K106)</f>
        <v>478632</v>
      </c>
      <c r="L113" s="344"/>
    </row>
    <row r="114" spans="1:17" ht="15.75" thickBot="1">
      <c r="A114" s="1050" t="s">
        <v>300</v>
      </c>
      <c r="B114" s="1051"/>
      <c r="C114" s="359">
        <f>SUM(C107:C113)</f>
        <v>237520</v>
      </c>
      <c r="D114" s="343"/>
      <c r="E114" s="360">
        <f>SUM(E107:E113)</f>
        <v>700684</v>
      </c>
      <c r="F114" s="344"/>
    </row>
    <row r="115" spans="1:17" ht="15.75" thickBot="1">
      <c r="A115" s="637"/>
      <c r="B115" s="637"/>
      <c r="C115" s="385"/>
      <c r="D115" s="343"/>
      <c r="E115" s="414"/>
      <c r="F115" s="344"/>
      <c r="H115" s="825" t="s">
        <v>199</v>
      </c>
      <c r="I115" s="348" t="s">
        <v>201</v>
      </c>
      <c r="J115" s="826" t="s">
        <v>205</v>
      </c>
      <c r="K115" s="349" t="s">
        <v>12</v>
      </c>
      <c r="L115" s="350" t="s">
        <v>202</v>
      </c>
      <c r="N115" s="391"/>
      <c r="O115" s="391"/>
      <c r="P115" s="1"/>
    </row>
    <row r="116" spans="1:17">
      <c r="A116" s="637"/>
      <c r="B116" s="637"/>
      <c r="C116" s="385"/>
      <c r="D116" s="343"/>
      <c r="E116" s="414"/>
      <c r="F116" s="344"/>
      <c r="H116" s="620">
        <v>42285</v>
      </c>
      <c r="I116" s="622">
        <v>39960</v>
      </c>
      <c r="J116" s="796">
        <v>2.88</v>
      </c>
      <c r="K116" s="796">
        <f>+I116*J116</f>
        <v>115084.8</v>
      </c>
      <c r="L116" s="797"/>
      <c r="N116" s="347">
        <f t="shared" ref="N116" si="13">K116*0.18</f>
        <v>20715.263999999999</v>
      </c>
      <c r="O116" s="345">
        <f>K116+N116+0.5</f>
        <v>135800.56400000001</v>
      </c>
      <c r="P116" s="1"/>
      <c r="Q116" s="8" t="s">
        <v>30</v>
      </c>
    </row>
    <row r="117" spans="1:17">
      <c r="H117" s="613">
        <v>42287</v>
      </c>
      <c r="I117" s="615">
        <v>40040</v>
      </c>
      <c r="J117" s="777">
        <v>2.88</v>
      </c>
      <c r="K117" s="777">
        <f>J117*I117</f>
        <v>115315.2</v>
      </c>
      <c r="L117" s="617" t="s">
        <v>203</v>
      </c>
      <c r="O117" s="345"/>
    </row>
    <row r="118" spans="1:17">
      <c r="H118" s="613">
        <v>42293</v>
      </c>
      <c r="I118" s="615">
        <v>39820</v>
      </c>
      <c r="J118" s="777">
        <v>2.88</v>
      </c>
      <c r="K118" s="777">
        <f t="shared" ref="K118:K119" si="14">J118*I118</f>
        <v>114681.59999999999</v>
      </c>
      <c r="L118" s="617" t="s">
        <v>203</v>
      </c>
      <c r="O118" s="345"/>
    </row>
    <row r="119" spans="1:17" ht="15.75" thickBot="1">
      <c r="H119" s="524">
        <v>42293</v>
      </c>
      <c r="I119" s="526">
        <v>39940</v>
      </c>
      <c r="J119" s="528">
        <v>2.88</v>
      </c>
      <c r="K119" s="528">
        <f t="shared" si="14"/>
        <v>115027.2</v>
      </c>
      <c r="L119" s="619" t="s">
        <v>203</v>
      </c>
      <c r="O119" s="345"/>
      <c r="Q119" s="346"/>
    </row>
    <row r="120" spans="1:17" ht="15.75" thickBot="1">
      <c r="H120" s="805" t="s">
        <v>1123</v>
      </c>
      <c r="I120" s="359">
        <f>SUM(I116:I119)</f>
        <v>159760</v>
      </c>
      <c r="J120" s="343"/>
      <c r="K120" s="360">
        <f>SUM(K116:K116)</f>
        <v>115084.8</v>
      </c>
      <c r="L120" s="344"/>
    </row>
    <row r="121" spans="1:17" ht="15.75" thickBot="1"/>
    <row r="122" spans="1:17" ht="15.75" thickBot="1">
      <c r="H122" s="825" t="s">
        <v>199</v>
      </c>
      <c r="I122" s="348" t="s">
        <v>201</v>
      </c>
      <c r="J122" s="826" t="s">
        <v>205</v>
      </c>
      <c r="K122" s="349" t="s">
        <v>12</v>
      </c>
      <c r="L122" s="350" t="s">
        <v>202</v>
      </c>
    </row>
    <row r="123" spans="1:17">
      <c r="H123" s="351" t="s">
        <v>1134</v>
      </c>
      <c r="I123" s="353">
        <v>4398</v>
      </c>
      <c r="J123" s="379">
        <v>23.419</v>
      </c>
      <c r="K123" s="379">
        <f>+I123*J123</f>
        <v>102996.762</v>
      </c>
      <c r="L123" s="821"/>
    </row>
    <row r="124" spans="1:17" ht="15.75" thickBot="1">
      <c r="H124" s="354" t="s">
        <v>1135</v>
      </c>
      <c r="I124" s="356">
        <v>505</v>
      </c>
      <c r="J124" s="384">
        <v>2</v>
      </c>
      <c r="K124" s="384">
        <f>J124*I124</f>
        <v>1010</v>
      </c>
      <c r="L124" s="824"/>
    </row>
    <row r="125" spans="1:17" ht="15.75" thickBot="1">
      <c r="G125" s="347"/>
      <c r="H125" s="828" t="s">
        <v>1079</v>
      </c>
      <c r="I125" s="359">
        <f>SUM(I123:I123)</f>
        <v>4398</v>
      </c>
      <c r="J125" s="343"/>
      <c r="K125" s="360">
        <f>SUM(K123:K124)</f>
        <v>104006.762</v>
      </c>
      <c r="L125" s="344"/>
      <c r="N125" s="347">
        <f>K125*0.18</f>
        <v>18721.21716</v>
      </c>
      <c r="O125" s="345">
        <f>N125+K125+0.5</f>
        <v>122728.47916</v>
      </c>
      <c r="Q125" s="8" t="s">
        <v>30</v>
      </c>
    </row>
    <row r="126" spans="1:17" ht="15.75" thickBot="1">
      <c r="G126" s="347"/>
    </row>
    <row r="127" spans="1:17" ht="15.75" thickBot="1">
      <c r="G127" s="347"/>
      <c r="H127" s="825" t="s">
        <v>199</v>
      </c>
      <c r="I127" s="348" t="s">
        <v>201</v>
      </c>
      <c r="J127" s="826" t="s">
        <v>205</v>
      </c>
      <c r="K127" s="349" t="s">
        <v>12</v>
      </c>
      <c r="L127" s="350" t="s">
        <v>202</v>
      </c>
      <c r="N127" s="391"/>
      <c r="O127" s="391"/>
      <c r="P127" s="1"/>
    </row>
    <row r="128" spans="1:17">
      <c r="G128" s="347"/>
      <c r="H128" s="829">
        <v>42314</v>
      </c>
      <c r="I128" s="830">
        <v>40040</v>
      </c>
      <c r="J128" s="831">
        <v>2.8330000000000002</v>
      </c>
      <c r="K128" s="831">
        <f>+I128*J128</f>
        <v>113433.32</v>
      </c>
      <c r="L128" s="832"/>
      <c r="N128" s="347">
        <f t="shared" ref="N128:N135" si="15">K128*0.18</f>
        <v>20417.997599999999</v>
      </c>
      <c r="O128" s="347">
        <f t="shared" ref="O128:O135" si="16">K128+N128+0.5</f>
        <v>133851.81760000001</v>
      </c>
      <c r="P128" s="1"/>
    </row>
    <row r="129" spans="7:17">
      <c r="G129" s="347"/>
      <c r="H129" s="833">
        <v>42314</v>
      </c>
      <c r="I129" s="834">
        <v>39920</v>
      </c>
      <c r="J129" s="835">
        <v>2.8330000000000002</v>
      </c>
      <c r="K129" s="835">
        <f t="shared" ref="K129:K135" si="17">+I129*J129</f>
        <v>113093.36</v>
      </c>
      <c r="L129" s="836"/>
      <c r="N129" s="347">
        <f t="shared" si="15"/>
        <v>20356.804799999998</v>
      </c>
      <c r="O129" s="347">
        <f t="shared" si="16"/>
        <v>133450.6648</v>
      </c>
    </row>
    <row r="130" spans="7:17">
      <c r="G130" s="347"/>
      <c r="H130" s="833">
        <v>42319</v>
      </c>
      <c r="I130" s="834">
        <v>40040</v>
      </c>
      <c r="J130" s="835">
        <v>2.8330000000000002</v>
      </c>
      <c r="K130" s="835">
        <f t="shared" si="17"/>
        <v>113433.32</v>
      </c>
      <c r="L130" s="836"/>
      <c r="N130" s="347">
        <f t="shared" si="15"/>
        <v>20417.997599999999</v>
      </c>
      <c r="O130" s="347">
        <f t="shared" si="16"/>
        <v>133851.81760000001</v>
      </c>
    </row>
    <row r="131" spans="7:17">
      <c r="H131" s="833">
        <v>42319</v>
      </c>
      <c r="I131" s="834">
        <v>39800</v>
      </c>
      <c r="J131" s="835">
        <v>2.8330000000000002</v>
      </c>
      <c r="K131" s="835">
        <f t="shared" si="17"/>
        <v>112753.40000000001</v>
      </c>
      <c r="L131" s="836"/>
      <c r="N131" s="347">
        <f t="shared" si="15"/>
        <v>20295.612000000001</v>
      </c>
      <c r="O131" s="347">
        <f t="shared" si="16"/>
        <v>133049.51200000002</v>
      </c>
    </row>
    <row r="132" spans="7:17">
      <c r="H132" s="833">
        <v>42331</v>
      </c>
      <c r="I132" s="834">
        <v>36600</v>
      </c>
      <c r="J132" s="835">
        <v>2.8330000000000002</v>
      </c>
      <c r="K132" s="835">
        <f t="shared" si="17"/>
        <v>103687.8</v>
      </c>
      <c r="L132" s="836"/>
      <c r="N132" s="347">
        <f t="shared" si="15"/>
        <v>18663.804</v>
      </c>
      <c r="O132" s="347">
        <f t="shared" si="16"/>
        <v>122352.10400000001</v>
      </c>
    </row>
    <row r="133" spans="7:17">
      <c r="H133" s="833">
        <v>42331</v>
      </c>
      <c r="I133" s="834">
        <v>39480</v>
      </c>
      <c r="J133" s="835">
        <v>2.8330000000000002</v>
      </c>
      <c r="K133" s="835">
        <f t="shared" si="17"/>
        <v>111846.84000000001</v>
      </c>
      <c r="L133" s="836"/>
      <c r="N133" s="347">
        <f t="shared" si="15"/>
        <v>20132.431200000003</v>
      </c>
      <c r="O133" s="347">
        <f t="shared" si="16"/>
        <v>131979.77120000002</v>
      </c>
    </row>
    <row r="134" spans="7:17">
      <c r="H134" s="833">
        <v>42338</v>
      </c>
      <c r="I134" s="834">
        <v>38560</v>
      </c>
      <c r="J134" s="835">
        <v>2.8330000000000002</v>
      </c>
      <c r="K134" s="835">
        <f t="shared" si="17"/>
        <v>109240.48000000001</v>
      </c>
      <c r="L134" s="836"/>
      <c r="N134" s="347">
        <f t="shared" si="15"/>
        <v>19663.286400000001</v>
      </c>
      <c r="O134" s="347">
        <f t="shared" si="16"/>
        <v>128904.26640000001</v>
      </c>
    </row>
    <row r="135" spans="7:17" ht="15.75" thickBot="1">
      <c r="H135" s="837">
        <v>42338</v>
      </c>
      <c r="I135" s="838">
        <v>35760</v>
      </c>
      <c r="J135" s="839">
        <v>2.8330000000000002</v>
      </c>
      <c r="K135" s="839">
        <f t="shared" si="17"/>
        <v>101308.08</v>
      </c>
      <c r="L135" s="840"/>
      <c r="N135" s="347">
        <f t="shared" si="15"/>
        <v>18235.454399999999</v>
      </c>
      <c r="O135" s="347">
        <f t="shared" si="16"/>
        <v>119544.0344</v>
      </c>
      <c r="Q135" s="346"/>
    </row>
    <row r="136" spans="7:17" ht="15.75" thickBot="1">
      <c r="H136" s="805" t="s">
        <v>1124</v>
      </c>
      <c r="I136" s="359">
        <f>SUM(I128:I135)</f>
        <v>310200</v>
      </c>
      <c r="J136" s="343"/>
      <c r="K136" s="360">
        <f>SUM(K128:K128)</f>
        <v>113433.32</v>
      </c>
      <c r="L136" s="344"/>
      <c r="O136" s="347"/>
    </row>
    <row r="137" spans="7:17" ht="15.75" thickBot="1">
      <c r="O137" s="347"/>
    </row>
    <row r="138" spans="7:17" ht="15.75" thickBot="1">
      <c r="H138" s="825" t="s">
        <v>199</v>
      </c>
      <c r="I138" s="348" t="s">
        <v>201</v>
      </c>
      <c r="J138" s="826" t="s">
        <v>205</v>
      </c>
      <c r="K138" s="349" t="s">
        <v>12</v>
      </c>
      <c r="L138" s="350" t="s">
        <v>202</v>
      </c>
      <c r="O138" s="347"/>
    </row>
    <row r="139" spans="7:17">
      <c r="H139" s="829">
        <v>42345</v>
      </c>
      <c r="I139" s="830">
        <v>38740</v>
      </c>
      <c r="J139" s="831">
        <v>2.89</v>
      </c>
      <c r="K139" s="831">
        <f>+I139*J139</f>
        <v>111958.6</v>
      </c>
      <c r="L139" s="832"/>
      <c r="N139" s="347">
        <f t="shared" ref="N139:N142" si="18">K139*0.18</f>
        <v>20152.547999999999</v>
      </c>
      <c r="O139" s="347">
        <f>K139+N139+0.5</f>
        <v>132111.64800000002</v>
      </c>
    </row>
    <row r="140" spans="7:17">
      <c r="H140" s="833">
        <v>42345</v>
      </c>
      <c r="I140" s="834">
        <v>40200</v>
      </c>
      <c r="J140" s="835">
        <v>2.89</v>
      </c>
      <c r="K140" s="835">
        <f>J140*I140</f>
        <v>116178</v>
      </c>
      <c r="L140" s="836"/>
      <c r="N140" s="347">
        <f t="shared" si="18"/>
        <v>20912.04</v>
      </c>
      <c r="O140" s="347">
        <f>K140+N140+0.5</f>
        <v>137090.54</v>
      </c>
    </row>
    <row r="141" spans="7:17">
      <c r="H141" s="811">
        <v>42353</v>
      </c>
      <c r="I141" s="812">
        <v>40020</v>
      </c>
      <c r="J141" s="813">
        <v>2.89</v>
      </c>
      <c r="K141" s="813">
        <f t="shared" ref="K141:K142" si="19">J141*I141</f>
        <v>115657.8</v>
      </c>
      <c r="L141" s="814"/>
      <c r="N141" s="347">
        <f t="shared" si="18"/>
        <v>20818.403999999999</v>
      </c>
      <c r="O141" s="347">
        <f>K141+N141+0.5</f>
        <v>136476.704</v>
      </c>
    </row>
    <row r="142" spans="7:17">
      <c r="H142" s="815">
        <v>42353</v>
      </c>
      <c r="I142" s="816">
        <v>40000</v>
      </c>
      <c r="J142" s="817">
        <v>2.89</v>
      </c>
      <c r="K142" s="813">
        <f t="shared" si="19"/>
        <v>115600</v>
      </c>
      <c r="L142" s="814"/>
      <c r="N142" s="347">
        <f t="shared" si="18"/>
        <v>20808</v>
      </c>
      <c r="O142" s="347">
        <f>K142+N142+0.5</f>
        <v>136408.5</v>
      </c>
    </row>
    <row r="143" spans="7:17">
      <c r="H143" s="808"/>
      <c r="I143" s="809"/>
      <c r="J143" s="776"/>
      <c r="K143" s="776"/>
      <c r="L143" s="810"/>
      <c r="O143" s="347"/>
    </row>
    <row r="144" spans="7:17" ht="15.75" thickBot="1">
      <c r="H144" s="524"/>
      <c r="I144" s="526"/>
      <c r="J144" s="528"/>
      <c r="K144" s="528"/>
      <c r="L144" s="795"/>
      <c r="O144" s="347"/>
    </row>
    <row r="145" spans="8:12" ht="15.75" thickBot="1">
      <c r="H145" s="805" t="s">
        <v>1126</v>
      </c>
      <c r="I145" s="359">
        <f>SUM(I139:I144)</f>
        <v>158960</v>
      </c>
      <c r="J145" s="343"/>
      <c r="K145" s="360">
        <f>SUM(K139:K139)</f>
        <v>111958.6</v>
      </c>
      <c r="L145" s="344"/>
    </row>
    <row r="148" spans="8:12">
      <c r="H148" s="637" t="s">
        <v>163</v>
      </c>
      <c r="I148" s="385">
        <f>C86+C75+C68+C54+C45+C34+C29+C16+C96+C104+C114</f>
        <v>2684793</v>
      </c>
      <c r="J148" s="343"/>
      <c r="K148" s="414">
        <f>E86+E75+E68+E54+E45+E34+E29+E16+E96+E104+E114</f>
        <v>7266434.2000000002</v>
      </c>
      <c r="L148" s="345">
        <f>+K148/I148</f>
        <v>2.7065156233646319</v>
      </c>
    </row>
    <row r="149" spans="8:12">
      <c r="H149" s="637" t="s">
        <v>418</v>
      </c>
      <c r="I149" s="385">
        <f>+I6+I12+I23+I41+I60+I82+I100+I113+I120+I136+I145</f>
        <v>3415748</v>
      </c>
      <c r="J149" s="343"/>
      <c r="K149" s="414">
        <f>+K6+K12+K23+K41+K60+K82+K100+K113+K120+K136+K145</f>
        <v>8227493.1200000001</v>
      </c>
      <c r="L149" s="345">
        <f>+K149/I149</f>
        <v>2.4086944118828439</v>
      </c>
    </row>
    <row r="150" spans="8:12">
      <c r="H150" s="637"/>
      <c r="I150" s="385"/>
      <c r="J150" s="343"/>
      <c r="K150" s="414"/>
      <c r="L150" s="344"/>
    </row>
    <row r="151" spans="8:12">
      <c r="H151" s="827" t="s">
        <v>237</v>
      </c>
      <c r="I151" s="827"/>
      <c r="J151" s="827"/>
      <c r="K151" s="347"/>
    </row>
    <row r="152" spans="8:12">
      <c r="H152" s="8"/>
      <c r="I152" s="346"/>
      <c r="K152" s="347">
        <f>O128+O129+O130+O131+O132+O133+O134+O135</f>
        <v>1036983.988</v>
      </c>
    </row>
    <row r="153" spans="8:12">
      <c r="H153" s="8"/>
      <c r="I153" s="346"/>
      <c r="K153" s="347">
        <f>K152*1</f>
        <v>1036983.988</v>
      </c>
    </row>
    <row r="154" spans="8:12">
      <c r="H154" s="1039" t="s">
        <v>238</v>
      </c>
      <c r="I154" s="1039"/>
      <c r="J154" s="1039"/>
      <c r="K154" s="345">
        <f>K153-125000</f>
        <v>911983.98800000001</v>
      </c>
    </row>
    <row r="155" spans="8:12">
      <c r="H155" s="1039" t="s">
        <v>1125</v>
      </c>
      <c r="I155" s="1039"/>
      <c r="J155" s="1039"/>
      <c r="K155" s="345">
        <f>+I156+I157</f>
        <v>971720.26716000005</v>
      </c>
    </row>
    <row r="156" spans="8:12">
      <c r="H156" s="827" t="s">
        <v>13</v>
      </c>
      <c r="I156" s="638">
        <f>O111+O112</f>
        <v>225178.984</v>
      </c>
      <c r="J156" s="827"/>
      <c r="K156" s="345"/>
    </row>
    <row r="157" spans="8:12">
      <c r="H157" s="827" t="s">
        <v>30</v>
      </c>
      <c r="I157" s="638">
        <f>O106+O107+O108+O109+O110+O116+O117+O118+O119+O125</f>
        <v>746541.28315999999</v>
      </c>
      <c r="J157" s="827"/>
      <c r="K157" s="345"/>
    </row>
    <row r="158" spans="8:12">
      <c r="H158" s="818" t="s">
        <v>490</v>
      </c>
      <c r="I158" s="818"/>
      <c r="J158" s="818"/>
      <c r="K158" s="345">
        <f>K155+K154</f>
        <v>1883704.2551600002</v>
      </c>
    </row>
    <row r="159" spans="8:12">
      <c r="H159" s="1040" t="s">
        <v>226</v>
      </c>
      <c r="I159" s="1040"/>
      <c r="J159" s="1040"/>
      <c r="K159" s="345">
        <v>150000</v>
      </c>
    </row>
    <row r="160" spans="8:12">
      <c r="H160" s="1040" t="s">
        <v>227</v>
      </c>
      <c r="I160" s="1040"/>
      <c r="J160" s="1040"/>
      <c r="K160" s="345">
        <v>-25000</v>
      </c>
    </row>
    <row r="199" spans="8:9">
      <c r="H199" s="506"/>
    </row>
    <row r="200" spans="8:9">
      <c r="H200" s="506"/>
    </row>
    <row r="201" spans="8:9">
      <c r="H201" s="506"/>
      <c r="I201" s="8"/>
    </row>
    <row r="202" spans="8:9">
      <c r="H202" s="506"/>
      <c r="I202" s="8"/>
    </row>
    <row r="203" spans="8:9">
      <c r="H203" s="506"/>
    </row>
  </sheetData>
  <mergeCells count="49">
    <mergeCell ref="A96:B96"/>
    <mergeCell ref="A104:B104"/>
    <mergeCell ref="A114:B114"/>
    <mergeCell ref="A45:B45"/>
    <mergeCell ref="A54:B54"/>
    <mergeCell ref="A68:B68"/>
    <mergeCell ref="A75:B75"/>
    <mergeCell ref="A86:B86"/>
    <mergeCell ref="A34:B34"/>
    <mergeCell ref="D23:D24"/>
    <mergeCell ref="E23:E24"/>
    <mergeCell ref="F23:F24"/>
    <mergeCell ref="D25:D26"/>
    <mergeCell ref="E25:E26"/>
    <mergeCell ref="F25:F26"/>
    <mergeCell ref="D27:D28"/>
    <mergeCell ref="E27:E28"/>
    <mergeCell ref="F27:F28"/>
    <mergeCell ref="A29:B29"/>
    <mergeCell ref="A16:B16"/>
    <mergeCell ref="D19:D20"/>
    <mergeCell ref="E19:E20"/>
    <mergeCell ref="F19:F20"/>
    <mergeCell ref="D21:D22"/>
    <mergeCell ref="E21:E22"/>
    <mergeCell ref="F21:F22"/>
    <mergeCell ref="F10:F11"/>
    <mergeCell ref="D12:D13"/>
    <mergeCell ref="E12:E13"/>
    <mergeCell ref="F12:F13"/>
    <mergeCell ref="D14:D15"/>
    <mergeCell ref="E14:E15"/>
    <mergeCell ref="F14:F15"/>
    <mergeCell ref="H154:J154"/>
    <mergeCell ref="H155:J155"/>
    <mergeCell ref="H159:J159"/>
    <mergeCell ref="H160:J160"/>
    <mergeCell ref="A1:B1"/>
    <mergeCell ref="D4:D5"/>
    <mergeCell ref="E4:E5"/>
    <mergeCell ref="F4:F5"/>
    <mergeCell ref="D6:D7"/>
    <mergeCell ref="E6:E7"/>
    <mergeCell ref="F6:F7"/>
    <mergeCell ref="D8:D9"/>
    <mergeCell ref="E8:E9"/>
    <mergeCell ref="F8:F9"/>
    <mergeCell ref="D10:D11"/>
    <mergeCell ref="E10:E11"/>
  </mergeCells>
  <pageMargins left="0.39370078740157483" right="0.39370078740157483" top="0.26" bottom="0.18" header="0.19" footer="0.17"/>
  <pageSetup paperSize="9" scale="88" fitToHeight="2" orientation="portrait" horizontalDpi="180" verticalDpi="180" r:id="rId1"/>
</worksheet>
</file>

<file path=xl/worksheets/sheet13.xml><?xml version="1.0" encoding="utf-8"?>
<worksheet xmlns="http://schemas.openxmlformats.org/spreadsheetml/2006/main" xmlns:r="http://schemas.openxmlformats.org/officeDocument/2006/relationships">
  <sheetPr codeName="Feuil15"/>
  <dimension ref="A1:R39"/>
  <sheetViews>
    <sheetView workbookViewId="0">
      <selection activeCell="L29" sqref="L29"/>
    </sheetView>
  </sheetViews>
  <sheetFormatPr baseColWidth="10" defaultRowHeight="15"/>
  <cols>
    <col min="1" max="1" width="10.7109375" style="8" bestFit="1" customWidth="1"/>
    <col min="2" max="2" width="5.5703125" style="8" bestFit="1" customWidth="1"/>
    <col min="3" max="3" width="10.140625" style="8" bestFit="1" customWidth="1"/>
    <col min="4" max="4" width="12.85546875" style="8" bestFit="1" customWidth="1"/>
    <col min="5" max="5" width="6.5703125" style="8" bestFit="1" customWidth="1"/>
    <col min="6" max="6" width="11" style="8" bestFit="1" customWidth="1"/>
    <col min="7" max="7" width="10.28515625" style="418" bestFit="1" customWidth="1"/>
    <col min="8" max="8" width="10" style="533" bestFit="1" customWidth="1"/>
    <col min="9" max="9" width="9" style="1" bestFit="1" customWidth="1"/>
    <col min="10" max="10" width="10" style="1" bestFit="1" customWidth="1"/>
    <col min="11" max="11" width="6.5703125" style="1" bestFit="1" customWidth="1"/>
    <col min="12" max="12" width="10.7109375" style="8" bestFit="1" customWidth="1"/>
    <col min="13" max="13" width="5.5703125" style="8" bestFit="1" customWidth="1"/>
    <col min="14" max="14" width="10.140625" style="8" bestFit="1" customWidth="1"/>
    <col min="15" max="15" width="12.85546875" style="8" bestFit="1" customWidth="1"/>
    <col min="16" max="16" width="6.5703125" style="8" bestFit="1" customWidth="1"/>
    <col min="17" max="17" width="11" style="8" bestFit="1" customWidth="1"/>
    <col min="18" max="18" width="10.28515625" style="418" bestFit="1" customWidth="1"/>
    <col min="19" max="16384" width="11.42578125" style="8"/>
  </cols>
  <sheetData>
    <row r="1" spans="1:18" ht="15.75" thickBot="1">
      <c r="J1" s="534"/>
      <c r="K1" s="534"/>
    </row>
    <row r="2" spans="1:18" ht="15.75" thickBot="1">
      <c r="A2" s="376" t="s">
        <v>199</v>
      </c>
      <c r="B2" s="377" t="s">
        <v>200</v>
      </c>
      <c r="C2" s="348" t="s">
        <v>201</v>
      </c>
      <c r="D2" s="348"/>
      <c r="E2" s="377" t="s">
        <v>205</v>
      </c>
      <c r="F2" s="349" t="s">
        <v>12</v>
      </c>
      <c r="G2" s="417" t="s">
        <v>12</v>
      </c>
      <c r="H2" s="535" t="s">
        <v>220</v>
      </c>
      <c r="I2" s="536" t="s">
        <v>215</v>
      </c>
      <c r="L2" s="520" t="s">
        <v>199</v>
      </c>
      <c r="M2" s="521" t="s">
        <v>200</v>
      </c>
      <c r="N2" s="348" t="s">
        <v>201</v>
      </c>
      <c r="O2" s="348"/>
      <c r="P2" s="521" t="s">
        <v>205</v>
      </c>
      <c r="Q2" s="349" t="s">
        <v>12</v>
      </c>
      <c r="R2" s="417" t="s">
        <v>12</v>
      </c>
    </row>
    <row r="3" spans="1:18" ht="15.75" thickBot="1">
      <c r="A3" s="419">
        <v>41647</v>
      </c>
      <c r="B3" s="420">
        <v>2179</v>
      </c>
      <c r="C3" s="421">
        <v>1032</v>
      </c>
      <c r="D3" s="421" t="s">
        <v>207</v>
      </c>
      <c r="E3" s="422">
        <v>25</v>
      </c>
      <c r="F3" s="422">
        <f>+E3*C3</f>
        <v>25800</v>
      </c>
      <c r="G3" s="423" t="s">
        <v>279</v>
      </c>
      <c r="H3" s="537">
        <v>22071.59</v>
      </c>
      <c r="I3" s="538">
        <v>1.6505799999999999</v>
      </c>
      <c r="J3" s="539">
        <f>+H3*I3/1000</f>
        <v>36.4309250222</v>
      </c>
      <c r="K3" s="539">
        <f>+J3*0.77</f>
        <v>28.051812267094</v>
      </c>
      <c r="L3" s="351">
        <v>42000</v>
      </c>
      <c r="M3" s="352">
        <v>3145</v>
      </c>
      <c r="N3" s="353">
        <v>1325</v>
      </c>
      <c r="O3" s="353" t="s">
        <v>440</v>
      </c>
      <c r="P3" s="379">
        <v>24</v>
      </c>
      <c r="Q3" s="379">
        <f>N3*P3</f>
        <v>31800</v>
      </c>
      <c r="R3" s="522"/>
    </row>
    <row r="4" spans="1:18">
      <c r="A4" s="351">
        <v>41677</v>
      </c>
      <c r="B4" s="352">
        <v>2974</v>
      </c>
      <c r="C4" s="353">
        <v>1172</v>
      </c>
      <c r="D4" s="353" t="s">
        <v>217</v>
      </c>
      <c r="E4" s="379">
        <v>25</v>
      </c>
      <c r="F4" s="379">
        <f>+E4*C4</f>
        <v>29300</v>
      </c>
      <c r="G4" s="1054" t="s">
        <v>281</v>
      </c>
      <c r="H4" s="1059">
        <v>22809.25</v>
      </c>
      <c r="I4" s="1060">
        <f>+(1.59895+1.5772)/2</f>
        <v>1.5880749999999999</v>
      </c>
      <c r="J4" s="1061">
        <f t="shared" ref="J4:J10" si="0">+H4*I4/1000</f>
        <v>36.222799693749998</v>
      </c>
      <c r="K4" s="1061">
        <f>+J4*0.71</f>
        <v>25.718187782562499</v>
      </c>
      <c r="L4" s="380"/>
      <c r="M4" s="381"/>
      <c r="N4" s="532">
        <v>516.32000000000005</v>
      </c>
      <c r="O4" s="382" t="s">
        <v>441</v>
      </c>
      <c r="P4" s="383">
        <v>30</v>
      </c>
      <c r="Q4" s="383">
        <f>P4*N4</f>
        <v>15489.600000000002</v>
      </c>
      <c r="R4" s="531"/>
    </row>
    <row r="5" spans="1:18" ht="15.75" thickBot="1">
      <c r="A5" s="354">
        <v>41696</v>
      </c>
      <c r="B5" s="355">
        <v>2852</v>
      </c>
      <c r="C5" s="356">
        <f>1678-12</f>
        <v>1666</v>
      </c>
      <c r="D5" s="356" t="s">
        <v>224</v>
      </c>
      <c r="E5" s="384">
        <v>25</v>
      </c>
      <c r="F5" s="384">
        <f>+E5*C5</f>
        <v>41650</v>
      </c>
      <c r="G5" s="1056"/>
      <c r="H5" s="1059"/>
      <c r="I5" s="1060"/>
      <c r="J5" s="1061"/>
      <c r="K5" s="1061"/>
      <c r="L5" s="1057"/>
      <c r="M5" s="1058"/>
      <c r="N5" s="382"/>
      <c r="O5" s="382"/>
      <c r="P5" s="383"/>
      <c r="Q5" s="383"/>
      <c r="R5" s="531"/>
    </row>
    <row r="6" spans="1:18" ht="15.75" thickBot="1">
      <c r="A6" s="419">
        <v>41725</v>
      </c>
      <c r="B6" s="420">
        <v>2895</v>
      </c>
      <c r="C6" s="421">
        <v>2896</v>
      </c>
      <c r="D6" s="421" t="s">
        <v>217</v>
      </c>
      <c r="E6" s="422">
        <v>24</v>
      </c>
      <c r="F6" s="422">
        <f>E6*C6</f>
        <v>69504</v>
      </c>
      <c r="G6" s="423" t="s">
        <v>283</v>
      </c>
      <c r="H6" s="537">
        <v>23098.33</v>
      </c>
      <c r="I6" s="538">
        <v>1.5745</v>
      </c>
      <c r="J6" s="539">
        <f t="shared" si="0"/>
        <v>36.368320584999999</v>
      </c>
      <c r="K6" s="539">
        <f>+J6*0.71</f>
        <v>25.821507615349997</v>
      </c>
      <c r="L6" s="380"/>
      <c r="M6" s="381"/>
      <c r="N6" s="382"/>
      <c r="O6" s="382"/>
      <c r="P6" s="383"/>
      <c r="Q6" s="383"/>
      <c r="R6" s="523"/>
    </row>
    <row r="7" spans="1:18">
      <c r="A7" s="351">
        <v>41800</v>
      </c>
      <c r="B7" s="352">
        <v>2679</v>
      </c>
      <c r="C7" s="353">
        <v>1216</v>
      </c>
      <c r="D7" s="353" t="s">
        <v>285</v>
      </c>
      <c r="E7" s="379">
        <v>15.5</v>
      </c>
      <c r="F7" s="379">
        <f>E7*C7</f>
        <v>18848</v>
      </c>
      <c r="G7" s="1054" t="s">
        <v>284</v>
      </c>
      <c r="H7" s="537">
        <v>22773.81</v>
      </c>
      <c r="I7" s="538">
        <v>1.6358999999999999</v>
      </c>
      <c r="J7" s="539">
        <f t="shared" si="0"/>
        <v>37.255675779000001</v>
      </c>
      <c r="K7" s="539">
        <f>+J7*0.52</f>
        <v>19.372951405080002</v>
      </c>
      <c r="L7" s="380"/>
      <c r="M7" s="381"/>
      <c r="N7" s="382"/>
      <c r="O7" s="382"/>
      <c r="P7" s="383"/>
      <c r="Q7" s="383"/>
      <c r="R7" s="531"/>
    </row>
    <row r="8" spans="1:18" ht="15.75" thickBot="1">
      <c r="A8" s="354">
        <v>41828</v>
      </c>
      <c r="B8" s="355">
        <v>2560</v>
      </c>
      <c r="C8" s="356">
        <v>2626</v>
      </c>
      <c r="D8" s="356" t="s">
        <v>286</v>
      </c>
      <c r="E8" s="384">
        <v>24</v>
      </c>
      <c r="F8" s="384">
        <f>E8*C8</f>
        <v>63024</v>
      </c>
      <c r="G8" s="1056"/>
      <c r="H8" s="537">
        <v>22382.83</v>
      </c>
      <c r="I8" s="538">
        <v>1.6889000000000001</v>
      </c>
      <c r="J8" s="539">
        <f t="shared" si="0"/>
        <v>37.802361587000007</v>
      </c>
      <c r="K8" s="539">
        <f>+J8*0.71</f>
        <v>26.839676726770005</v>
      </c>
      <c r="L8" s="380"/>
      <c r="M8" s="381"/>
      <c r="N8" s="382"/>
      <c r="O8" s="382"/>
      <c r="P8" s="383"/>
      <c r="Q8" s="383"/>
      <c r="R8" s="531"/>
    </row>
    <row r="9" spans="1:18" ht="15.75" thickBot="1">
      <c r="A9" s="419">
        <v>41878</v>
      </c>
      <c r="B9" s="420">
        <v>3469</v>
      </c>
      <c r="C9" s="421">
        <v>1550</v>
      </c>
      <c r="D9" s="421" t="s">
        <v>275</v>
      </c>
      <c r="E9" s="422">
        <v>25</v>
      </c>
      <c r="F9" s="422">
        <f>E9*C9</f>
        <v>38750</v>
      </c>
      <c r="G9" s="423" t="s">
        <v>276</v>
      </c>
      <c r="H9" s="537">
        <v>22294</v>
      </c>
      <c r="I9" s="538">
        <v>1.7296</v>
      </c>
      <c r="J9" s="539">
        <f t="shared" si="0"/>
        <v>38.559702399999999</v>
      </c>
      <c r="K9" s="539">
        <f>+J9*0.77</f>
        <v>29.690970847999999</v>
      </c>
      <c r="L9" s="380"/>
      <c r="M9" s="381"/>
      <c r="N9" s="382"/>
      <c r="O9" s="382"/>
      <c r="P9" s="383"/>
      <c r="Q9" s="383"/>
      <c r="R9" s="523"/>
    </row>
    <row r="10" spans="1:18" ht="15.75" thickBot="1">
      <c r="A10" s="500">
        <v>41932</v>
      </c>
      <c r="B10" s="501">
        <v>3341</v>
      </c>
      <c r="C10" s="502">
        <v>2460</v>
      </c>
      <c r="D10" s="503">
        <v>0.75</v>
      </c>
      <c r="E10" s="504">
        <v>25</v>
      </c>
      <c r="F10" s="504">
        <f>+C10*E10</f>
        <v>61500</v>
      </c>
      <c r="G10" s="505" t="s">
        <v>298</v>
      </c>
      <c r="H10" s="537">
        <v>19909.13</v>
      </c>
      <c r="I10" s="538">
        <v>1.7910999999999999</v>
      </c>
      <c r="J10" s="539">
        <f t="shared" si="0"/>
        <v>35.659242743</v>
      </c>
      <c r="K10" s="539">
        <f>+J10*0.75</f>
        <v>26.744432057250002</v>
      </c>
      <c r="L10" s="524"/>
      <c r="M10" s="525"/>
      <c r="N10" s="526"/>
      <c r="O10" s="527"/>
      <c r="P10" s="528"/>
      <c r="Q10" s="528"/>
      <c r="R10" s="529"/>
    </row>
    <row r="11" spans="1:18" s="425" customFormat="1" ht="15.75" thickBot="1">
      <c r="A11" s="424"/>
      <c r="C11" s="209"/>
      <c r="D11" s="209"/>
      <c r="E11" s="426"/>
      <c r="F11" s="426"/>
      <c r="G11" s="427"/>
      <c r="H11" s="540"/>
      <c r="I11" s="541"/>
      <c r="J11" s="542"/>
      <c r="K11" s="542"/>
      <c r="L11" s="424"/>
      <c r="N11" s="209"/>
      <c r="O11" s="209"/>
      <c r="P11" s="426"/>
      <c r="Q11" s="426"/>
      <c r="R11" s="427"/>
    </row>
    <row r="12" spans="1:18">
      <c r="A12" s="351">
        <v>41647</v>
      </c>
      <c r="B12" s="352">
        <v>2178</v>
      </c>
      <c r="C12" s="353">
        <v>3025</v>
      </c>
      <c r="D12" s="353" t="s">
        <v>208</v>
      </c>
      <c r="E12" s="379">
        <v>3</v>
      </c>
      <c r="F12" s="379">
        <f>E12*C12</f>
        <v>9075</v>
      </c>
      <c r="G12" s="1054" t="s">
        <v>278</v>
      </c>
      <c r="H12" s="540"/>
      <c r="I12" s="541"/>
      <c r="J12" s="391"/>
      <c r="K12" s="391"/>
      <c r="L12" s="1040" t="s">
        <v>442</v>
      </c>
      <c r="M12" s="1040"/>
      <c r="N12" s="1040"/>
      <c r="O12" s="1040"/>
      <c r="P12" s="1040"/>
      <c r="Q12" s="345">
        <v>47289.597000000002</v>
      </c>
    </row>
    <row r="13" spans="1:18">
      <c r="A13" s="380">
        <v>41647</v>
      </c>
      <c r="B13" s="381">
        <v>2180</v>
      </c>
      <c r="C13" s="382">
        <v>470</v>
      </c>
      <c r="D13" s="382" t="s">
        <v>208</v>
      </c>
      <c r="E13" s="383">
        <v>3</v>
      </c>
      <c r="F13" s="383">
        <f t="shared" ref="F13:F26" si="1">E13*C13</f>
        <v>1410</v>
      </c>
      <c r="G13" s="1055"/>
      <c r="H13" s="540">
        <v>17920</v>
      </c>
      <c r="I13" s="541">
        <v>1.94974</v>
      </c>
      <c r="J13" s="391">
        <f>I13*H13/1000</f>
        <v>34.939340799999997</v>
      </c>
      <c r="K13" s="391">
        <f>J13*0.96</f>
        <v>33.541767167999993</v>
      </c>
      <c r="L13" s="530"/>
      <c r="M13" s="530"/>
      <c r="N13" s="530"/>
      <c r="O13" s="530"/>
      <c r="P13" s="530"/>
      <c r="Q13" s="345"/>
    </row>
    <row r="14" spans="1:18">
      <c r="A14" s="380">
        <v>41649</v>
      </c>
      <c r="B14" s="381">
        <v>2183</v>
      </c>
      <c r="C14" s="382">
        <v>4786</v>
      </c>
      <c r="D14" s="382" t="s">
        <v>208</v>
      </c>
      <c r="E14" s="383">
        <v>3</v>
      </c>
      <c r="F14" s="383">
        <f t="shared" si="1"/>
        <v>14358</v>
      </c>
      <c r="G14" s="1055"/>
      <c r="H14" s="540"/>
      <c r="I14" s="541"/>
      <c r="J14" s="391"/>
      <c r="K14" s="391"/>
      <c r="L14" s="1041" t="s">
        <v>443</v>
      </c>
      <c r="M14" s="1041"/>
      <c r="N14" s="1041"/>
      <c r="O14" s="1041"/>
      <c r="P14" s="1041"/>
      <c r="Q14" s="345">
        <f>Q3+Q4+Q5-Q12</f>
        <v>3.0000000042491592E-3</v>
      </c>
    </row>
    <row r="15" spans="1:18">
      <c r="A15" s="380">
        <v>41654</v>
      </c>
      <c r="B15" s="381">
        <v>2185</v>
      </c>
      <c r="C15" s="382">
        <v>2110</v>
      </c>
      <c r="D15" s="382" t="s">
        <v>208</v>
      </c>
      <c r="E15" s="383">
        <v>3</v>
      </c>
      <c r="F15" s="383">
        <f t="shared" si="1"/>
        <v>6330</v>
      </c>
      <c r="G15" s="1055"/>
      <c r="H15" s="540"/>
      <c r="I15" s="541"/>
      <c r="J15" s="391"/>
      <c r="K15" s="391"/>
      <c r="L15" s="530"/>
      <c r="M15" s="530"/>
      <c r="N15" s="530"/>
      <c r="O15" s="530"/>
      <c r="P15" s="530"/>
      <c r="Q15" s="345"/>
    </row>
    <row r="16" spans="1:18">
      <c r="A16" s="380">
        <v>41656</v>
      </c>
      <c r="B16" s="381">
        <v>2195</v>
      </c>
      <c r="C16" s="382">
        <v>2200</v>
      </c>
      <c r="D16" s="382" t="s">
        <v>208</v>
      </c>
      <c r="E16" s="383">
        <v>3</v>
      </c>
      <c r="F16" s="383">
        <f t="shared" si="1"/>
        <v>6600</v>
      </c>
      <c r="G16" s="1055"/>
      <c r="H16" s="540"/>
      <c r="I16" s="541"/>
      <c r="J16" s="391"/>
      <c r="K16" s="391"/>
      <c r="L16" s="530"/>
      <c r="M16" s="530"/>
      <c r="N16" s="530"/>
      <c r="O16" s="530"/>
      <c r="P16" s="530"/>
      <c r="Q16" s="345"/>
    </row>
    <row r="17" spans="1:17" ht="15.75" thickBot="1">
      <c r="A17" s="354">
        <v>41666</v>
      </c>
      <c r="B17" s="355">
        <v>2955</v>
      </c>
      <c r="C17" s="356">
        <v>4656</v>
      </c>
      <c r="D17" s="356" t="s">
        <v>208</v>
      </c>
      <c r="E17" s="384">
        <v>3</v>
      </c>
      <c r="F17" s="384">
        <f t="shared" si="1"/>
        <v>13968</v>
      </c>
      <c r="G17" s="1056"/>
      <c r="H17" s="540"/>
      <c r="I17" s="541"/>
      <c r="J17" s="391"/>
      <c r="K17" s="391"/>
      <c r="L17" s="530"/>
      <c r="M17" s="530"/>
      <c r="N17" s="530"/>
      <c r="O17" s="530"/>
      <c r="P17" s="530"/>
      <c r="Q17" s="345"/>
    </row>
    <row r="18" spans="1:17">
      <c r="A18" s="351">
        <v>41674</v>
      </c>
      <c r="B18" s="352">
        <v>2967</v>
      </c>
      <c r="C18" s="353">
        <v>1534</v>
      </c>
      <c r="D18" s="353" t="s">
        <v>208</v>
      </c>
      <c r="E18" s="379">
        <v>3</v>
      </c>
      <c r="F18" s="379">
        <f t="shared" si="1"/>
        <v>4602</v>
      </c>
      <c r="G18" s="1054" t="s">
        <v>280</v>
      </c>
      <c r="H18" s="540"/>
      <c r="I18" s="543"/>
      <c r="L18" s="530"/>
      <c r="M18" s="530"/>
      <c r="N18" s="530"/>
      <c r="O18" s="530"/>
      <c r="P18" s="530"/>
      <c r="Q18" s="345"/>
    </row>
    <row r="19" spans="1:17">
      <c r="A19" s="380">
        <v>41675</v>
      </c>
      <c r="B19" s="381">
        <v>2968</v>
      </c>
      <c r="C19" s="382">
        <v>720</v>
      </c>
      <c r="D19" s="382" t="s">
        <v>208</v>
      </c>
      <c r="E19" s="383">
        <v>3</v>
      </c>
      <c r="F19" s="383">
        <f t="shared" si="1"/>
        <v>2160</v>
      </c>
      <c r="G19" s="1055"/>
      <c r="H19" s="540"/>
      <c r="I19" s="543"/>
      <c r="L19" s="530"/>
      <c r="M19" s="530"/>
      <c r="N19" s="530"/>
      <c r="O19" s="530"/>
      <c r="P19" s="530"/>
      <c r="Q19" s="345"/>
    </row>
    <row r="20" spans="1:17">
      <c r="A20" s="380">
        <v>41677</v>
      </c>
      <c r="B20" s="381">
        <v>2975</v>
      </c>
      <c r="C20" s="382">
        <v>2684</v>
      </c>
      <c r="D20" s="382" t="s">
        <v>208</v>
      </c>
      <c r="E20" s="383">
        <v>3</v>
      </c>
      <c r="F20" s="383">
        <f t="shared" si="1"/>
        <v>8052</v>
      </c>
      <c r="G20" s="1055"/>
      <c r="H20" s="540"/>
      <c r="I20" s="543"/>
      <c r="L20" s="530"/>
      <c r="M20" s="530"/>
      <c r="N20" s="530"/>
      <c r="O20" s="530"/>
      <c r="P20" s="530"/>
      <c r="Q20" s="345"/>
    </row>
    <row r="21" spans="1:17" ht="15.75" thickBot="1">
      <c r="A21" s="354">
        <v>41689</v>
      </c>
      <c r="B21" s="355">
        <v>2989</v>
      </c>
      <c r="C21" s="356">
        <v>2456</v>
      </c>
      <c r="D21" s="356" t="s">
        <v>208</v>
      </c>
      <c r="E21" s="384">
        <v>3</v>
      </c>
      <c r="F21" s="384">
        <f t="shared" si="1"/>
        <v>7368</v>
      </c>
      <c r="G21" s="1056"/>
      <c r="H21" s="540"/>
      <c r="I21" s="543"/>
      <c r="L21" s="519"/>
      <c r="M21" s="519"/>
      <c r="N21" s="519"/>
      <c r="O21" s="519"/>
      <c r="P21" s="519"/>
      <c r="Q21" s="345"/>
    </row>
    <row r="22" spans="1:17">
      <c r="A22" s="351">
        <v>41702</v>
      </c>
      <c r="B22" s="352">
        <v>2864</v>
      </c>
      <c r="C22" s="353">
        <v>1980</v>
      </c>
      <c r="D22" s="353" t="s">
        <v>208</v>
      </c>
      <c r="E22" s="379">
        <v>3</v>
      </c>
      <c r="F22" s="379">
        <f t="shared" si="1"/>
        <v>5940</v>
      </c>
      <c r="G22" s="1054" t="s">
        <v>282</v>
      </c>
      <c r="H22" s="540"/>
      <c r="I22" s="543"/>
      <c r="L22" s="530"/>
      <c r="M22" s="530"/>
      <c r="N22" s="530"/>
      <c r="O22" s="530"/>
      <c r="P22" s="530"/>
      <c r="Q22" s="345"/>
    </row>
    <row r="23" spans="1:17">
      <c r="A23" s="380">
        <v>41703</v>
      </c>
      <c r="B23" s="381">
        <v>2866</v>
      </c>
      <c r="C23" s="382">
        <v>2044</v>
      </c>
      <c r="D23" s="382" t="s">
        <v>208</v>
      </c>
      <c r="E23" s="383">
        <v>3</v>
      </c>
      <c r="F23" s="383">
        <f t="shared" si="1"/>
        <v>6132</v>
      </c>
      <c r="G23" s="1055"/>
      <c r="H23" s="540"/>
      <c r="I23" s="543"/>
    </row>
    <row r="24" spans="1:17">
      <c r="A24" s="380">
        <v>41704</v>
      </c>
      <c r="B24" s="381">
        <v>2867</v>
      </c>
      <c r="C24" s="382">
        <v>2010</v>
      </c>
      <c r="D24" s="382" t="s">
        <v>208</v>
      </c>
      <c r="E24" s="383">
        <v>3</v>
      </c>
      <c r="F24" s="383">
        <f t="shared" si="1"/>
        <v>6030</v>
      </c>
      <c r="G24" s="1055"/>
      <c r="H24" s="540"/>
      <c r="I24" s="543"/>
    </row>
    <row r="25" spans="1:17" ht="15.75" thickBot="1">
      <c r="A25" s="354">
        <v>41705</v>
      </c>
      <c r="B25" s="355">
        <v>2874</v>
      </c>
      <c r="C25" s="356">
        <v>1240</v>
      </c>
      <c r="D25" s="356" t="s">
        <v>208</v>
      </c>
      <c r="E25" s="384">
        <v>3</v>
      </c>
      <c r="F25" s="384">
        <f t="shared" si="1"/>
        <v>3720</v>
      </c>
      <c r="G25" s="1056"/>
      <c r="H25" s="540"/>
      <c r="I25" s="543"/>
    </row>
    <row r="26" spans="1:17" ht="15.75" thickBot="1">
      <c r="A26" s="419">
        <v>41737</v>
      </c>
      <c r="B26" s="420">
        <v>2758</v>
      </c>
      <c r="C26" s="421">
        <v>3948</v>
      </c>
      <c r="D26" s="421" t="s">
        <v>208</v>
      </c>
      <c r="E26" s="422">
        <v>3</v>
      </c>
      <c r="F26" s="422">
        <f t="shared" si="1"/>
        <v>11844</v>
      </c>
      <c r="G26" s="423" t="s">
        <v>277</v>
      </c>
      <c r="H26" s="540"/>
      <c r="I26" s="543"/>
    </row>
    <row r="27" spans="1:17" ht="15.75" thickBot="1">
      <c r="A27" s="1050" t="s">
        <v>209</v>
      </c>
      <c r="B27" s="1051"/>
      <c r="C27" s="359">
        <f>SUM(C3:C10)</f>
        <v>14618</v>
      </c>
      <c r="D27" s="385"/>
      <c r="E27" s="343"/>
      <c r="F27" s="360">
        <f>SUM(F3:F26)</f>
        <v>455965</v>
      </c>
      <c r="I27" s="390"/>
    </row>
    <row r="28" spans="1:17" ht="15.75" thickBot="1">
      <c r="A28" s="1050" t="s">
        <v>210</v>
      </c>
      <c r="B28" s="1051"/>
      <c r="C28" s="359">
        <f>SUM(C12:C26)</f>
        <v>35863</v>
      </c>
    </row>
    <row r="30" spans="1:17">
      <c r="A30" s="1040" t="s">
        <v>218</v>
      </c>
      <c r="B30" s="1040"/>
      <c r="C30" s="1040"/>
      <c r="D30" s="1040"/>
      <c r="E30" s="1040"/>
      <c r="F30" s="345">
        <v>50000</v>
      </c>
    </row>
    <row r="31" spans="1:17">
      <c r="A31" s="1040" t="s">
        <v>221</v>
      </c>
      <c r="B31" s="1040"/>
      <c r="C31" s="1040"/>
      <c r="D31" s="1040"/>
      <c r="E31" s="1040"/>
      <c r="F31" s="345">
        <v>60000</v>
      </c>
    </row>
    <row r="32" spans="1:17">
      <c r="A32" s="1040" t="s">
        <v>229</v>
      </c>
      <c r="B32" s="1040"/>
      <c r="C32" s="1040"/>
      <c r="D32" s="1040"/>
      <c r="E32" s="1040"/>
      <c r="F32" s="345">
        <v>55000</v>
      </c>
    </row>
    <row r="33" spans="1:18">
      <c r="A33" s="1040" t="s">
        <v>273</v>
      </c>
      <c r="B33" s="1040"/>
      <c r="C33" s="1040"/>
      <c r="D33" s="1040"/>
      <c r="E33" s="1040"/>
      <c r="F33" s="345">
        <v>80000</v>
      </c>
    </row>
    <row r="34" spans="1:18">
      <c r="A34" s="1040" t="s">
        <v>274</v>
      </c>
      <c r="B34" s="1040"/>
      <c r="C34" s="1040"/>
      <c r="D34" s="1040"/>
      <c r="E34" s="1040"/>
      <c r="F34" s="345">
        <v>81870.705000000002</v>
      </c>
    </row>
    <row r="35" spans="1:18">
      <c r="A35" s="1040" t="s">
        <v>302</v>
      </c>
      <c r="B35" s="1040"/>
      <c r="C35" s="1040"/>
      <c r="D35" s="1040"/>
      <c r="E35" s="1040"/>
      <c r="F35" s="345">
        <f>50000/0.985</f>
        <v>50761.421319796958</v>
      </c>
    </row>
    <row r="36" spans="1:18">
      <c r="A36" s="1040" t="s">
        <v>301</v>
      </c>
      <c r="B36" s="1040"/>
      <c r="C36" s="1040"/>
      <c r="D36" s="1040"/>
      <c r="E36" s="1040"/>
      <c r="F36" s="345">
        <v>50761.421000000002</v>
      </c>
    </row>
    <row r="37" spans="1:18">
      <c r="A37" s="1040" t="s">
        <v>444</v>
      </c>
      <c r="B37" s="1040"/>
      <c r="C37" s="1040"/>
      <c r="D37" s="1040"/>
      <c r="E37" s="1040"/>
      <c r="F37" s="345">
        <v>27294.746999999999</v>
      </c>
    </row>
    <row r="38" spans="1:18">
      <c r="A38" s="378"/>
      <c r="B38" s="378"/>
      <c r="C38" s="378"/>
      <c r="D38" s="378"/>
      <c r="E38" s="378"/>
      <c r="F38" s="345"/>
    </row>
    <row r="39" spans="1:18" s="344" customFormat="1">
      <c r="A39" s="1041" t="s">
        <v>445</v>
      </c>
      <c r="B39" s="1041"/>
      <c r="C39" s="1041"/>
      <c r="D39" s="1041"/>
      <c r="E39" s="1041"/>
      <c r="F39" s="345">
        <f>F27-F30-F31-F37-F32-F33-F34-F36-F35</f>
        <v>276.70568020306382</v>
      </c>
      <c r="G39" s="418"/>
      <c r="H39" s="533"/>
      <c r="I39" s="390"/>
      <c r="J39" s="390"/>
      <c r="K39" s="390"/>
      <c r="L39" s="8"/>
      <c r="M39" s="8"/>
      <c r="N39" s="8"/>
      <c r="O39" s="8"/>
      <c r="P39" s="8"/>
      <c r="Q39" s="8"/>
      <c r="R39" s="418"/>
    </row>
  </sheetData>
  <mergeCells count="23">
    <mergeCell ref="L12:P12"/>
    <mergeCell ref="L5:M5"/>
    <mergeCell ref="L14:P14"/>
    <mergeCell ref="G18:G21"/>
    <mergeCell ref="G4:G5"/>
    <mergeCell ref="H4:H5"/>
    <mergeCell ref="I4:I5"/>
    <mergeCell ref="J4:J5"/>
    <mergeCell ref="K4:K5"/>
    <mergeCell ref="G22:G25"/>
    <mergeCell ref="G7:G8"/>
    <mergeCell ref="A39:E39"/>
    <mergeCell ref="A27:B27"/>
    <mergeCell ref="A28:B28"/>
    <mergeCell ref="A30:E30"/>
    <mergeCell ref="A31:E31"/>
    <mergeCell ref="A37:E37"/>
    <mergeCell ref="A32:E32"/>
    <mergeCell ref="A33:E33"/>
    <mergeCell ref="A34:E34"/>
    <mergeCell ref="A36:E36"/>
    <mergeCell ref="A35:E35"/>
    <mergeCell ref="G12:G17"/>
  </mergeCells>
  <pageMargins left="0.21" right="0.26" top="0.75" bottom="0.75" header="0.3" footer="0.3"/>
  <pageSetup paperSize="9" orientation="portrait" horizontalDpi="180" verticalDpi="180" r:id="rId1"/>
  <ignoredErrors>
    <ignoredError sqref="C28" formulaRange="1"/>
    <ignoredError sqref="K7" formula="1"/>
  </ignoredErrors>
</worksheet>
</file>

<file path=xl/worksheets/sheet14.xml><?xml version="1.0" encoding="utf-8"?>
<worksheet xmlns="http://schemas.openxmlformats.org/spreadsheetml/2006/main" xmlns:r="http://schemas.openxmlformats.org/officeDocument/2006/relationships">
  <dimension ref="A1:P67"/>
  <sheetViews>
    <sheetView zoomScale="85" zoomScaleNormal="85" workbookViewId="0">
      <selection activeCell="A9" sqref="A9"/>
    </sheetView>
  </sheetViews>
  <sheetFormatPr baseColWidth="10" defaultColWidth="11.5703125" defaultRowHeight="12.75"/>
  <cols>
    <col min="1" max="1" width="15.42578125" style="866" bestFit="1" customWidth="1"/>
    <col min="2" max="2" width="13.5703125" style="866" bestFit="1" customWidth="1"/>
    <col min="3" max="3" width="10.5703125" style="866" bestFit="1" customWidth="1"/>
    <col min="4" max="4" width="10.28515625" style="866" bestFit="1" customWidth="1"/>
    <col min="5" max="5" width="16" style="866" bestFit="1" customWidth="1"/>
    <col min="6" max="6" width="13.7109375" style="866" bestFit="1" customWidth="1"/>
    <col min="7" max="7" width="14.5703125" style="866" bestFit="1" customWidth="1"/>
    <col min="8" max="8" width="13.85546875" style="866" bestFit="1" customWidth="1"/>
    <col min="9" max="9" width="15.5703125" style="866" bestFit="1" customWidth="1"/>
    <col min="10" max="10" width="16.7109375" style="866" bestFit="1" customWidth="1"/>
    <col min="11" max="11" width="13.85546875" style="866" bestFit="1" customWidth="1"/>
    <col min="12" max="12" width="11" style="866" bestFit="1" customWidth="1"/>
    <col min="13" max="13" width="12.42578125" style="866" bestFit="1" customWidth="1"/>
    <col min="14" max="16384" width="11.5703125" style="866"/>
  </cols>
  <sheetData>
    <row r="1" spans="1:13" ht="13.5" thickBot="1">
      <c r="A1" s="1062" t="s">
        <v>57</v>
      </c>
      <c r="B1" s="1064" t="s">
        <v>58</v>
      </c>
      <c r="C1" s="1065"/>
      <c r="D1" s="1065"/>
      <c r="E1" s="1065"/>
      <c r="F1" s="1065"/>
      <c r="G1" s="1066"/>
      <c r="H1" s="1067" t="s">
        <v>59</v>
      </c>
      <c r="I1" s="1068"/>
      <c r="J1" s="1069"/>
      <c r="K1" s="1067" t="s">
        <v>21</v>
      </c>
      <c r="L1" s="1069"/>
      <c r="M1" s="1062" t="s">
        <v>60</v>
      </c>
    </row>
    <row r="2" spans="1:13" ht="13.5" thickBot="1">
      <c r="A2" s="1063"/>
      <c r="B2" s="877" t="s">
        <v>61</v>
      </c>
      <c r="C2" s="878" t="s">
        <v>56</v>
      </c>
      <c r="D2" s="878" t="s">
        <v>62</v>
      </c>
      <c r="E2" s="879" t="s">
        <v>63</v>
      </c>
      <c r="F2" s="880" t="s">
        <v>24</v>
      </c>
      <c r="G2" s="881" t="s">
        <v>5</v>
      </c>
      <c r="H2" s="882" t="s">
        <v>64</v>
      </c>
      <c r="I2" s="883" t="s">
        <v>65</v>
      </c>
      <c r="J2" s="884" t="s">
        <v>66</v>
      </c>
      <c r="K2" s="885" t="s">
        <v>64</v>
      </c>
      <c r="L2" s="886" t="s">
        <v>67</v>
      </c>
      <c r="M2" s="1063"/>
    </row>
    <row r="3" spans="1:13">
      <c r="A3" s="887" t="s">
        <v>70</v>
      </c>
      <c r="B3" s="888" t="s">
        <v>317</v>
      </c>
      <c r="C3" s="889">
        <v>42011</v>
      </c>
      <c r="D3" s="890" t="s">
        <v>22</v>
      </c>
      <c r="E3" s="891">
        <v>165800.20000000001</v>
      </c>
      <c r="F3" s="892">
        <f>+E3*2.236</f>
        <v>370729.24720000004</v>
      </c>
      <c r="G3" s="893">
        <f>+C3+60</f>
        <v>42071</v>
      </c>
      <c r="H3" s="894"/>
      <c r="I3" s="889"/>
      <c r="J3" s="895"/>
      <c r="K3" s="896">
        <v>165266.41</v>
      </c>
      <c r="L3" s="893">
        <v>42223</v>
      </c>
      <c r="M3" s="897">
        <f>+E3-K3</f>
        <v>533.79000000000815</v>
      </c>
    </row>
    <row r="4" spans="1:13">
      <c r="A4" s="898" t="s">
        <v>70</v>
      </c>
      <c r="B4" s="899" t="s">
        <v>431</v>
      </c>
      <c r="C4" s="900">
        <v>42031</v>
      </c>
      <c r="D4" s="901" t="s">
        <v>22</v>
      </c>
      <c r="E4" s="902">
        <v>252587.8</v>
      </c>
      <c r="F4" s="903">
        <f>E4*2.18405</f>
        <v>551664.38459000003</v>
      </c>
      <c r="G4" s="904">
        <f t="shared" ref="G4:G10" si="0">C4+60</f>
        <v>42091</v>
      </c>
      <c r="H4" s="905"/>
      <c r="I4" s="900"/>
      <c r="J4" s="906"/>
      <c r="K4" s="907">
        <v>250141.85</v>
      </c>
      <c r="L4" s="904"/>
      <c r="M4" s="908">
        <f>E4-K4</f>
        <v>2445.9499999999825</v>
      </c>
    </row>
    <row r="5" spans="1:13">
      <c r="A5" s="898" t="s">
        <v>263</v>
      </c>
      <c r="B5" s="899" t="s">
        <v>439</v>
      </c>
      <c r="C5" s="900">
        <v>42051</v>
      </c>
      <c r="D5" s="901" t="s">
        <v>22</v>
      </c>
      <c r="E5" s="902">
        <v>56976.2</v>
      </c>
      <c r="F5" s="903">
        <f>E5*2.19125</f>
        <v>124849.09825</v>
      </c>
      <c r="G5" s="904">
        <f t="shared" si="0"/>
        <v>42111</v>
      </c>
      <c r="H5" s="905"/>
      <c r="I5" s="900"/>
      <c r="J5" s="906"/>
      <c r="K5" s="907">
        <f>13500+39699.2+3777</f>
        <v>56976.2</v>
      </c>
      <c r="L5" s="904">
        <v>42223</v>
      </c>
      <c r="M5" s="908">
        <f>E5-K5</f>
        <v>0</v>
      </c>
    </row>
    <row r="6" spans="1:13">
      <c r="A6" s="898" t="s">
        <v>70</v>
      </c>
      <c r="B6" s="899" t="s">
        <v>461</v>
      </c>
      <c r="C6" s="900">
        <v>42058</v>
      </c>
      <c r="D6" s="901" t="s">
        <v>22</v>
      </c>
      <c r="E6" s="902">
        <v>306358.5</v>
      </c>
      <c r="F6" s="903">
        <f>2.18605*E6</f>
        <v>669714.99892499996</v>
      </c>
      <c r="G6" s="904">
        <f t="shared" si="0"/>
        <v>42118</v>
      </c>
      <c r="H6" s="905"/>
      <c r="I6" s="900"/>
      <c r="J6" s="906"/>
      <c r="K6" s="907">
        <v>305572.47999999998</v>
      </c>
      <c r="L6" s="904">
        <v>42227</v>
      </c>
      <c r="M6" s="908">
        <f>E6-K6</f>
        <v>786.02000000001863</v>
      </c>
    </row>
    <row r="7" spans="1:13">
      <c r="A7" s="898" t="s">
        <v>263</v>
      </c>
      <c r="B7" s="899" t="s">
        <v>474</v>
      </c>
      <c r="C7" s="900">
        <v>42089</v>
      </c>
      <c r="D7" s="901" t="s">
        <v>22</v>
      </c>
      <c r="E7" s="902">
        <v>24196.48</v>
      </c>
      <c r="F7" s="903">
        <f>+E7*2.10835</f>
        <v>51014.648608000003</v>
      </c>
      <c r="G7" s="904">
        <f t="shared" si="0"/>
        <v>42149</v>
      </c>
      <c r="H7" s="905"/>
      <c r="I7" s="900"/>
      <c r="J7" s="906"/>
      <c r="K7" s="907">
        <f>27975-3777</f>
        <v>24198</v>
      </c>
      <c r="L7" s="904"/>
      <c r="M7" s="908">
        <f t="shared" ref="M7:M51" si="1">E7-K7</f>
        <v>-1.5200000000004366</v>
      </c>
    </row>
    <row r="8" spans="1:13">
      <c r="A8" s="909" t="s">
        <v>263</v>
      </c>
      <c r="B8" s="910" t="s">
        <v>475</v>
      </c>
      <c r="C8" s="911">
        <v>42089</v>
      </c>
      <c r="D8" s="912" t="s">
        <v>23</v>
      </c>
      <c r="E8" s="913">
        <v>31976.16</v>
      </c>
      <c r="F8" s="914">
        <f>+E8*1.93835</f>
        <v>61980.989736000003</v>
      </c>
      <c r="G8" s="915">
        <f t="shared" si="0"/>
        <v>42149</v>
      </c>
      <c r="H8" s="916"/>
      <c r="I8" s="911"/>
      <c r="J8" s="917"/>
      <c r="K8" s="918">
        <v>31934.16</v>
      </c>
      <c r="L8" s="915"/>
      <c r="M8" s="919">
        <f t="shared" si="1"/>
        <v>42</v>
      </c>
    </row>
    <row r="9" spans="1:13">
      <c r="A9" s="909" t="s">
        <v>139</v>
      </c>
      <c r="B9" s="910" t="s">
        <v>476</v>
      </c>
      <c r="C9" s="911">
        <v>42090</v>
      </c>
      <c r="D9" s="912" t="s">
        <v>23</v>
      </c>
      <c r="E9" s="913">
        <v>60952</v>
      </c>
      <c r="F9" s="914">
        <f>+E9*1.9518</f>
        <v>118966.1136</v>
      </c>
      <c r="G9" s="915">
        <f>C9+90</f>
        <v>42180</v>
      </c>
      <c r="H9" s="916"/>
      <c r="I9" s="911"/>
      <c r="J9" s="917"/>
      <c r="K9" s="918">
        <v>60852</v>
      </c>
      <c r="L9" s="915">
        <v>42207</v>
      </c>
      <c r="M9" s="919">
        <f t="shared" si="1"/>
        <v>100</v>
      </c>
    </row>
    <row r="10" spans="1:13">
      <c r="A10" s="898" t="s">
        <v>70</v>
      </c>
      <c r="B10" s="899" t="s">
        <v>477</v>
      </c>
      <c r="C10" s="900">
        <v>42094</v>
      </c>
      <c r="D10" s="901" t="s">
        <v>22</v>
      </c>
      <c r="E10" s="902">
        <v>329987.84999999998</v>
      </c>
      <c r="F10" s="903">
        <f>+E10*2.10835</f>
        <v>695729.88354750001</v>
      </c>
      <c r="G10" s="904">
        <f t="shared" si="0"/>
        <v>42154</v>
      </c>
      <c r="H10" s="905"/>
      <c r="I10" s="900"/>
      <c r="J10" s="906"/>
      <c r="K10" s="920">
        <v>329581.51</v>
      </c>
      <c r="L10" s="904"/>
      <c r="M10" s="908">
        <f t="shared" si="1"/>
        <v>406.3399999999674</v>
      </c>
    </row>
    <row r="11" spans="1:13">
      <c r="A11" s="909" t="s">
        <v>68</v>
      </c>
      <c r="B11" s="910" t="s">
        <v>492</v>
      </c>
      <c r="C11" s="911">
        <v>42117</v>
      </c>
      <c r="D11" s="912" t="s">
        <v>23</v>
      </c>
      <c r="E11" s="913">
        <v>104458.5</v>
      </c>
      <c r="F11" s="914">
        <f>+E11*1.9638</f>
        <v>205135.6023</v>
      </c>
      <c r="G11" s="915">
        <v>42229</v>
      </c>
      <c r="H11" s="916">
        <v>164000</v>
      </c>
      <c r="I11" s="911">
        <v>42131</v>
      </c>
      <c r="J11" s="915">
        <v>42236</v>
      </c>
      <c r="K11" s="918">
        <v>104423.5</v>
      </c>
      <c r="L11" s="915"/>
      <c r="M11" s="919">
        <f t="shared" si="1"/>
        <v>35</v>
      </c>
    </row>
    <row r="12" spans="1:13">
      <c r="A12" s="898" t="s">
        <v>263</v>
      </c>
      <c r="B12" s="899" t="s">
        <v>493</v>
      </c>
      <c r="C12" s="900">
        <v>42114</v>
      </c>
      <c r="D12" s="901" t="s">
        <v>22</v>
      </c>
      <c r="E12" s="902">
        <v>74831.81</v>
      </c>
      <c r="F12" s="903">
        <f>+E12*2.1019</f>
        <v>157288.981439</v>
      </c>
      <c r="G12" s="904">
        <v>42400</v>
      </c>
      <c r="H12" s="905"/>
      <c r="I12" s="900"/>
      <c r="J12" s="906"/>
      <c r="K12" s="907">
        <f>50000+24831.81</f>
        <v>74831.81</v>
      </c>
      <c r="L12" s="904"/>
      <c r="M12" s="908">
        <f t="shared" si="1"/>
        <v>0</v>
      </c>
    </row>
    <row r="13" spans="1:13">
      <c r="A13" s="909" t="s">
        <v>68</v>
      </c>
      <c r="B13" s="910" t="s">
        <v>500</v>
      </c>
      <c r="C13" s="911">
        <v>42119</v>
      </c>
      <c r="D13" s="912" t="s">
        <v>23</v>
      </c>
      <c r="E13" s="913">
        <v>221063.75</v>
      </c>
      <c r="F13" s="914">
        <f>E13*1.94175</f>
        <v>429250.5365625</v>
      </c>
      <c r="G13" s="915">
        <v>42236</v>
      </c>
      <c r="H13" s="921">
        <v>345000</v>
      </c>
      <c r="I13" s="922">
        <v>42131</v>
      </c>
      <c r="J13" s="923">
        <v>42243</v>
      </c>
      <c r="K13" s="918">
        <f>133480.5+87478</f>
        <v>220958.5</v>
      </c>
      <c r="L13" s="915"/>
      <c r="M13" s="919">
        <f t="shared" si="1"/>
        <v>105.25</v>
      </c>
    </row>
    <row r="14" spans="1:13">
      <c r="A14" s="898" t="s">
        <v>70</v>
      </c>
      <c r="B14" s="899" t="s">
        <v>513</v>
      </c>
      <c r="C14" s="900">
        <v>42123</v>
      </c>
      <c r="D14" s="901" t="s">
        <v>22</v>
      </c>
      <c r="E14" s="924">
        <v>253487.81</v>
      </c>
      <c r="F14" s="903">
        <f>E14*2.15215</f>
        <v>545543.79029149993</v>
      </c>
      <c r="G14" s="904">
        <v>42487</v>
      </c>
      <c r="H14" s="905"/>
      <c r="I14" s="900"/>
      <c r="J14" s="904"/>
      <c r="K14" s="907">
        <v>253240.69</v>
      </c>
      <c r="L14" s="904"/>
      <c r="M14" s="908">
        <f t="shared" si="1"/>
        <v>247.11999999999534</v>
      </c>
    </row>
    <row r="15" spans="1:13">
      <c r="A15" s="909" t="s">
        <v>68</v>
      </c>
      <c r="B15" s="910" t="s">
        <v>515</v>
      </c>
      <c r="C15" s="911">
        <v>42145</v>
      </c>
      <c r="D15" s="912" t="s">
        <v>23</v>
      </c>
      <c r="E15" s="913">
        <v>69829.38</v>
      </c>
      <c r="F15" s="914">
        <f>+E15*1.89965</f>
        <v>132651.38171700001</v>
      </c>
      <c r="G15" s="915">
        <v>42272</v>
      </c>
      <c r="H15" s="916">
        <v>105000</v>
      </c>
      <c r="I15" s="911">
        <v>42166</v>
      </c>
      <c r="J15" s="915">
        <v>42208</v>
      </c>
      <c r="K15" s="918">
        <v>69765.509999999995</v>
      </c>
      <c r="L15" s="915"/>
      <c r="M15" s="919">
        <f t="shared" si="1"/>
        <v>63.870000000009895</v>
      </c>
    </row>
    <row r="16" spans="1:13">
      <c r="A16" s="909" t="s">
        <v>68</v>
      </c>
      <c r="B16" s="910" t="s">
        <v>516</v>
      </c>
      <c r="C16" s="911">
        <v>42145</v>
      </c>
      <c r="D16" s="912" t="s">
        <v>23</v>
      </c>
      <c r="E16" s="913">
        <v>144978.1</v>
      </c>
      <c r="F16" s="914">
        <f>+E16*1.89965</f>
        <v>275407.647665</v>
      </c>
      <c r="G16" s="915">
        <v>42272</v>
      </c>
      <c r="H16" s="916">
        <v>220000</v>
      </c>
      <c r="I16" s="911">
        <v>42166</v>
      </c>
      <c r="J16" s="915">
        <v>42208</v>
      </c>
      <c r="K16" s="918">
        <f>100014.78+44922.19</f>
        <v>144936.97</v>
      </c>
      <c r="L16" s="915"/>
      <c r="M16" s="919">
        <f t="shared" si="1"/>
        <v>41.130000000004657</v>
      </c>
    </row>
    <row r="17" spans="1:13">
      <c r="A17" s="898" t="s">
        <v>70</v>
      </c>
      <c r="B17" s="899" t="s">
        <v>518</v>
      </c>
      <c r="C17" s="900">
        <v>42143</v>
      </c>
      <c r="D17" s="901" t="s">
        <v>22</v>
      </c>
      <c r="E17" s="902">
        <v>164761.72</v>
      </c>
      <c r="F17" s="903">
        <f>E17*2.15005</f>
        <v>354245.93608599994</v>
      </c>
      <c r="G17" s="904">
        <f>C17+60</f>
        <v>42203</v>
      </c>
      <c r="H17" s="905"/>
      <c r="I17" s="900"/>
      <c r="J17" s="904"/>
      <c r="K17" s="907">
        <v>164524.94</v>
      </c>
      <c r="L17" s="904">
        <v>42306</v>
      </c>
      <c r="M17" s="908">
        <f t="shared" si="1"/>
        <v>236.77999999999884</v>
      </c>
    </row>
    <row r="18" spans="1:13">
      <c r="A18" s="898" t="s">
        <v>70</v>
      </c>
      <c r="B18" s="899" t="s">
        <v>517</v>
      </c>
      <c r="C18" s="900">
        <v>42152</v>
      </c>
      <c r="D18" s="901" t="s">
        <v>22</v>
      </c>
      <c r="E18" s="924">
        <v>412650.5</v>
      </c>
      <c r="F18" s="903">
        <f>+E18*2.15815</f>
        <v>890561.67657500005</v>
      </c>
      <c r="G18" s="904">
        <f>+C18+60</f>
        <v>42212</v>
      </c>
      <c r="H18" s="905"/>
      <c r="I18" s="900"/>
      <c r="J18" s="904"/>
      <c r="K18" s="907">
        <v>412384.19</v>
      </c>
      <c r="L18" s="904"/>
      <c r="M18" s="908">
        <f t="shared" si="1"/>
        <v>266.30999999999767</v>
      </c>
    </row>
    <row r="19" spans="1:13">
      <c r="A19" s="898" t="s">
        <v>263</v>
      </c>
      <c r="B19" s="899" t="s">
        <v>539</v>
      </c>
      <c r="C19" s="900">
        <v>42163</v>
      </c>
      <c r="D19" s="901" t="s">
        <v>22</v>
      </c>
      <c r="E19" s="902">
        <v>68792.399999999994</v>
      </c>
      <c r="F19" s="903">
        <f>E19*2.1662</f>
        <v>149018.09687999997</v>
      </c>
      <c r="G19" s="904">
        <f>C19+60</f>
        <v>42223</v>
      </c>
      <c r="H19" s="905"/>
      <c r="I19" s="900"/>
      <c r="J19" s="904"/>
      <c r="K19" s="907">
        <f>11792.4+30000+27000</f>
        <v>68792.399999999994</v>
      </c>
      <c r="L19" s="904"/>
      <c r="M19" s="925">
        <f t="shared" si="1"/>
        <v>0</v>
      </c>
    </row>
    <row r="20" spans="1:13">
      <c r="A20" s="909" t="s">
        <v>68</v>
      </c>
      <c r="B20" s="910" t="s">
        <v>540</v>
      </c>
      <c r="C20" s="911">
        <v>42167</v>
      </c>
      <c r="D20" s="912" t="s">
        <v>23</v>
      </c>
      <c r="E20" s="913">
        <v>104744.07</v>
      </c>
      <c r="F20" s="914">
        <f>E20*1.91425</f>
        <v>200506.33599750002</v>
      </c>
      <c r="G20" s="915">
        <v>42297</v>
      </c>
      <c r="H20" s="916"/>
      <c r="I20" s="911"/>
      <c r="J20" s="915"/>
      <c r="K20" s="918">
        <v>104709.07</v>
      </c>
      <c r="L20" s="915"/>
      <c r="M20" s="919">
        <f t="shared" si="1"/>
        <v>35</v>
      </c>
    </row>
    <row r="21" spans="1:13">
      <c r="A21" s="841" t="s">
        <v>68</v>
      </c>
      <c r="B21" s="842" t="s">
        <v>541</v>
      </c>
      <c r="C21" s="843">
        <v>42167</v>
      </c>
      <c r="D21" s="844" t="s">
        <v>23</v>
      </c>
      <c r="E21" s="845">
        <v>181104.28</v>
      </c>
      <c r="F21" s="926">
        <f>E21*1.93475</f>
        <v>350391.50572999998</v>
      </c>
      <c r="G21" s="847">
        <v>42310</v>
      </c>
      <c r="H21" s="848"/>
      <c r="I21" s="843"/>
      <c r="J21" s="847"/>
      <c r="K21" s="850">
        <v>30189.4</v>
      </c>
      <c r="L21" s="847"/>
      <c r="M21" s="851">
        <f t="shared" si="1"/>
        <v>150914.88</v>
      </c>
    </row>
    <row r="22" spans="1:13">
      <c r="A22" s="898" t="s">
        <v>263</v>
      </c>
      <c r="B22" s="899" t="s">
        <v>561</v>
      </c>
      <c r="C22" s="900">
        <v>42180</v>
      </c>
      <c r="D22" s="901" t="s">
        <v>22</v>
      </c>
      <c r="E22" s="902">
        <v>53240.45</v>
      </c>
      <c r="F22" s="903">
        <f>E22*2.1593</f>
        <v>114962.10368499999</v>
      </c>
      <c r="G22" s="904">
        <f>+C22+60</f>
        <v>42240</v>
      </c>
      <c r="H22" s="905"/>
      <c r="I22" s="900"/>
      <c r="J22" s="904"/>
      <c r="K22" s="907">
        <f>3245.45+30000+19995</f>
        <v>53240.45</v>
      </c>
      <c r="L22" s="904"/>
      <c r="M22" s="908">
        <f t="shared" si="1"/>
        <v>0</v>
      </c>
    </row>
    <row r="23" spans="1:13">
      <c r="A23" s="854" t="s">
        <v>263</v>
      </c>
      <c r="B23" s="855" t="s">
        <v>586</v>
      </c>
      <c r="C23" s="856">
        <v>42185</v>
      </c>
      <c r="D23" s="857" t="s">
        <v>22</v>
      </c>
      <c r="E23" s="858">
        <v>60316.480000000003</v>
      </c>
      <c r="F23" s="927">
        <f>+E23*2.15375</f>
        <v>129906.61880000001</v>
      </c>
      <c r="G23" s="860">
        <f>+C23+60</f>
        <v>42245</v>
      </c>
      <c r="H23" s="861"/>
      <c r="I23" s="856"/>
      <c r="J23" s="860"/>
      <c r="K23" s="863">
        <f>10322+15000+12500+12500</f>
        <v>50322</v>
      </c>
      <c r="L23" s="860"/>
      <c r="M23" s="928">
        <f t="shared" si="1"/>
        <v>9994.4800000000032</v>
      </c>
    </row>
    <row r="24" spans="1:13">
      <c r="A24" s="909" t="s">
        <v>263</v>
      </c>
      <c r="B24" s="910" t="s">
        <v>587</v>
      </c>
      <c r="C24" s="911">
        <v>42199</v>
      </c>
      <c r="D24" s="912" t="s">
        <v>23</v>
      </c>
      <c r="E24" s="913">
        <v>21570.720000000001</v>
      </c>
      <c r="F24" s="914">
        <f>+E24*1.9564</f>
        <v>42200.956608</v>
      </c>
      <c r="G24" s="915">
        <f>+C24+60</f>
        <v>42259</v>
      </c>
      <c r="H24" s="916"/>
      <c r="I24" s="911"/>
      <c r="J24" s="915"/>
      <c r="K24" s="918">
        <v>21528.720000000001</v>
      </c>
      <c r="L24" s="915"/>
      <c r="M24" s="919">
        <f t="shared" si="1"/>
        <v>42</v>
      </c>
    </row>
    <row r="25" spans="1:13">
      <c r="A25" s="854" t="s">
        <v>263</v>
      </c>
      <c r="B25" s="855" t="s">
        <v>619</v>
      </c>
      <c r="C25" s="856">
        <v>42206</v>
      </c>
      <c r="D25" s="857" t="s">
        <v>22</v>
      </c>
      <c r="E25" s="858">
        <v>34234.15</v>
      </c>
      <c r="F25" s="927">
        <f>+E25*2.1498</f>
        <v>73596.575670000006</v>
      </c>
      <c r="G25" s="860">
        <f>+C25+60</f>
        <v>42266</v>
      </c>
      <c r="H25" s="861"/>
      <c r="I25" s="856"/>
      <c r="J25" s="860"/>
      <c r="K25" s="863"/>
      <c r="L25" s="860"/>
      <c r="M25" s="928">
        <f t="shared" si="1"/>
        <v>34234.15</v>
      </c>
    </row>
    <row r="26" spans="1:13">
      <c r="A26" s="841" t="s">
        <v>68</v>
      </c>
      <c r="B26" s="842" t="s">
        <v>620</v>
      </c>
      <c r="C26" s="843">
        <v>42215</v>
      </c>
      <c r="D26" s="844" t="s">
        <v>23</v>
      </c>
      <c r="E26" s="845">
        <v>104428.44</v>
      </c>
      <c r="F26" s="926">
        <f>+E26*1.9603</f>
        <v>204711.070932</v>
      </c>
      <c r="G26" s="847">
        <v>42347</v>
      </c>
      <c r="H26" s="848">
        <v>165000</v>
      </c>
      <c r="I26" s="843">
        <v>42284</v>
      </c>
      <c r="J26" s="847">
        <v>42307</v>
      </c>
      <c r="K26" s="850"/>
      <c r="L26" s="847"/>
      <c r="M26" s="851">
        <f t="shared" si="1"/>
        <v>104428.44</v>
      </c>
    </row>
    <row r="27" spans="1:13">
      <c r="A27" s="841" t="s">
        <v>68</v>
      </c>
      <c r="B27" s="842" t="s">
        <v>621</v>
      </c>
      <c r="C27" s="843">
        <v>42215</v>
      </c>
      <c r="D27" s="844" t="s">
        <v>23</v>
      </c>
      <c r="E27" s="845">
        <v>164628.14000000001</v>
      </c>
      <c r="F27" s="926">
        <f>+E27*1.9603</f>
        <v>322720.54284200002</v>
      </c>
      <c r="G27" s="847">
        <v>42347</v>
      </c>
      <c r="H27" s="848">
        <v>255000</v>
      </c>
      <c r="I27" s="843">
        <v>42284</v>
      </c>
      <c r="J27" s="847">
        <v>42307</v>
      </c>
      <c r="K27" s="850"/>
      <c r="L27" s="847"/>
      <c r="M27" s="851">
        <f t="shared" si="1"/>
        <v>164628.14000000001</v>
      </c>
    </row>
    <row r="28" spans="1:13">
      <c r="A28" s="854" t="s">
        <v>263</v>
      </c>
      <c r="B28" s="855" t="s">
        <v>622</v>
      </c>
      <c r="C28" s="856">
        <v>42212</v>
      </c>
      <c r="D28" s="857" t="s">
        <v>22</v>
      </c>
      <c r="E28" s="858">
        <v>53866.73</v>
      </c>
      <c r="F28" s="927">
        <f>+E28*2.15665</f>
        <v>116171.68325450001</v>
      </c>
      <c r="G28" s="860">
        <f>+C28+60</f>
        <v>42272</v>
      </c>
      <c r="H28" s="861"/>
      <c r="I28" s="856"/>
      <c r="J28" s="860"/>
      <c r="K28" s="863"/>
      <c r="L28" s="860"/>
      <c r="M28" s="928">
        <f t="shared" si="1"/>
        <v>53866.73</v>
      </c>
    </row>
    <row r="29" spans="1:13">
      <c r="A29" s="854" t="s">
        <v>70</v>
      </c>
      <c r="B29" s="855" t="s">
        <v>765</v>
      </c>
      <c r="C29" s="856">
        <v>42212</v>
      </c>
      <c r="D29" s="857" t="s">
        <v>22</v>
      </c>
      <c r="E29" s="858">
        <v>512068.53</v>
      </c>
      <c r="F29" s="927">
        <f>+E29*2.1567</f>
        <v>1104378.1986509999</v>
      </c>
      <c r="G29" s="860">
        <f>+C29+60</f>
        <v>42272</v>
      </c>
      <c r="H29" s="861"/>
      <c r="I29" s="856"/>
      <c r="J29" s="860"/>
      <c r="K29" s="863"/>
      <c r="L29" s="860"/>
      <c r="M29" s="928">
        <f t="shared" si="1"/>
        <v>512068.53</v>
      </c>
    </row>
    <row r="30" spans="1:13">
      <c r="A30" s="854" t="s">
        <v>70</v>
      </c>
      <c r="B30" s="855" t="s">
        <v>766</v>
      </c>
      <c r="C30" s="856">
        <v>42241</v>
      </c>
      <c r="D30" s="857" t="s">
        <v>22</v>
      </c>
      <c r="E30" s="858">
        <v>625276.09</v>
      </c>
      <c r="F30" s="927">
        <f>E30*2.181</f>
        <v>1363727.1522899999</v>
      </c>
      <c r="G30" s="860">
        <f>C30+60</f>
        <v>42301</v>
      </c>
      <c r="H30" s="861"/>
      <c r="I30" s="856"/>
      <c r="J30" s="860"/>
      <c r="K30" s="863"/>
      <c r="L30" s="860"/>
      <c r="M30" s="928">
        <f t="shared" si="1"/>
        <v>625276.09</v>
      </c>
    </row>
    <row r="31" spans="1:13">
      <c r="A31" s="841" t="s">
        <v>263</v>
      </c>
      <c r="B31" s="842" t="s">
        <v>769</v>
      </c>
      <c r="C31" s="843">
        <v>42254</v>
      </c>
      <c r="D31" s="844" t="s">
        <v>23</v>
      </c>
      <c r="E31" s="845">
        <v>14781.14</v>
      </c>
      <c r="F31" s="926">
        <f>E31*1.9484</f>
        <v>28799.573175999998</v>
      </c>
      <c r="G31" s="847">
        <f>+C31+60</f>
        <v>42314</v>
      </c>
      <c r="H31" s="848"/>
      <c r="I31" s="843"/>
      <c r="J31" s="847"/>
      <c r="K31" s="850"/>
      <c r="L31" s="847"/>
      <c r="M31" s="851">
        <f t="shared" si="1"/>
        <v>14781.14</v>
      </c>
    </row>
    <row r="32" spans="1:13">
      <c r="A32" s="854" t="s">
        <v>263</v>
      </c>
      <c r="B32" s="855" t="s">
        <v>770</v>
      </c>
      <c r="C32" s="856">
        <v>42254</v>
      </c>
      <c r="D32" s="857" t="s">
        <v>22</v>
      </c>
      <c r="E32" s="858">
        <v>54510.8</v>
      </c>
      <c r="F32" s="927">
        <f>E32*2.18515</f>
        <v>119114.27462000001</v>
      </c>
      <c r="G32" s="860">
        <f>+C32+60</f>
        <v>42314</v>
      </c>
      <c r="H32" s="861"/>
      <c r="I32" s="856"/>
      <c r="J32" s="860"/>
      <c r="K32" s="863"/>
      <c r="L32" s="860"/>
      <c r="M32" s="928">
        <f t="shared" si="1"/>
        <v>54510.8</v>
      </c>
    </row>
    <row r="33" spans="1:13">
      <c r="A33" s="841" t="s">
        <v>139</v>
      </c>
      <c r="B33" s="842" t="s">
        <v>827</v>
      </c>
      <c r="C33" s="843">
        <v>42257</v>
      </c>
      <c r="D33" s="844" t="s">
        <v>23</v>
      </c>
      <c r="E33" s="845">
        <v>57199.5</v>
      </c>
      <c r="F33" s="926">
        <f>+E33*1.92765</f>
        <v>110260.616175</v>
      </c>
      <c r="G33" s="847">
        <v>42366</v>
      </c>
      <c r="H33" s="848"/>
      <c r="I33" s="843"/>
      <c r="J33" s="847"/>
      <c r="K33" s="850"/>
      <c r="L33" s="847"/>
      <c r="M33" s="851">
        <f t="shared" si="1"/>
        <v>57199.5</v>
      </c>
    </row>
    <row r="34" spans="1:13">
      <c r="A34" s="841" t="s">
        <v>263</v>
      </c>
      <c r="B34" s="842" t="s">
        <v>828</v>
      </c>
      <c r="C34" s="843">
        <v>42257</v>
      </c>
      <c r="D34" s="844" t="s">
        <v>23</v>
      </c>
      <c r="E34" s="845">
        <v>17627.78</v>
      </c>
      <c r="F34" s="926">
        <f>+E34*1.94355</f>
        <v>34260.471818999999</v>
      </c>
      <c r="G34" s="847">
        <f>+C34+60</f>
        <v>42317</v>
      </c>
      <c r="H34" s="848"/>
      <c r="I34" s="843"/>
      <c r="J34" s="847"/>
      <c r="K34" s="850"/>
      <c r="L34" s="847"/>
      <c r="M34" s="851">
        <f t="shared" si="1"/>
        <v>17627.78</v>
      </c>
    </row>
    <row r="35" spans="1:13">
      <c r="A35" s="854" t="s">
        <v>263</v>
      </c>
      <c r="B35" s="855" t="s">
        <v>829</v>
      </c>
      <c r="C35" s="856">
        <v>42257</v>
      </c>
      <c r="D35" s="857" t="s">
        <v>22</v>
      </c>
      <c r="E35" s="858">
        <v>58227.99</v>
      </c>
      <c r="F35" s="927">
        <f>+E35*2.19075</f>
        <v>127562.96909249999</v>
      </c>
      <c r="G35" s="860">
        <f>+C35+60</f>
        <v>42317</v>
      </c>
      <c r="H35" s="861"/>
      <c r="I35" s="856"/>
      <c r="J35" s="860"/>
      <c r="K35" s="863"/>
      <c r="L35" s="860"/>
      <c r="M35" s="928">
        <f t="shared" si="1"/>
        <v>58227.99</v>
      </c>
    </row>
    <row r="36" spans="1:13">
      <c r="A36" s="841" t="s">
        <v>68</v>
      </c>
      <c r="B36" s="842" t="s">
        <v>830</v>
      </c>
      <c r="C36" s="843">
        <v>42268</v>
      </c>
      <c r="D36" s="844" t="s">
        <v>23</v>
      </c>
      <c r="E36" s="845">
        <v>123391.29</v>
      </c>
      <c r="F36" s="926">
        <f>E36*1.9496</f>
        <v>240563.65898399998</v>
      </c>
      <c r="G36" s="847">
        <v>42400</v>
      </c>
      <c r="H36" s="848"/>
      <c r="I36" s="843"/>
      <c r="J36" s="847"/>
      <c r="K36" s="850"/>
      <c r="L36" s="847"/>
      <c r="M36" s="851">
        <f t="shared" si="1"/>
        <v>123391.29</v>
      </c>
    </row>
    <row r="37" spans="1:13">
      <c r="A37" s="854" t="s">
        <v>70</v>
      </c>
      <c r="B37" s="855" t="s">
        <v>832</v>
      </c>
      <c r="C37" s="856">
        <v>42275</v>
      </c>
      <c r="D37" s="857" t="s">
        <v>22</v>
      </c>
      <c r="E37" s="858">
        <v>694484.64</v>
      </c>
      <c r="F37" s="929">
        <f>+E37*2.18915</f>
        <v>1520331.0496560002</v>
      </c>
      <c r="G37" s="860">
        <f>+C37+120</f>
        <v>42395</v>
      </c>
      <c r="H37" s="861"/>
      <c r="I37" s="856"/>
      <c r="J37" s="860"/>
      <c r="K37" s="863">
        <v>249925</v>
      </c>
      <c r="L37" s="860"/>
      <c r="M37" s="928">
        <f t="shared" si="1"/>
        <v>444559.64</v>
      </c>
    </row>
    <row r="38" spans="1:13">
      <c r="A38" s="841" t="s">
        <v>263</v>
      </c>
      <c r="B38" s="842" t="s">
        <v>1089</v>
      </c>
      <c r="C38" s="843">
        <v>42282</v>
      </c>
      <c r="D38" s="844" t="s">
        <v>23</v>
      </c>
      <c r="E38" s="845">
        <v>62641.2</v>
      </c>
      <c r="F38" s="926">
        <f>+E38*1.93585</f>
        <v>121263.96702</v>
      </c>
      <c r="G38" s="847">
        <f>+C38+60</f>
        <v>42342</v>
      </c>
      <c r="H38" s="848"/>
      <c r="I38" s="843"/>
      <c r="J38" s="847"/>
      <c r="K38" s="930"/>
      <c r="L38" s="847"/>
      <c r="M38" s="851">
        <f t="shared" si="1"/>
        <v>62641.2</v>
      </c>
    </row>
    <row r="39" spans="1:13">
      <c r="A39" s="841" t="s">
        <v>139</v>
      </c>
      <c r="B39" s="842" t="s">
        <v>1090</v>
      </c>
      <c r="C39" s="843">
        <v>42293</v>
      </c>
      <c r="D39" s="844" t="s">
        <v>23</v>
      </c>
      <c r="E39" s="845">
        <v>57816</v>
      </c>
      <c r="F39" s="926">
        <f>E39*1.94635</f>
        <v>112530.1716</v>
      </c>
      <c r="G39" s="847">
        <v>42394</v>
      </c>
      <c r="H39" s="848"/>
      <c r="I39" s="843"/>
      <c r="J39" s="847"/>
      <c r="K39" s="850"/>
      <c r="L39" s="847"/>
      <c r="M39" s="851">
        <f t="shared" si="1"/>
        <v>57816</v>
      </c>
    </row>
    <row r="40" spans="1:13">
      <c r="A40" s="841" t="s">
        <v>263</v>
      </c>
      <c r="B40" s="842" t="s">
        <v>1091</v>
      </c>
      <c r="C40" s="843">
        <v>42297</v>
      </c>
      <c r="D40" s="844" t="s">
        <v>23</v>
      </c>
      <c r="E40" s="845">
        <v>16523.330000000002</v>
      </c>
      <c r="F40" s="926">
        <f>E40*1.97865</f>
        <v>32693.886904500003</v>
      </c>
      <c r="G40" s="847">
        <f>C40+60</f>
        <v>42357</v>
      </c>
      <c r="H40" s="848"/>
      <c r="I40" s="843"/>
      <c r="J40" s="847"/>
      <c r="K40" s="850"/>
      <c r="L40" s="847"/>
      <c r="M40" s="851">
        <f t="shared" si="1"/>
        <v>16523.330000000002</v>
      </c>
    </row>
    <row r="41" spans="1:13">
      <c r="A41" s="841" t="s">
        <v>68</v>
      </c>
      <c r="B41" s="842" t="s">
        <v>1092</v>
      </c>
      <c r="C41" s="843">
        <v>42298</v>
      </c>
      <c r="D41" s="844" t="s">
        <v>23</v>
      </c>
      <c r="E41" s="845">
        <v>247949.91</v>
      </c>
      <c r="F41" s="926">
        <f>E41*1.9907</f>
        <v>493593.88583699998</v>
      </c>
      <c r="G41" s="847">
        <v>42431</v>
      </c>
      <c r="H41" s="848">
        <v>395000</v>
      </c>
      <c r="I41" s="843"/>
      <c r="J41" s="847">
        <f>+C41+90</f>
        <v>42388</v>
      </c>
      <c r="K41" s="850"/>
      <c r="L41" s="847"/>
      <c r="M41" s="851">
        <f t="shared" si="1"/>
        <v>247949.91</v>
      </c>
    </row>
    <row r="42" spans="1:13">
      <c r="A42" s="854" t="s">
        <v>263</v>
      </c>
      <c r="B42" s="855" t="s">
        <v>1093</v>
      </c>
      <c r="C42" s="856">
        <v>42300</v>
      </c>
      <c r="D42" s="857" t="s">
        <v>22</v>
      </c>
      <c r="E42" s="858">
        <v>45782.32</v>
      </c>
      <c r="F42" s="927">
        <f>E42*2.1847</f>
        <v>100020.63450399999</v>
      </c>
      <c r="G42" s="860">
        <f>C42+60</f>
        <v>42360</v>
      </c>
      <c r="H42" s="861"/>
      <c r="I42" s="856"/>
      <c r="J42" s="860"/>
      <c r="K42" s="863"/>
      <c r="L42" s="860"/>
      <c r="M42" s="928">
        <f t="shared" si="1"/>
        <v>45782.32</v>
      </c>
    </row>
    <row r="43" spans="1:13">
      <c r="A43" s="898" t="s">
        <v>70</v>
      </c>
      <c r="B43" s="899" t="s">
        <v>1105</v>
      </c>
      <c r="C43" s="900">
        <v>42304</v>
      </c>
      <c r="D43" s="901" t="s">
        <v>22</v>
      </c>
      <c r="E43" s="902">
        <v>171187.14</v>
      </c>
      <c r="F43" s="903">
        <f>+E43*2.1845</f>
        <v>373958.30733000004</v>
      </c>
      <c r="G43" s="904">
        <f>+C43+60</f>
        <v>42364</v>
      </c>
      <c r="H43" s="905"/>
      <c r="I43" s="900"/>
      <c r="J43" s="904"/>
      <c r="K43" s="907">
        <v>171112</v>
      </c>
      <c r="L43" s="904"/>
      <c r="M43" s="908">
        <f t="shared" si="1"/>
        <v>75.14000000001397</v>
      </c>
    </row>
    <row r="44" spans="1:13">
      <c r="A44" s="854" t="s">
        <v>263</v>
      </c>
      <c r="B44" s="855" t="s">
        <v>1104</v>
      </c>
      <c r="C44" s="856">
        <v>42304</v>
      </c>
      <c r="D44" s="857" t="s">
        <v>22</v>
      </c>
      <c r="E44" s="858">
        <v>53499.12</v>
      </c>
      <c r="F44" s="927">
        <f>E44*2.18275</f>
        <v>116775.20418</v>
      </c>
      <c r="G44" s="860">
        <f>C44+60</f>
        <v>42364</v>
      </c>
      <c r="H44" s="861"/>
      <c r="I44" s="856"/>
      <c r="J44" s="860"/>
      <c r="K44" s="863"/>
      <c r="L44" s="860"/>
      <c r="M44" s="928">
        <f t="shared" si="1"/>
        <v>53499.12</v>
      </c>
    </row>
    <row r="45" spans="1:13">
      <c r="A45" s="841" t="s">
        <v>68</v>
      </c>
      <c r="B45" s="842" t="s">
        <v>1130</v>
      </c>
      <c r="C45" s="843">
        <v>42317</v>
      </c>
      <c r="D45" s="844" t="s">
        <v>23</v>
      </c>
      <c r="E45" s="845">
        <v>122472.96000000001</v>
      </c>
      <c r="F45" s="926">
        <f>+E45*2.017</f>
        <v>247027.96032000001</v>
      </c>
      <c r="G45" s="847">
        <v>42442</v>
      </c>
      <c r="H45" s="848">
        <v>195000</v>
      </c>
      <c r="I45" s="843"/>
      <c r="J45" s="847">
        <f>+C45+90</f>
        <v>42407</v>
      </c>
      <c r="K45" s="850"/>
      <c r="L45" s="847"/>
      <c r="M45" s="851">
        <f t="shared" si="1"/>
        <v>122472.96000000001</v>
      </c>
    </row>
    <row r="46" spans="1:13">
      <c r="A46" s="854" t="s">
        <v>70</v>
      </c>
      <c r="B46" s="855" t="s">
        <v>1131</v>
      </c>
      <c r="C46" s="856">
        <v>42331</v>
      </c>
      <c r="D46" s="857" t="s">
        <v>22</v>
      </c>
      <c r="E46" s="858">
        <v>164761.72</v>
      </c>
      <c r="F46" s="927">
        <f>+E46*2.169</f>
        <v>357368.17067999998</v>
      </c>
      <c r="G46" s="860">
        <f>+C46+90</f>
        <v>42421</v>
      </c>
      <c r="H46" s="861"/>
      <c r="I46" s="856"/>
      <c r="J46" s="860"/>
      <c r="K46" s="863"/>
      <c r="L46" s="860"/>
      <c r="M46" s="928">
        <f t="shared" si="1"/>
        <v>164761.72</v>
      </c>
    </row>
    <row r="47" spans="1:13">
      <c r="A47" s="841" t="s">
        <v>139</v>
      </c>
      <c r="B47" s="842" t="s">
        <v>1127</v>
      </c>
      <c r="C47" s="843">
        <v>42333</v>
      </c>
      <c r="D47" s="844" t="s">
        <v>23</v>
      </c>
      <c r="E47" s="845">
        <v>61196.5</v>
      </c>
      <c r="F47" s="926">
        <f>+E47*2.0476</f>
        <v>125305.9534</v>
      </c>
      <c r="G47" s="847">
        <v>42431</v>
      </c>
      <c r="H47" s="848"/>
      <c r="I47" s="843"/>
      <c r="J47" s="847"/>
      <c r="K47" s="850"/>
      <c r="L47" s="847"/>
      <c r="M47" s="851">
        <f t="shared" si="1"/>
        <v>61196.5</v>
      </c>
    </row>
    <row r="48" spans="1:13">
      <c r="A48" s="841" t="s">
        <v>139</v>
      </c>
      <c r="B48" s="842" t="s">
        <v>1128</v>
      </c>
      <c r="C48" s="843">
        <v>42333</v>
      </c>
      <c r="D48" s="844" t="s">
        <v>23</v>
      </c>
      <c r="E48" s="845">
        <v>61861.5</v>
      </c>
      <c r="F48" s="926">
        <f>+E48*2.0476</f>
        <v>126667.60740000001</v>
      </c>
      <c r="G48" s="847">
        <v>42431</v>
      </c>
      <c r="H48" s="848"/>
      <c r="I48" s="843"/>
      <c r="J48" s="847"/>
      <c r="K48" s="850"/>
      <c r="L48" s="847"/>
      <c r="M48" s="851">
        <f t="shared" si="1"/>
        <v>61861.5</v>
      </c>
    </row>
    <row r="49" spans="1:16">
      <c r="A49" s="841" t="s">
        <v>68</v>
      </c>
      <c r="B49" s="842" t="s">
        <v>1137</v>
      </c>
      <c r="C49" s="843">
        <v>42356</v>
      </c>
      <c r="D49" s="844" t="s">
        <v>23</v>
      </c>
      <c r="E49" s="845">
        <v>217912.86</v>
      </c>
      <c r="F49" s="846">
        <f>E49*2.01185</f>
        <v>438407.98739099997</v>
      </c>
      <c r="G49" s="847">
        <f>+C49+120</f>
        <v>42476</v>
      </c>
      <c r="H49" s="848"/>
      <c r="I49" s="844"/>
      <c r="J49" s="849"/>
      <c r="K49" s="850"/>
      <c r="L49" s="849"/>
      <c r="M49" s="851">
        <f t="shared" si="1"/>
        <v>217912.86</v>
      </c>
    </row>
    <row r="50" spans="1:16">
      <c r="A50" s="854" t="s">
        <v>70</v>
      </c>
      <c r="B50" s="855" t="s">
        <v>1138</v>
      </c>
      <c r="C50" s="856">
        <v>42359</v>
      </c>
      <c r="D50" s="857" t="s">
        <v>22</v>
      </c>
      <c r="E50" s="858">
        <v>694484.64</v>
      </c>
      <c r="F50" s="859">
        <f>E50*2.19375</f>
        <v>1523525.679</v>
      </c>
      <c r="G50" s="860">
        <f>+C50+60</f>
        <v>42419</v>
      </c>
      <c r="H50" s="861"/>
      <c r="I50" s="857"/>
      <c r="J50" s="862"/>
      <c r="K50" s="863"/>
      <c r="L50" s="862"/>
      <c r="M50" s="928">
        <f t="shared" si="1"/>
        <v>694484.64</v>
      </c>
    </row>
    <row r="51" spans="1:16" ht="13.5" thickBot="1">
      <c r="A51" s="867" t="s">
        <v>68</v>
      </c>
      <c r="B51" s="868" t="s">
        <v>1139</v>
      </c>
      <c r="C51" s="869">
        <v>42363</v>
      </c>
      <c r="D51" s="870" t="s">
        <v>22</v>
      </c>
      <c r="E51" s="871">
        <v>2590.8000000000002</v>
      </c>
      <c r="F51" s="872">
        <f>+E51*2.19995</f>
        <v>5699.6304600000003</v>
      </c>
      <c r="G51" s="873">
        <f>+C51+120</f>
        <v>42483</v>
      </c>
      <c r="H51" s="874"/>
      <c r="I51" s="870"/>
      <c r="J51" s="875"/>
      <c r="K51" s="876"/>
      <c r="L51" s="875"/>
      <c r="M51" s="931">
        <f t="shared" si="1"/>
        <v>2590.8000000000002</v>
      </c>
    </row>
    <row r="53" spans="1:16">
      <c r="A53" s="866" t="s">
        <v>70</v>
      </c>
      <c r="D53" s="866" t="s">
        <v>22</v>
      </c>
      <c r="E53" s="932">
        <f>+E3+E4+E6+E10+E14+E17+E18+E29+E30+E37+E43+E46+E50</f>
        <v>4747897.1400000006</v>
      </c>
      <c r="F53" s="933">
        <f>+F3+F4+F6+F10+F14+F17+F18+F29+F30+F37+F43+F46+F50</f>
        <v>10321478.474821998</v>
      </c>
      <c r="G53" s="934">
        <f>+F53</f>
        <v>10321478.474821998</v>
      </c>
      <c r="H53" s="935">
        <f>+G53/$G$59</f>
        <v>0.63859638599408031</v>
      </c>
      <c r="I53" s="866" t="s">
        <v>1140</v>
      </c>
    </row>
    <row r="54" spans="1:16">
      <c r="A54" s="866" t="s">
        <v>263</v>
      </c>
      <c r="D54" s="866" t="s">
        <v>22</v>
      </c>
      <c r="E54" s="932">
        <f>+E5+E7+E12+E19+E22+E23+E25+E28+E32+E35+E42+E44</f>
        <v>638474.92999999993</v>
      </c>
      <c r="F54" s="933">
        <f>+F5+F7+F12+F19+F22+F23+F25+F28+F32+F35+F42+F44</f>
        <v>1380280.8889830001</v>
      </c>
      <c r="G54" s="934">
        <f>+F54+F55</f>
        <v>1701480.7342465001</v>
      </c>
      <c r="H54" s="935">
        <f t="shared" ref="H54:H58" si="2">+G54/$G$59</f>
        <v>0.10527168664633656</v>
      </c>
      <c r="I54" s="866" t="s">
        <v>1141</v>
      </c>
    </row>
    <row r="55" spans="1:16">
      <c r="D55" s="866" t="s">
        <v>23</v>
      </c>
      <c r="E55" s="932">
        <f>+E8+E24+E31+E34+E38+E40</f>
        <v>165120.33000000002</v>
      </c>
      <c r="F55" s="933">
        <f>+F8+F24+F31+F34+F38+F40</f>
        <v>321199.8452635</v>
      </c>
      <c r="G55" s="853"/>
      <c r="H55" s="935"/>
    </row>
    <row r="56" spans="1:16">
      <c r="A56" s="866" t="s">
        <v>68</v>
      </c>
      <c r="D56" s="866" t="s">
        <v>23</v>
      </c>
      <c r="E56" s="932">
        <f>+E11+E13+E15+E16+E20+E21+E26+E27+E36+E41+E45+E49</f>
        <v>1806961.6800000002</v>
      </c>
      <c r="F56" s="933">
        <f>+F11+F13+F15+F16+F20+F21+F26+F27+F36+F41+F45+F49</f>
        <v>3540368.1162780002</v>
      </c>
      <c r="G56" s="934">
        <f>+F56+F57</f>
        <v>3546067.7467380003</v>
      </c>
      <c r="H56" s="935">
        <f t="shared" si="2"/>
        <v>0.2193974490264208</v>
      </c>
      <c r="I56" s="866" t="s">
        <v>1142</v>
      </c>
    </row>
    <row r="57" spans="1:16">
      <c r="D57" s="866" t="s">
        <v>22</v>
      </c>
      <c r="E57" s="932">
        <f>+E51</f>
        <v>2590.8000000000002</v>
      </c>
      <c r="F57" s="933">
        <f>+F51</f>
        <v>5699.6304600000003</v>
      </c>
      <c r="G57" s="853"/>
      <c r="H57" s="935"/>
    </row>
    <row r="58" spans="1:16">
      <c r="A58" s="866" t="s">
        <v>139</v>
      </c>
      <c r="D58" s="866" t="s">
        <v>23</v>
      </c>
      <c r="E58" s="932">
        <f>+E9+E33+E39+E47+E48</f>
        <v>299025.5</v>
      </c>
      <c r="F58" s="933">
        <f>+F9+F33+F39+F47+F48</f>
        <v>593730.46217499999</v>
      </c>
      <c r="G58" s="934">
        <f>+F58</f>
        <v>593730.46217499999</v>
      </c>
      <c r="H58" s="935">
        <f t="shared" si="2"/>
        <v>3.6734478333162325E-2</v>
      </c>
      <c r="I58" s="866" t="s">
        <v>1143</v>
      </c>
    </row>
    <row r="59" spans="1:16">
      <c r="F59" s="933">
        <f>SUBTOTAL(9,F53:F58)</f>
        <v>16162757.417981498</v>
      </c>
      <c r="G59" s="934">
        <f>SUBTOTAL(9,G53:G58)</f>
        <v>16162757.417981498</v>
      </c>
      <c r="H59" s="853"/>
      <c r="P59" s="866" t="s">
        <v>1145</v>
      </c>
    </row>
    <row r="60" spans="1:16">
      <c r="F60" s="933"/>
      <c r="H60" s="936">
        <f>+G59/G67</f>
        <v>0.65170145427325543</v>
      </c>
    </row>
    <row r="61" spans="1:16">
      <c r="F61" s="853" t="s">
        <v>128</v>
      </c>
      <c r="G61" s="934">
        <v>8471742.8457627147</v>
      </c>
    </row>
    <row r="62" spans="1:16">
      <c r="G62" s="934">
        <v>75972.100000000006</v>
      </c>
    </row>
    <row r="63" spans="1:16">
      <c r="G63" s="934">
        <v>90389</v>
      </c>
    </row>
    <row r="64" spans="1:16">
      <c r="F64" s="866" t="s">
        <v>1144</v>
      </c>
      <c r="G64" s="934">
        <f>SUM(G61:G63)</f>
        <v>8638103.9457627144</v>
      </c>
      <c r="H64" s="936">
        <f>+G64/G67</f>
        <v>0.34829854572674446</v>
      </c>
    </row>
    <row r="67" spans="7:7">
      <c r="G67" s="933">
        <f>+G64+G59</f>
        <v>24800861.363744214</v>
      </c>
    </row>
  </sheetData>
  <mergeCells count="5">
    <mergeCell ref="A1:A2"/>
    <mergeCell ref="B1:G1"/>
    <mergeCell ref="H1:J1"/>
    <mergeCell ref="K1:L1"/>
    <mergeCell ref="M1:M2"/>
  </mergeCells>
  <pageMargins left="0.7" right="0.7" top="0.75" bottom="0.75" header="0.3" footer="0.3"/>
  <pageSetup paperSize="9" orientation="portrait" horizontalDpi="0" verticalDpi="0" r:id="rId1"/>
  <ignoredErrors>
    <ignoredError sqref="G9 G18:G51" formula="1"/>
  </ignoredErrors>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14</vt:i4>
      </vt:variant>
    </vt:vector>
  </HeadingPairs>
  <TitlesOfParts>
    <vt:vector size="29" baseType="lpstr">
      <vt:lpstr>TRESORERIE</vt:lpstr>
      <vt:lpstr>Etranger</vt:lpstr>
      <vt:lpstr>FED</vt:lpstr>
      <vt:lpstr>CMT</vt:lpstr>
      <vt:lpstr>EXP SNA</vt:lpstr>
      <vt:lpstr>EXP STA</vt:lpstr>
      <vt:lpstr>NOUR</vt:lpstr>
      <vt:lpstr>SNA</vt:lpstr>
      <vt:lpstr>SND</vt:lpstr>
      <vt:lpstr>F-H</vt:lpstr>
      <vt:lpstr>Feuil1</vt:lpstr>
      <vt:lpstr>HAZEM</vt:lpstr>
      <vt:lpstr>TAYACHI</vt:lpstr>
      <vt:lpstr>Feuil2</vt:lpstr>
      <vt:lpstr>Feuil3</vt:lpstr>
      <vt:lpstr>TRESORERIE!Impression_des_titres</vt:lpstr>
      <vt:lpstr>CMT!Zone_d_impression</vt:lpstr>
      <vt:lpstr>Etranger!Zone_d_impression</vt:lpstr>
      <vt:lpstr>'EXP SNA'!Zone_d_impression</vt:lpstr>
      <vt:lpstr>'EXP STA'!Zone_d_impression</vt:lpstr>
      <vt:lpstr>FED!Zone_d_impression</vt:lpstr>
      <vt:lpstr>Feuil1!Zone_d_impression</vt:lpstr>
      <vt:lpstr>'F-H'!Zone_d_impression</vt:lpstr>
      <vt:lpstr>HAZEM!Zone_d_impression</vt:lpstr>
      <vt:lpstr>NOUR!Zone_d_impression</vt:lpstr>
      <vt:lpstr>SNA!Zone_d_impression</vt:lpstr>
      <vt:lpstr>SND!Zone_d_impression</vt:lpstr>
      <vt:lpstr>TAYACHI!Zone_d_impression</vt:lpstr>
      <vt:lpstr>TRESORERIE!Zone_d_impression</vt:lpstr>
    </vt:vector>
  </TitlesOfParts>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IMEN</dc:creator>
  <cp:lastModifiedBy>AA</cp:lastModifiedBy>
  <cp:lastPrinted>2015-12-12T09:19:53Z</cp:lastPrinted>
  <dcterms:created xsi:type="dcterms:W3CDTF">2013-07-08T08:32:58Z</dcterms:created>
  <dcterms:modified xsi:type="dcterms:W3CDTF">2016-08-03T14:12:44Z</dcterms:modified>
</cp:coreProperties>
</file>