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28035" windowHeight="12285"/>
  </bookViews>
  <sheets>
    <sheet name="12-2016" sheetId="7" r:id="rId1"/>
    <sheet name="etranger" sheetId="3" r:id="rId2"/>
    <sheet name="CMT" sheetId="5" r:id="rId3"/>
    <sheet name="EXPORT" sheetId="1" r:id="rId4"/>
    <sheet name="FED" sheetId="6" r:id="rId5"/>
    <sheet name="CT" sheetId="12" r:id="rId6"/>
    <sheet name="TR" sheetId="13" r:id="rId7"/>
    <sheet name="Feuil1" sheetId="14" r:id="rId8"/>
  </sheets>
  <definedNames>
    <definedName name="_xlnm._FilterDatabase" localSheetId="3" hidden="1">EXPORT!$A$1:$A$85</definedName>
    <definedName name="_xlnm.Print_Area" localSheetId="0">'12-2016'!$A$1:$S$64</definedName>
    <definedName name="_xlnm.Print_Area" localSheetId="2">CMT!$B$12:$H$49</definedName>
    <definedName name="_xlnm.Print_Area" localSheetId="1">etranger!$A$5:$F$52</definedName>
    <definedName name="_xlnm.Print_Area" localSheetId="3">EXPORT!$A$2:$M$63</definedName>
    <definedName name="_xlnm.Print_Area" localSheetId="4">FED!$A$10:$H$11</definedName>
    <definedName name="_xlnm.Print_Area" localSheetId="7">Feuil1!$A$2:$G$13</definedName>
  </definedNames>
  <calcPr calcId="125725"/>
</workbook>
</file>

<file path=xl/calcChain.xml><?xml version="1.0" encoding="utf-8"?>
<calcChain xmlns="http://schemas.openxmlformats.org/spreadsheetml/2006/main">
  <c r="P67" i="7"/>
  <c r="H14" i="3"/>
  <c r="C83" i="1"/>
  <c r="B82"/>
  <c r="B81"/>
  <c r="G74"/>
  <c r="F74"/>
  <c r="M74"/>
  <c r="F69" i="7"/>
  <c r="Q42"/>
  <c r="C42"/>
  <c r="D42"/>
  <c r="C50" i="3" l="1"/>
  <c r="K17" i="1" l="1"/>
  <c r="K16"/>
  <c r="K67"/>
  <c r="K38"/>
  <c r="B42" i="7" l="1"/>
  <c r="C60"/>
  <c r="C84" i="1" l="1"/>
  <c r="C82"/>
  <c r="G73"/>
  <c r="F73"/>
  <c r="M73"/>
  <c r="K13" i="7"/>
  <c r="H27"/>
  <c r="I27"/>
  <c r="J27"/>
  <c r="K27"/>
  <c r="K42"/>
  <c r="K8"/>
  <c r="K4"/>
  <c r="C21" i="3"/>
  <c r="D20"/>
  <c r="S14" i="7"/>
  <c r="K12" i="1"/>
  <c r="K26" i="7" l="1"/>
  <c r="K63" s="1"/>
  <c r="K65" i="1"/>
  <c r="D392" i="12"/>
  <c r="M17" i="1"/>
  <c r="G17"/>
  <c r="F17"/>
  <c r="C48" i="3"/>
  <c r="D47"/>
  <c r="F47"/>
  <c r="F49"/>
  <c r="D49"/>
  <c r="F45" l="1"/>
  <c r="F44"/>
  <c r="D45"/>
  <c r="D44"/>
  <c r="C54"/>
  <c r="F53"/>
  <c r="D53"/>
  <c r="F18"/>
  <c r="C19"/>
  <c r="D18"/>
  <c r="F40"/>
  <c r="F39"/>
  <c r="F38"/>
  <c r="F37"/>
  <c r="F36"/>
  <c r="F35"/>
  <c r="F34"/>
  <c r="F33"/>
  <c r="F32"/>
  <c r="F31"/>
  <c r="F30"/>
  <c r="D40"/>
  <c r="D39"/>
  <c r="D38"/>
  <c r="D37"/>
  <c r="D36"/>
  <c r="D35"/>
  <c r="D34"/>
  <c r="D33"/>
  <c r="D32"/>
  <c r="D31"/>
  <c r="D30"/>
  <c r="F9"/>
  <c r="D9"/>
  <c r="O11" i="7"/>
  <c r="O8" s="1"/>
  <c r="F13"/>
  <c r="F61"/>
  <c r="E61"/>
  <c r="F25"/>
  <c r="B80" i="1"/>
  <c r="G72"/>
  <c r="F72"/>
  <c r="M72"/>
  <c r="D16" i="3"/>
  <c r="C17"/>
  <c r="F16"/>
  <c r="D100" i="13"/>
  <c r="D113"/>
  <c r="D115" s="1"/>
  <c r="D727" i="12"/>
  <c r="D906"/>
  <c r="D989"/>
  <c r="D1006"/>
  <c r="D1010"/>
  <c r="K54" i="1"/>
  <c r="D1012" i="12" l="1"/>
  <c r="G16" i="1"/>
  <c r="F16"/>
  <c r="M16"/>
  <c r="G71"/>
  <c r="F71"/>
  <c r="M71"/>
  <c r="K62"/>
  <c r="F42" i="7" l="1"/>
  <c r="F4"/>
  <c r="F11"/>
  <c r="C15" i="3" l="1"/>
  <c r="D14"/>
  <c r="K60" i="1"/>
  <c r="G70"/>
  <c r="F70"/>
  <c r="M70"/>
  <c r="G69" l="1"/>
  <c r="F69"/>
  <c r="M69"/>
  <c r="K45"/>
  <c r="K13"/>
  <c r="K37"/>
  <c r="G68" l="1"/>
  <c r="F68"/>
  <c r="M68"/>
  <c r="O13" i="7" l="1"/>
  <c r="I8"/>
  <c r="I60" l="1"/>
  <c r="H60"/>
  <c r="J60"/>
  <c r="O4" l="1"/>
  <c r="O27"/>
  <c r="O42"/>
  <c r="O60"/>
  <c r="E7" i="6"/>
  <c r="C42" i="3"/>
  <c r="F51"/>
  <c r="C52"/>
  <c r="D51"/>
  <c r="O26" i="7" l="1"/>
  <c r="O63" s="1"/>
  <c r="C11" i="3"/>
  <c r="F29"/>
  <c r="F28"/>
  <c r="D29"/>
  <c r="D28"/>
  <c r="F27"/>
  <c r="D27"/>
  <c r="F12"/>
  <c r="D12"/>
  <c r="F8"/>
  <c r="D8"/>
  <c r="K48" i="1" l="1"/>
  <c r="K14"/>
  <c r="K59"/>
  <c r="M67"/>
  <c r="G67"/>
  <c r="F67"/>
  <c r="M66"/>
  <c r="G66"/>
  <c r="F66"/>
  <c r="G64" l="1"/>
  <c r="F64"/>
  <c r="M64"/>
  <c r="F65"/>
  <c r="M65"/>
  <c r="G65"/>
  <c r="K56"/>
  <c r="K53" l="1"/>
  <c r="I42" i="7"/>
  <c r="K43" i="1"/>
  <c r="C46" i="3" l="1"/>
  <c r="C13"/>
  <c r="F26"/>
  <c r="D26"/>
  <c r="F7"/>
  <c r="D7"/>
  <c r="F25"/>
  <c r="D25"/>
  <c r="N8" i="7" l="1"/>
  <c r="D85" i="1"/>
  <c r="G63"/>
  <c r="F63"/>
  <c r="M63"/>
  <c r="I26" i="7" l="1"/>
  <c r="I4"/>
  <c r="I63" l="1"/>
  <c r="E10" i="6" l="1"/>
  <c r="E11" s="1"/>
  <c r="E8"/>
  <c r="M62" i="1"/>
  <c r="G62"/>
  <c r="F62"/>
  <c r="M61"/>
  <c r="G61"/>
  <c r="F61"/>
  <c r="M60"/>
  <c r="G60"/>
  <c r="F60" l="1"/>
  <c r="M59"/>
  <c r="G59"/>
  <c r="F59"/>
  <c r="M58"/>
  <c r="F58"/>
  <c r="M57"/>
  <c r="F57"/>
  <c r="M56"/>
  <c r="G56"/>
  <c r="F56"/>
  <c r="M55" l="1"/>
  <c r="G55"/>
  <c r="F55"/>
  <c r="M54"/>
  <c r="F54" l="1"/>
  <c r="M53"/>
  <c r="G53" l="1"/>
  <c r="F53"/>
  <c r="M52"/>
  <c r="K52"/>
  <c r="G52"/>
  <c r="F52"/>
  <c r="M51"/>
  <c r="G51" l="1"/>
  <c r="F51"/>
  <c r="M50"/>
  <c r="G50"/>
  <c r="F50"/>
  <c r="M49"/>
  <c r="F49"/>
  <c r="M48"/>
  <c r="F48"/>
  <c r="M47"/>
  <c r="G47"/>
  <c r="F47"/>
  <c r="M46"/>
  <c r="K46"/>
  <c r="F46"/>
  <c r="M45"/>
  <c r="F45"/>
  <c r="M44"/>
  <c r="F44"/>
  <c r="M43"/>
  <c r="F43"/>
  <c r="M42"/>
  <c r="F42"/>
  <c r="M41"/>
  <c r="F41"/>
  <c r="M40"/>
  <c r="G40"/>
  <c r="F40" l="1"/>
  <c r="M39"/>
  <c r="K39"/>
  <c r="F39"/>
  <c r="M38"/>
  <c r="G38"/>
  <c r="F38"/>
  <c r="M37"/>
  <c r="G37"/>
  <c r="F37" l="1"/>
  <c r="M36"/>
  <c r="K36"/>
  <c r="G36"/>
  <c r="F36"/>
  <c r="M35"/>
  <c r="G35"/>
  <c r="F35"/>
  <c r="M34"/>
  <c r="G34"/>
  <c r="F34"/>
  <c r="M33"/>
  <c r="F33"/>
  <c r="M32"/>
  <c r="F32"/>
  <c r="M31"/>
  <c r="K31"/>
  <c r="F31"/>
  <c r="M30" l="1"/>
  <c r="K30" l="1"/>
  <c r="F30"/>
  <c r="M29"/>
  <c r="F29"/>
  <c r="K28"/>
  <c r="M28" s="1"/>
  <c r="F28"/>
  <c r="M27"/>
  <c r="K27"/>
  <c r="F27"/>
  <c r="M26"/>
  <c r="F26"/>
  <c r="M25"/>
  <c r="F25"/>
  <c r="M24"/>
  <c r="K24" l="1"/>
  <c r="F24"/>
  <c r="M23"/>
  <c r="G23"/>
  <c r="F23"/>
  <c r="M15"/>
  <c r="F15"/>
  <c r="M14"/>
  <c r="F14"/>
  <c r="M13"/>
  <c r="F13"/>
  <c r="M12"/>
  <c r="G12"/>
  <c r="F12"/>
  <c r="M11"/>
  <c r="G11"/>
  <c r="F11"/>
  <c r="M10"/>
  <c r="K10"/>
  <c r="B85" l="1"/>
  <c r="F10"/>
  <c r="M9"/>
  <c r="G9"/>
  <c r="F9"/>
  <c r="M8"/>
  <c r="K8"/>
  <c r="F8"/>
  <c r="M7"/>
  <c r="G7"/>
  <c r="F7"/>
  <c r="M6"/>
  <c r="F6"/>
  <c r="M5"/>
  <c r="F5"/>
  <c r="M4"/>
  <c r="K4"/>
  <c r="J4"/>
  <c r="F4"/>
  <c r="C85" l="1"/>
  <c r="F49" i="5"/>
  <c r="E49" s="1"/>
  <c r="D49"/>
  <c r="F47" s="1"/>
  <c r="E47"/>
  <c r="D47"/>
  <c r="F46"/>
  <c r="F45"/>
  <c r="F44" s="1"/>
  <c r="E44"/>
  <c r="D44"/>
  <c r="F43"/>
  <c r="F42" s="1"/>
  <c r="E42"/>
  <c r="D42"/>
  <c r="F41"/>
  <c r="F40"/>
  <c r="F39" s="1"/>
  <c r="E39"/>
  <c r="D39"/>
  <c r="F38"/>
  <c r="F37" s="1"/>
  <c r="E37"/>
  <c r="D37"/>
  <c r="F36"/>
  <c r="F35"/>
  <c r="F34"/>
  <c r="E34"/>
  <c r="D34"/>
  <c r="F33"/>
  <c r="F32"/>
  <c r="F31" s="1"/>
  <c r="E31"/>
  <c r="D31"/>
  <c r="F30"/>
  <c r="F29"/>
  <c r="F28"/>
  <c r="F27" s="1"/>
  <c r="E27"/>
  <c r="D27"/>
  <c r="F26"/>
  <c r="F25"/>
  <c r="F24"/>
  <c r="E24"/>
  <c r="D24"/>
  <c r="F23"/>
  <c r="F22"/>
  <c r="F21"/>
  <c r="F20" s="1"/>
  <c r="E20"/>
  <c r="D20"/>
  <c r="F19"/>
  <c r="F18"/>
  <c r="F17" s="1"/>
  <c r="E17"/>
  <c r="D17"/>
  <c r="F16"/>
  <c r="F10" s="1"/>
  <c r="E10"/>
  <c r="D10" s="1"/>
  <c r="F8"/>
  <c r="E8"/>
  <c r="D8"/>
  <c r="F7"/>
  <c r="F6"/>
  <c r="E6"/>
  <c r="D6"/>
  <c r="F5"/>
  <c r="F43" i="3" l="1"/>
  <c r="D43" l="1"/>
  <c r="A1" l="1"/>
  <c r="V60" i="7" l="1"/>
  <c r="U60"/>
  <c r="T60"/>
  <c r="S60"/>
  <c r="R60"/>
  <c r="Q60"/>
  <c r="P60"/>
  <c r="N60" l="1"/>
  <c r="M60"/>
  <c r="L60"/>
  <c r="G60"/>
  <c r="F60"/>
  <c r="F26" s="1"/>
  <c r="E60"/>
  <c r="D60"/>
  <c r="B60"/>
  <c r="V42"/>
  <c r="U42"/>
  <c r="T42"/>
  <c r="S42"/>
  <c r="R42"/>
  <c r="P42"/>
  <c r="N42"/>
  <c r="M42"/>
  <c r="L42"/>
  <c r="J42"/>
  <c r="H42"/>
  <c r="G42"/>
  <c r="E42" l="1"/>
  <c r="V27"/>
  <c r="U27"/>
  <c r="T27"/>
  <c r="S27"/>
  <c r="R27"/>
  <c r="Q27"/>
  <c r="P27"/>
  <c r="N27"/>
  <c r="M27"/>
  <c r="L27" l="1"/>
  <c r="G27"/>
  <c r="F27"/>
  <c r="E27"/>
  <c r="D27"/>
  <c r="B27"/>
  <c r="V26" l="1"/>
  <c r="U26"/>
  <c r="T26"/>
  <c r="S26"/>
  <c r="R26"/>
  <c r="Q26"/>
  <c r="P26"/>
  <c r="N26"/>
  <c r="M26"/>
  <c r="L26"/>
  <c r="J26"/>
  <c r="H26"/>
  <c r="G26"/>
  <c r="E26"/>
  <c r="D26" l="1"/>
  <c r="C26" l="1"/>
  <c r="B26"/>
  <c r="V13" l="1"/>
  <c r="U13"/>
  <c r="T13"/>
  <c r="S13"/>
  <c r="R13"/>
  <c r="Q13"/>
  <c r="P13"/>
  <c r="N13"/>
  <c r="M13" l="1"/>
  <c r="L13" l="1"/>
  <c r="J13"/>
  <c r="F8"/>
  <c r="E13"/>
  <c r="V9" l="1"/>
  <c r="U9"/>
  <c r="T9"/>
  <c r="T8" s="1"/>
  <c r="V8"/>
  <c r="M8"/>
  <c r="U8" l="1"/>
  <c r="S8"/>
  <c r="R8" s="1"/>
  <c r="Q8"/>
  <c r="L8"/>
  <c r="J8" s="1"/>
  <c r="H8"/>
  <c r="G8"/>
  <c r="P8" l="1"/>
  <c r="E8"/>
  <c r="D8"/>
  <c r="C8"/>
  <c r="B8"/>
  <c r="V4"/>
  <c r="V63" s="1"/>
  <c r="U4"/>
  <c r="U63" s="1"/>
  <c r="T4"/>
  <c r="T63" s="1"/>
  <c r="S4"/>
  <c r="S63" s="1"/>
  <c r="R4"/>
  <c r="R63" s="1"/>
  <c r="Q4" l="1"/>
  <c r="Q63" s="1"/>
  <c r="Q66" s="1"/>
  <c r="P4"/>
  <c r="P63" s="1"/>
  <c r="N4"/>
  <c r="N63" s="1"/>
  <c r="M4" l="1"/>
  <c r="M63" s="1"/>
  <c r="L4"/>
  <c r="L63" s="1"/>
  <c r="J4"/>
  <c r="H4"/>
  <c r="H63" s="1"/>
  <c r="G4"/>
  <c r="G63" s="1"/>
  <c r="F63"/>
  <c r="E4"/>
  <c r="E63" s="1"/>
  <c r="D4"/>
  <c r="D63" s="1"/>
  <c r="C4"/>
  <c r="C63" s="1"/>
  <c r="B4"/>
  <c r="B63" s="1"/>
  <c r="F66" l="1"/>
  <c r="J63"/>
</calcChain>
</file>

<file path=xl/sharedStrings.xml><?xml version="1.0" encoding="utf-8"?>
<sst xmlns="http://schemas.openxmlformats.org/spreadsheetml/2006/main" count="2740" uniqueCount="986">
  <si>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</si>
  <si>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</si>
  <si>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</si>
  <si>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</si>
  <si>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</si>
  <si>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</si>
  <si>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</si>
  <si>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</si>
  <si>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</si>
  <si>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</si>
  <si>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</si>
  <si>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</si>
  <si>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</si>
  <si>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</si>
  <si>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</si>
  <si>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</si>
  <si>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</si>
  <si>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</si>
  <si>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</si>
  <si>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</si>
  <si>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</si>
  <si>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</si>
  <si>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</si>
  <si>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</si>
  <si>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</si>
  <si>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</si>
  <si>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</si>
  <si>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</si>
  <si>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</si>
  <si>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</si>
  <si>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</si>
  <si>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</si>
  <si>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</si>
  <si>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</si>
  <si>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</si>
  <si>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</si>
  <si>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</si>
  <si>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</si>
  <si>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</si>
  <si>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</si>
  <si>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</si>
  <si>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</si>
  <si>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</si>
  <si>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</si>
  <si>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</si>
  <si>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</si>
  <si>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</si>
  <si>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</si>
  <si>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</si>
  <si>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</si>
  <si>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</si>
  <si>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</si>
  <si>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</si>
  <si>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</si>
  <si>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</si>
  <si>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</si>
  <si>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</si>
  <si>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</si>
  <si>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</si>
  <si>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</si>
  <si>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</si>
  <si>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</si>
  <si>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</si>
  <si>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</si>
  <si>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</si>
  <si>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</si>
  <si>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</si>
  <si>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Agic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</si>
  <si>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</si>
  <si>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</si>
  <si>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</si>
  <si>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</si>
  <si>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</si>
  <si>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</si>
  <si>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</si>
  <si>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</si>
  <si>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</si>
  <si>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</si>
  <si>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</si>
  <si>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</si>
  <si>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 xml:space="preserve">DARAMIC </t>
  </si>
  <si>
    <t>S N A</t>
  </si>
  <si>
    <t>DARAMIC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</si>
  <si>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</si>
  <si>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</si>
  <si>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</si>
  <si>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</si>
  <si>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</si>
  <si>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</si>
  <si>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</si>
  <si>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</si>
  <si>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</si>
  <si>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</si>
  <si>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</si>
  <si>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</si>
  <si>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</si>
  <si>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</si>
  <si>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Hazem</t>
  </si>
  <si>
    <t>Leasing</t>
  </si>
  <si>
    <t>Steg</t>
  </si>
  <si>
    <t>Salaires</t>
  </si>
  <si>
    <t>Recette des Finances</t>
  </si>
  <si>
    <t>Local</t>
  </si>
  <si>
    <t>Wirtz</t>
  </si>
  <si>
    <t>Augmentation Capital</t>
  </si>
  <si>
    <t>Escompte</t>
  </si>
  <si>
    <t>Espece</t>
  </si>
  <si>
    <t>Cheque</t>
  </si>
  <si>
    <t>STB TH</t>
  </si>
  <si>
    <t>STB MEG</t>
  </si>
  <si>
    <t>STB 2</t>
  </si>
  <si>
    <t>STB</t>
  </si>
  <si>
    <t>STUSID</t>
  </si>
  <si>
    <t>SND</t>
  </si>
  <si>
    <t>TOTAL 2016</t>
  </si>
  <si>
    <t>Total 12/2016</t>
  </si>
  <si>
    <t>STB 1000MD</t>
  </si>
  <si>
    <t>BTK300MD</t>
  </si>
  <si>
    <t>Total 11/2016</t>
  </si>
  <si>
    <t>STUSIDE 800MD</t>
  </si>
  <si>
    <t>Total 09/2016</t>
  </si>
  <si>
    <t>Total 08/2016</t>
  </si>
  <si>
    <t>Total 07/2016</t>
  </si>
  <si>
    <t>BTK 1488MD</t>
  </si>
  <si>
    <t>STB 2418MD</t>
  </si>
  <si>
    <t>Total 06/2016</t>
  </si>
  <si>
    <t>Total 05/2016</t>
  </si>
  <si>
    <t>STB 200MD</t>
  </si>
  <si>
    <t>STB 800MD</t>
  </si>
  <si>
    <t>Total 03/2016</t>
  </si>
  <si>
    <t>Total 02/2016</t>
  </si>
  <si>
    <t>Total 01/2016</t>
  </si>
  <si>
    <t>INT</t>
  </si>
  <si>
    <t>PP</t>
  </si>
  <si>
    <t>Total</t>
  </si>
  <si>
    <t>Intérêt</t>
  </si>
  <si>
    <t>Principal</t>
  </si>
  <si>
    <t>Crédit</t>
  </si>
  <si>
    <t>ECHEANCIER 2016</t>
  </si>
  <si>
    <t>SNA-NOUR</t>
  </si>
  <si>
    <t>Total 12/ 2016</t>
  </si>
  <si>
    <t>STB 87MD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</si>
  <si>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</si>
  <si>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</si>
  <si>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</si>
  <si>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</si>
  <si>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</si>
  <si>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</si>
  <si>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</si>
  <si>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</si>
  <si>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</si>
  <si>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</si>
  <si>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</si>
  <si>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Stusid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</si>
  <si>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</si>
  <si>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</si>
  <si>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</si>
  <si>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</si>
  <si>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</si>
  <si>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</si>
  <si>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</si>
  <si>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HAMDI JAMEL</t>
  </si>
  <si>
    <t>1R05036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</si>
  <si>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</si>
  <si>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</si>
  <si>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</si>
  <si>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</si>
  <si>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</si>
  <si>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</si>
  <si>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</si>
  <si>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</si>
  <si>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</si>
  <si>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1R06141</t>
  </si>
  <si>
    <t>SOCIETE ULTRA SERVICE</t>
  </si>
  <si>
    <t>1R02185</t>
  </si>
  <si>
    <t>Echéance</t>
  </si>
  <si>
    <t>Nom</t>
  </si>
  <si>
    <t>Adr fact</t>
  </si>
  <si>
    <t>GHARBI JALEL BEN BRAHIM</t>
  </si>
  <si>
    <t>8R09006</t>
  </si>
  <si>
    <t>MOHAMED NACEUR ABDELLI</t>
  </si>
  <si>
    <t>7r17011</t>
  </si>
  <si>
    <t>SAHAR BT HABIB HAJ MAHMOUD</t>
  </si>
  <si>
    <t>4R15042</t>
  </si>
  <si>
    <t>ETS. JEDIDI RIADH</t>
  </si>
  <si>
    <t>4R12147</t>
  </si>
  <si>
    <t>ZOUARI FRERES</t>
  </si>
  <si>
    <t>3R18119</t>
  </si>
  <si>
    <t>SOCIETE PIECE AUTO ESSAID</t>
  </si>
  <si>
    <t>1R06103</t>
  </si>
  <si>
    <t>KHALED DRIDI</t>
  </si>
  <si>
    <t>1R02193</t>
  </si>
  <si>
    <t>BELGACEM BEN BOUBAKER MEJRI</t>
  </si>
  <si>
    <t>1R04105</t>
  </si>
  <si>
    <t>STE COMPTOIR NORD DE PIECES</t>
  </si>
  <si>
    <t>1R06136</t>
  </si>
  <si>
    <t>MOHAMED ZARAGA  Z P A</t>
  </si>
  <si>
    <t>1R02199</t>
  </si>
  <si>
    <t>STE CDTPR</t>
  </si>
  <si>
    <t>3r18234</t>
  </si>
  <si>
    <t>FATHI NAJJAR</t>
  </si>
  <si>
    <t>1R05071</t>
  </si>
  <si>
    <t>ETS RACHED KALBOUSSI</t>
  </si>
  <si>
    <t>4R13083</t>
  </si>
  <si>
    <t>MAKNI HANEN</t>
  </si>
  <si>
    <t>3R18373</t>
  </si>
  <si>
    <t>ANIS BEN KHALIPHA RHAIEM</t>
  </si>
  <si>
    <t>3R15038</t>
  </si>
  <si>
    <t>MED MAJID B.ABDESSALEM</t>
  </si>
  <si>
    <t>6R21066</t>
  </si>
  <si>
    <t>SIRAJ BEN ZINA</t>
  </si>
  <si>
    <t>3R18072</t>
  </si>
  <si>
    <t>NOUREDDINE CHENIB</t>
  </si>
  <si>
    <t>1R02173</t>
  </si>
  <si>
    <t>ZNAIDI HASSINE</t>
  </si>
  <si>
    <t>1R02239</t>
  </si>
  <si>
    <t>MANAI WAHID</t>
  </si>
  <si>
    <t>1R01518</t>
  </si>
  <si>
    <t>MAHDI BEN ELHEDI</t>
  </si>
  <si>
    <t>1R04136</t>
  </si>
  <si>
    <t>AYMEN LAABIDI</t>
  </si>
  <si>
    <t>8R08035</t>
  </si>
  <si>
    <t>HAMIDA SHILI</t>
  </si>
  <si>
    <t>4R14039</t>
  </si>
  <si>
    <t>STE MESTIRI ET FILS</t>
  </si>
  <si>
    <t>4R12189</t>
  </si>
  <si>
    <t>ISMAIL TOUNSI</t>
  </si>
  <si>
    <t>3R18104</t>
  </si>
  <si>
    <t>GUIDARA ABDALLAH</t>
  </si>
  <si>
    <t>3R18264</t>
  </si>
  <si>
    <t>ALI YAHYAOUI</t>
  </si>
  <si>
    <t>1R01161</t>
  </si>
  <si>
    <t>NAJET BEN MOHAMED BEN HRIZ</t>
  </si>
  <si>
    <t>1R01502</t>
  </si>
  <si>
    <t>COMPTOIR METOUIEN AUTOMOBILE</t>
  </si>
  <si>
    <t>1R01445</t>
  </si>
  <si>
    <t>DABBOUSSI MUSTAPHA</t>
  </si>
  <si>
    <t>8R10047</t>
  </si>
  <si>
    <t>KOUKI FAOUZI</t>
  </si>
  <si>
    <t>8R09044</t>
  </si>
  <si>
    <t>LOTFI B BELGACEM BOUROUISSIA</t>
  </si>
  <si>
    <t>8R09054</t>
  </si>
  <si>
    <t>ALI BEN AHMED CHAABANI</t>
  </si>
  <si>
    <t>7R16027</t>
  </si>
  <si>
    <t>MOUHAMED GDEMME</t>
  </si>
  <si>
    <t>6R21074</t>
  </si>
  <si>
    <t>SOCIETE AUTOS PIECES</t>
  </si>
  <si>
    <t>1R06038</t>
  </si>
  <si>
    <t>LES EQUIPEMENTS MARITIMES DE</t>
  </si>
  <si>
    <t>1R02194</t>
  </si>
  <si>
    <t>STE CHERIF ELECTRICITE AUTO</t>
  </si>
  <si>
    <t>1R05206</t>
  </si>
  <si>
    <t>STE. COMMERCIALE DES PIECES</t>
  </si>
  <si>
    <t>1R05042</t>
  </si>
  <si>
    <t>STE SO CO PA</t>
  </si>
  <si>
    <t>1R02224</t>
  </si>
  <si>
    <t>STE MED ALI DE PIECES DE</t>
  </si>
  <si>
    <t>1R06020</t>
  </si>
  <si>
    <t>BOUAZIZ SLAH</t>
  </si>
  <si>
    <t>1R07041</t>
  </si>
  <si>
    <t>AYMEN BEN HAMMADI BENAMOR</t>
  </si>
  <si>
    <t>1R05173</t>
  </si>
  <si>
    <t>STE MAIS</t>
  </si>
  <si>
    <t>8R10052</t>
  </si>
  <si>
    <t>SAMIR BEN SLIMEN AOUADI</t>
  </si>
  <si>
    <t>8R09060</t>
  </si>
  <si>
    <t>FEKRI BEN MOHAMED BAKLOUTI</t>
  </si>
  <si>
    <t>8R11063</t>
  </si>
  <si>
    <t>TAIEB GHRIBI</t>
  </si>
  <si>
    <t>6R23048</t>
  </si>
  <si>
    <t>STE EQUIP.INDUSTRIEL &amp; MARIT</t>
  </si>
  <si>
    <t>6R23155</t>
  </si>
  <si>
    <t>STE BEN AMOR AUTO</t>
  </si>
  <si>
    <t>1R02248</t>
  </si>
  <si>
    <t>STE ARFA AUTO PLUS</t>
  </si>
  <si>
    <t>1R02231</t>
  </si>
  <si>
    <t>AWADNI MAATOUG</t>
  </si>
  <si>
    <t>6R23139</t>
  </si>
  <si>
    <t>STE SLIM VENTE PIECES AUTOS</t>
  </si>
  <si>
    <t>3R18380</t>
  </si>
  <si>
    <t>BELEL HABIB</t>
  </si>
  <si>
    <t>3R18120</t>
  </si>
  <si>
    <t>STE MDIALE PCE AUTOMOBILES</t>
  </si>
  <si>
    <t>1R05195</t>
  </si>
  <si>
    <t>HASSINE BEN ALI HADROUG</t>
  </si>
  <si>
    <t>4R13103</t>
  </si>
  <si>
    <t>NOURA BT ABIDIB BRAHIM</t>
  </si>
  <si>
    <t>8R08032</t>
  </si>
  <si>
    <t>NEGGAZ MONGI</t>
  </si>
  <si>
    <t>4R13090</t>
  </si>
  <si>
    <t>STE MAHDIA AUTO</t>
  </si>
  <si>
    <t>4R15037</t>
  </si>
  <si>
    <t>STE GHAMMAM ET CIE</t>
  </si>
  <si>
    <t>1R05166</t>
  </si>
  <si>
    <t>STE BATTERY CENTER</t>
  </si>
  <si>
    <t>1R05192</t>
  </si>
  <si>
    <t>HAJJAJI NASREDDINE</t>
  </si>
  <si>
    <t>8R10044</t>
  </si>
  <si>
    <t>ZEYNEB BEN MOHAMED HEDI SAID</t>
  </si>
  <si>
    <t>6R21158</t>
  </si>
  <si>
    <t>SOCIETE MANNAI BATIMENT</t>
  </si>
  <si>
    <t>4R13028</t>
  </si>
  <si>
    <t>STE GLOBAL PIECES AUTOS</t>
  </si>
  <si>
    <t>1R02243</t>
  </si>
  <si>
    <t>SALIM AUTOS</t>
  </si>
  <si>
    <t>1R01495</t>
  </si>
  <si>
    <t>SOCIETE WORLD PARTS</t>
  </si>
  <si>
    <t>4R13115</t>
  </si>
  <si>
    <t>SOUADI ABDELKADER</t>
  </si>
  <si>
    <t>8R09023</t>
  </si>
  <si>
    <t>MOHAMED AMINE BEN AMOR</t>
  </si>
  <si>
    <t>3R18375</t>
  </si>
  <si>
    <t>STE ARIJ PIECES AUTOS</t>
  </si>
  <si>
    <t>1R02233</t>
  </si>
  <si>
    <t>EQUIP AUTO TAHER MESTIRI</t>
  </si>
  <si>
    <t>4R12231</t>
  </si>
  <si>
    <t>SALEM AGIL</t>
  </si>
  <si>
    <t>7R16041</t>
  </si>
  <si>
    <t>YACOUBI BEN MOULDI EL ABED</t>
  </si>
  <si>
    <t>7R19018</t>
  </si>
  <si>
    <t>SMPA MASMOUDI PIECES AUTOS</t>
  </si>
  <si>
    <t>1R02238</t>
  </si>
  <si>
    <t>STE.GUEDRI MOHSEN ET FRERES</t>
  </si>
  <si>
    <t>1R07013</t>
  </si>
  <si>
    <t>MATERIELS POIDS LOURDS</t>
  </si>
  <si>
    <t>1R01465</t>
  </si>
  <si>
    <t>GHRIBI ABDELMOUTALAB B.AMMAR</t>
  </si>
  <si>
    <t>6R23152</t>
  </si>
  <si>
    <t>STE POLYMEC</t>
  </si>
  <si>
    <t>1R02255</t>
  </si>
  <si>
    <t>ETS.AMOR SGHAIER ET CIE</t>
  </si>
  <si>
    <t>4R13031</t>
  </si>
  <si>
    <t>STE DREAM CAR</t>
  </si>
  <si>
    <t>3R18381</t>
  </si>
  <si>
    <t>RIDHA BEN ALI MENSI</t>
  </si>
  <si>
    <t>8R08026</t>
  </si>
  <si>
    <t>NABIL B AHMED B SALAH SMAII</t>
  </si>
  <si>
    <t>7R08001</t>
  </si>
  <si>
    <t>HAOUARI CHOKRI</t>
  </si>
  <si>
    <t>6R23143</t>
  </si>
  <si>
    <t>SOCIETE EL HOUIOUI</t>
  </si>
  <si>
    <t>6R21145</t>
  </si>
  <si>
    <t>DOUIK PIECES AUTOS</t>
  </si>
  <si>
    <t>4R12177</t>
  </si>
  <si>
    <t>STE SMART-CAR</t>
  </si>
  <si>
    <t>4R14065</t>
  </si>
  <si>
    <t>4R14061</t>
  </si>
  <si>
    <t>STE GOMRI FRERES DE PIECES</t>
  </si>
  <si>
    <t>3R15036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</si>
  <si>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</si>
  <si>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</si>
  <si>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</si>
  <si>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</si>
  <si>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</si>
  <si>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</si>
  <si>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KALLEL HATEM</t>
  </si>
  <si>
    <t>3R18317</t>
  </si>
  <si>
    <t>WAJDI BOUZGENDA</t>
  </si>
  <si>
    <t>3R18123</t>
  </si>
  <si>
    <t>STE DOGHRI AL BARAKA</t>
  </si>
  <si>
    <t>1R02237</t>
  </si>
  <si>
    <t>AMOR BEN ABDRAHMENE BIBANI</t>
  </si>
  <si>
    <t>1R02148</t>
  </si>
  <si>
    <t>MONGI BEN BRAHIM</t>
  </si>
  <si>
    <t>1R05040</t>
  </si>
  <si>
    <t>MOHAMED HEDI TALBI</t>
  </si>
  <si>
    <t>1R02236</t>
  </si>
  <si>
    <t>TAHER KABOUS ROYAL AUTO</t>
  </si>
  <si>
    <t>1R05194</t>
  </si>
  <si>
    <t>ABDELKADER B YOUSSEF GHARBI</t>
  </si>
  <si>
    <t>1R04120</t>
  </si>
  <si>
    <t>SOCIETE BOUJNAH</t>
  </si>
  <si>
    <t>1R02225</t>
  </si>
  <si>
    <t>BOURAOUI LAMTI</t>
  </si>
  <si>
    <t>1R12001</t>
  </si>
  <si>
    <t>SO.CO.PI</t>
  </si>
  <si>
    <t>1R02247</t>
  </si>
  <si>
    <t>AOUADI ABDELKARIM</t>
  </si>
  <si>
    <t>8R10051</t>
  </si>
  <si>
    <t>MAKREM ZAMMALI</t>
  </si>
  <si>
    <t>8R09020</t>
  </si>
  <si>
    <t>ROJDI BEN MOHAMED KRAOUII</t>
  </si>
  <si>
    <t>8R10040</t>
  </si>
  <si>
    <t>FIDHA AMINE B FATHI B HEDI</t>
  </si>
  <si>
    <t>8R08037</t>
  </si>
  <si>
    <t>EZZEDDINE LETIFI</t>
  </si>
  <si>
    <t>7R16055</t>
  </si>
  <si>
    <t>ARBI BEN ALIU GHARBI</t>
  </si>
  <si>
    <t>7R17047</t>
  </si>
  <si>
    <t>JILANI BEN AHMED CHNINA</t>
  </si>
  <si>
    <t>6R24016</t>
  </si>
  <si>
    <t>PIECES AUTOS BEN ALAYA MED</t>
  </si>
  <si>
    <t>4R14007</t>
  </si>
  <si>
    <t>BAAZAOUI SALAH</t>
  </si>
  <si>
    <t>3R14079</t>
  </si>
  <si>
    <t>STE RANEN.PIECES DE RECHANGE</t>
  </si>
  <si>
    <t>3R18389</t>
  </si>
  <si>
    <t>S. BADREDDINE CHERIF &amp; CIES</t>
  </si>
  <si>
    <t>3R18097</t>
  </si>
  <si>
    <t>HELA FERJANI NEE AJMI</t>
  </si>
  <si>
    <t>1R06149</t>
  </si>
  <si>
    <t>KNIOUA NOUREDDINE B MOHAMOUD</t>
  </si>
  <si>
    <t>1R05184</t>
  </si>
  <si>
    <t>SOCIETE HNIA</t>
  </si>
  <si>
    <t>1R03131</t>
  </si>
  <si>
    <t>CHEDLY AOUINI</t>
  </si>
  <si>
    <t>1R02141</t>
  </si>
  <si>
    <t>STE SLIM&amp; MONCEF PICES AUTO</t>
  </si>
  <si>
    <t>1R05197</t>
  </si>
  <si>
    <t>STE HADDAD PIECES.RECHANGES</t>
  </si>
  <si>
    <t>1R05203</t>
  </si>
  <si>
    <t>STE ELECTRIQUE SERVICE AUTO</t>
  </si>
  <si>
    <t>1R06145</t>
  </si>
  <si>
    <t>MONDHER MEFTAH</t>
  </si>
  <si>
    <t>1R01470</t>
  </si>
  <si>
    <t>RAMEH JAMILA BEN SADOK</t>
  </si>
  <si>
    <t>1R01492</t>
  </si>
  <si>
    <t>Ste P I A A T.</t>
  </si>
  <si>
    <t>1R03076</t>
  </si>
  <si>
    <t>STE ALBOURAQ PIECES AUTO</t>
  </si>
  <si>
    <t>1R02257</t>
  </si>
  <si>
    <t>STE COGEPA</t>
  </si>
  <si>
    <t>1R02235</t>
  </si>
  <si>
    <t>HASSINI AHMED BEN MOHAMED</t>
  </si>
  <si>
    <t>1R03149</t>
  </si>
  <si>
    <t>STE SUD EQUIPEMENT MARITINE</t>
  </si>
  <si>
    <t>6R23150</t>
  </si>
  <si>
    <t>HACHICHA THAMEUR</t>
  </si>
  <si>
    <t>3R18053</t>
  </si>
  <si>
    <t>TURKI AHMED</t>
  </si>
  <si>
    <t>1R06151</t>
  </si>
  <si>
    <t>MOHAMMED BEN NOURI MSAKNI</t>
  </si>
  <si>
    <t>3R18353</t>
  </si>
  <si>
    <t>COMPTOIR ABDENNADHER</t>
  </si>
  <si>
    <t>3R18047</t>
  </si>
  <si>
    <t>BEJI CHEDLY</t>
  </si>
  <si>
    <t>1R01217</t>
  </si>
  <si>
    <t>HAIKEL BEN MOULDI ESSAHLI</t>
  </si>
  <si>
    <t>1R05196</t>
  </si>
  <si>
    <t>SOCIETE GENERAL DE PIECES</t>
  </si>
  <si>
    <t>3R18321</t>
  </si>
  <si>
    <t>STE SPAMM</t>
  </si>
  <si>
    <t>3R18349</t>
  </si>
  <si>
    <t>SOUAD BENT HEDI KALAI</t>
  </si>
  <si>
    <t>8R11072</t>
  </si>
  <si>
    <t>STE SAAIDI PIECES  RECHANGE</t>
  </si>
  <si>
    <t>1R05175</t>
  </si>
  <si>
    <t>JALELEDDINE B SALEM ZERELLI</t>
  </si>
  <si>
    <t>1R05034</t>
  </si>
  <si>
    <t>STE PIECES AUTOS JAPONAISES</t>
  </si>
  <si>
    <t>3R18336</t>
  </si>
  <si>
    <t>MOURAD BEN GACEM NALOUTI</t>
  </si>
  <si>
    <t>6R23118</t>
  </si>
  <si>
    <t>ABICHOU ABDELFATTAH</t>
  </si>
  <si>
    <t>6R23098</t>
  </si>
  <si>
    <t>IMED BEN ZEKRI</t>
  </si>
  <si>
    <t>1R01456</t>
  </si>
  <si>
    <t>SO.TU.PA</t>
  </si>
  <si>
    <t>1R01504</t>
  </si>
  <si>
    <t>STE GLE DE TOUT EQUIPEMENT</t>
  </si>
  <si>
    <t>7R16068</t>
  </si>
  <si>
    <t>BOUCHADDAKH KHALED</t>
  </si>
  <si>
    <t>6R23153</t>
  </si>
  <si>
    <t>HAFSIA TANNOUCH- MOBIL</t>
  </si>
  <si>
    <t>7R20002</t>
  </si>
  <si>
    <t>FAOUZI BEN ALI AKROUT</t>
  </si>
  <si>
    <t>6R21136</t>
  </si>
  <si>
    <t>OUN ALLAH SALAHEDDINE</t>
  </si>
  <si>
    <t>1R01146</t>
  </si>
  <si>
    <t>HASSEN BEN BELGACEM  DABBABI</t>
  </si>
  <si>
    <t>7R16012</t>
  </si>
  <si>
    <t>STE GHAMMOUR ENAKHIL</t>
  </si>
  <si>
    <t>8R11061</t>
  </si>
  <si>
    <t>MED DHIA BEN BRAHIM CHEFAAI</t>
  </si>
  <si>
    <t>8R11078</t>
  </si>
  <si>
    <t>BELGACEM BEN SMIDA</t>
  </si>
  <si>
    <t>7R22003</t>
  </si>
  <si>
    <t>EQUIP. AUTOS MOKNINE</t>
  </si>
  <si>
    <t>4R13048</t>
  </si>
  <si>
    <t>LIMEME FATHI BEN KHLIFA</t>
  </si>
  <si>
    <t>4R12214</t>
  </si>
  <si>
    <t>BRAHAM MAKRAM</t>
  </si>
  <si>
    <t>4R12255</t>
  </si>
  <si>
    <t>STE.MAGHR. DE PIECES DE RECH</t>
  </si>
  <si>
    <t>4R12104</t>
  </si>
  <si>
    <t>COMP.GENERAL.PIECES.RECHANGE</t>
  </si>
  <si>
    <t>3R18388</t>
  </si>
  <si>
    <t>STE COGEP AUTO</t>
  </si>
  <si>
    <t>3R18039</t>
  </si>
  <si>
    <t>STE HSOUNA FRIKHA ET FILS</t>
  </si>
  <si>
    <t>3R18274</t>
  </si>
  <si>
    <t>SOZEM</t>
  </si>
  <si>
    <t>3R18354</t>
  </si>
  <si>
    <t>HASSINE BEN MESSAOUD-AGIL</t>
  </si>
  <si>
    <t>1R07015</t>
  </si>
  <si>
    <t>HAITHEM BEN MAJID CHIHI</t>
  </si>
  <si>
    <t>1R03123</t>
  </si>
  <si>
    <t>NEJI EL JAZI</t>
  </si>
  <si>
    <t>1R05159</t>
  </si>
  <si>
    <t>STE HAMI AUTO</t>
  </si>
  <si>
    <t>1R05188</t>
  </si>
  <si>
    <t>MOUNA BEN AMMAR</t>
  </si>
  <si>
    <t>1R03116</t>
  </si>
  <si>
    <t>AMEL ZGUIDENE EP SADFI</t>
  </si>
  <si>
    <t>1R02150</t>
  </si>
  <si>
    <t>ABDELKADER MOEZ BEN LAMINE</t>
  </si>
  <si>
    <t>1R02232</t>
  </si>
  <si>
    <t>SOCIETE RECTIF</t>
  </si>
  <si>
    <t>1R05200</t>
  </si>
  <si>
    <t>STE DES PIECES DE RECHANGE</t>
  </si>
  <si>
    <t>3R18384</t>
  </si>
  <si>
    <t>NAILA BEN AHMED JEMAI</t>
  </si>
  <si>
    <t>1R06126</t>
  </si>
  <si>
    <t>S M E A</t>
  </si>
  <si>
    <t>3R18160</t>
  </si>
  <si>
    <t>TOTAL GENERAL</t>
  </si>
  <si>
    <t>STE ZORGATI VEHICULES</t>
  </si>
  <si>
    <t>1R12003</t>
  </si>
  <si>
    <t>INT.PIECES &amp; MATERIELS   IPM</t>
  </si>
  <si>
    <t>3R18132</t>
  </si>
  <si>
    <t>BEN ALI HAMDI</t>
  </si>
  <si>
    <t>1R03141</t>
  </si>
  <si>
    <t>STE TOUS POUR LE CAMION STPC</t>
  </si>
  <si>
    <t>4R12238</t>
  </si>
  <si>
    <t>STE KRIAA GENERALE PIECES</t>
  </si>
  <si>
    <t>3R18368</t>
  </si>
  <si>
    <t>RECUP 44</t>
  </si>
  <si>
    <t>C C A</t>
  </si>
  <si>
    <t>1R04135</t>
  </si>
  <si>
    <t>YAHMADI AUTO PIECES</t>
  </si>
  <si>
    <t>1R05199</t>
  </si>
  <si>
    <t>SOFIENE B RHOUMA "CAP AUTO"</t>
  </si>
  <si>
    <t>7R19070</t>
  </si>
  <si>
    <t>MEJDI NAJET BENT IBRAHIM</t>
  </si>
  <si>
    <t>INDUST. MECANIQ. MAGHREBINES</t>
  </si>
  <si>
    <t>1S01132</t>
  </si>
  <si>
    <t>FN160042</t>
  </si>
  <si>
    <t>EX160011</t>
  </si>
  <si>
    <t>EX160012</t>
  </si>
  <si>
    <t>FN160038</t>
  </si>
  <si>
    <t>FN160039</t>
  </si>
  <si>
    <t>FN160040</t>
  </si>
  <si>
    <t>FN160041</t>
  </si>
  <si>
    <t>METACONCEPT</t>
  </si>
  <si>
    <t>SOVEMA</t>
  </si>
  <si>
    <t>CNSS</t>
  </si>
  <si>
    <t>4R12227</t>
  </si>
  <si>
    <t>HAKIM BEN SADOK KHEMIS</t>
  </si>
  <si>
    <t>1R04110</t>
  </si>
  <si>
    <t>SOCIETE ENNAJI</t>
  </si>
  <si>
    <t>1R04121</t>
  </si>
  <si>
    <t>MOHAMED BEN MOHAMED SAMIR</t>
  </si>
  <si>
    <t>4R13041</t>
  </si>
  <si>
    <t>SOCIETE ZARRAD ET CIE</t>
  </si>
  <si>
    <t>4R13020</t>
  </si>
  <si>
    <t>SEDKI LAHMAR BEN ALI</t>
  </si>
  <si>
    <t>BEJI FAYCEL</t>
  </si>
  <si>
    <t>1R03074</t>
  </si>
  <si>
    <t>ABDESSALAM HABIB</t>
  </si>
  <si>
    <t>4R13131</t>
  </si>
  <si>
    <t>VENTE DEVISE</t>
  </si>
  <si>
    <t>Biasin</t>
  </si>
  <si>
    <t>FN160046</t>
  </si>
  <si>
    <t>FN160050</t>
  </si>
  <si>
    <t>FN160051</t>
  </si>
  <si>
    <t>1R02192</t>
  </si>
  <si>
    <t>COMPTOIR PIECES AUTO ET</t>
  </si>
  <si>
    <t>3R18046</t>
  </si>
  <si>
    <t>ELECTRO-AUTO</t>
  </si>
  <si>
    <t>1R01481</t>
  </si>
  <si>
    <t>ETABLISSEMENT DABOUSSI</t>
  </si>
  <si>
    <t>6R24005</t>
  </si>
  <si>
    <t>KHALED SALLAY</t>
  </si>
  <si>
    <t>4R12181</t>
  </si>
  <si>
    <t>NEJIB GADHOUM</t>
  </si>
  <si>
    <t>4R13098</t>
  </si>
  <si>
    <t>ELECTRIC AUTO JEMMAL</t>
  </si>
  <si>
    <t>1R02049</t>
  </si>
  <si>
    <t>BECHIR BOUCEDRA</t>
  </si>
  <si>
    <t>6R23138</t>
  </si>
  <si>
    <t>STE ZARZIS PIECE DE RECHANGE</t>
  </si>
  <si>
    <t>1R01520</t>
  </si>
  <si>
    <t>STE DISTRIBUTION PIECES AUTO</t>
  </si>
  <si>
    <t>1R01050</t>
  </si>
  <si>
    <t>GUIZANI FETHI</t>
  </si>
  <si>
    <t>7R17046</t>
  </si>
  <si>
    <t>THAMEUR CHAGRAOUI</t>
  </si>
  <si>
    <t>6R23144</t>
  </si>
  <si>
    <t>HAMZA BALBALI</t>
  </si>
  <si>
    <t>4R12234</t>
  </si>
  <si>
    <t>FAYCEL BEN MOHAMMED ZARROUK</t>
  </si>
  <si>
    <t>3R15039</t>
  </si>
  <si>
    <t>AMINE BEN FREDJ MAHMOUD</t>
  </si>
  <si>
    <t>6R23142</t>
  </si>
  <si>
    <t>BAATOUR AYMEN</t>
  </si>
  <si>
    <t>1R04137</t>
  </si>
  <si>
    <t>BOUKERI GHASSEN</t>
  </si>
  <si>
    <t>4R15046</t>
  </si>
  <si>
    <t>STE AUTO PRO</t>
  </si>
  <si>
    <t>TOTAL 12/2016</t>
  </si>
  <si>
    <t>FN160045</t>
  </si>
  <si>
    <t>FN160054</t>
  </si>
  <si>
    <t>FN160053</t>
  </si>
  <si>
    <t>FN160055</t>
  </si>
  <si>
    <t>FN160052</t>
  </si>
  <si>
    <t>FN160058</t>
  </si>
  <si>
    <t>FN160059</t>
  </si>
  <si>
    <t>1R02097</t>
  </si>
  <si>
    <t>ESSAIED SALAH</t>
  </si>
  <si>
    <t>7R22039</t>
  </si>
  <si>
    <t>STE AL BARAKA EQUIP.GENERALE</t>
  </si>
  <si>
    <t>3R18207</t>
  </si>
  <si>
    <t>SMAOUI MOHSEN</t>
  </si>
  <si>
    <t>1R01292</t>
  </si>
  <si>
    <t>AJIMI YASSINE  CYBER</t>
  </si>
  <si>
    <t>4R14056</t>
  </si>
  <si>
    <t>MEHREZ BEN MOHAMED GUIZANI</t>
  </si>
  <si>
    <t>1R01525</t>
  </si>
  <si>
    <t>SALAH BEN ZEKRI</t>
  </si>
  <si>
    <t>1R02191</t>
  </si>
  <si>
    <t>ETABLISS. MOURAD BEN NASR</t>
  </si>
  <si>
    <t>1R02245</t>
  </si>
  <si>
    <t>STE SUD MOTORS SRVIVES AUTO</t>
  </si>
  <si>
    <t>1R03152</t>
  </si>
  <si>
    <t>STE GLES PIECES AUTOMOBILES</t>
  </si>
  <si>
    <t>8R10038</t>
  </si>
  <si>
    <t>STE MECHERGUI D'EQUIP. AUTOS</t>
  </si>
  <si>
    <t>1R01548</t>
  </si>
  <si>
    <t>BEN SALEM MALIKA</t>
  </si>
  <si>
    <t>1R04098</t>
  </si>
  <si>
    <t>GARA NABIL BEN BECHIR</t>
  </si>
  <si>
    <t>1R02211</t>
  </si>
  <si>
    <t>CHIBANI BEN SALEM TAYEB</t>
  </si>
  <si>
    <t>1R07002</t>
  </si>
  <si>
    <t>KHELIFA BEN TAIEB</t>
  </si>
  <si>
    <t>1R05187</t>
  </si>
  <si>
    <t>SAMI BEN EZZEDINE B ABDALLAH</t>
  </si>
  <si>
    <t>DIWANI IBRAHIM EL HEDI</t>
  </si>
  <si>
    <t>6R23149</t>
  </si>
  <si>
    <t>STE DE MAINT&amp; REP AUTOMOBILE</t>
  </si>
  <si>
    <t>1R05191</t>
  </si>
  <si>
    <t>STE ELECTRIC AUTO NABEUL</t>
  </si>
  <si>
    <t>1R06125</t>
  </si>
  <si>
    <t>NAJET BENT SALAH ZAMELI</t>
  </si>
  <si>
    <t>4R12212</t>
  </si>
  <si>
    <t>COMPTOIR DOUICK DE PIECES</t>
  </si>
  <si>
    <t>3R18069</t>
  </si>
  <si>
    <t>SELLAMI MED TAOUFIK- TOTAL</t>
  </si>
  <si>
    <t>4R13134</t>
  </si>
  <si>
    <t>STE MEMMI-AUTO ET COMPAGNIES</t>
  </si>
  <si>
    <t>4R12228</t>
  </si>
  <si>
    <t>SOCIETE DARDOUR ET FILS</t>
  </si>
  <si>
    <t>1R02174</t>
  </si>
  <si>
    <t>SOCIETE DRIDI AUTO (SDA)</t>
  </si>
  <si>
    <t>1R05208</t>
  </si>
  <si>
    <t>STE ASIE AUTOMOBILE</t>
  </si>
  <si>
    <t>3R18165</t>
  </si>
  <si>
    <t>DERBEL MAHER</t>
  </si>
  <si>
    <t>1R02250</t>
  </si>
  <si>
    <t>STE GAMA AUTO</t>
  </si>
  <si>
    <t>1R05186</t>
  </si>
  <si>
    <t>STE AFRICA DES PIECES AUTOS</t>
  </si>
  <si>
    <t>3R18289</t>
  </si>
  <si>
    <t>ALI MAHJOUBI</t>
  </si>
  <si>
    <t>6R23151</t>
  </si>
  <si>
    <t>STE M W AUTO'S</t>
  </si>
  <si>
    <t>7R19061</t>
  </si>
  <si>
    <t>STE GENERALE AUTO DU SUD</t>
  </si>
  <si>
    <t>3R18316</t>
  </si>
  <si>
    <t>STE SERVICES AUTOS SUD</t>
  </si>
  <si>
    <t>4R12253</t>
  </si>
  <si>
    <t>STE MAALOUL&amp; FILS</t>
  </si>
  <si>
    <t>1R01537</t>
  </si>
  <si>
    <t>STE MEDAS</t>
  </si>
  <si>
    <t>1R02234</t>
  </si>
  <si>
    <t>STE JAPAN MOTORS COMPANY</t>
  </si>
  <si>
    <t>3R18271</t>
  </si>
  <si>
    <t>CENTRE DE DISTRIBUT. PIECES</t>
  </si>
  <si>
    <t>3R18068</t>
  </si>
  <si>
    <t>MOHAMED GHARIANI</t>
  </si>
  <si>
    <t>TOTAL 01/2017</t>
  </si>
  <si>
    <t>TOTAL 90 JOURS</t>
  </si>
  <si>
    <t>TOTAL &gt; 90 JOURS</t>
  </si>
  <si>
    <t>Stusid MEG</t>
  </si>
  <si>
    <t>FN160060</t>
  </si>
  <si>
    <t>EL HARAMAIN</t>
  </si>
  <si>
    <t>ACCUMA 46</t>
  </si>
  <si>
    <t>ACCUMA 47</t>
  </si>
  <si>
    <t>ACCUMA 48</t>
  </si>
  <si>
    <t>FN160066</t>
  </si>
  <si>
    <t>FN160065</t>
  </si>
  <si>
    <t>FN160067</t>
  </si>
  <si>
    <t>FN160068</t>
  </si>
  <si>
    <t>1R01544</t>
  </si>
  <si>
    <t>COGEPA</t>
  </si>
  <si>
    <t>8R08038</t>
  </si>
  <si>
    <t>ATTIA EL FADHEL</t>
  </si>
  <si>
    <t>3R18338</t>
  </si>
  <si>
    <t>STE COMPTOIR SFAXIEN PIECES</t>
  </si>
  <si>
    <t>3R18363</t>
  </si>
  <si>
    <t>SOCIETE VEPRA</t>
  </si>
  <si>
    <t>3R18331</t>
  </si>
  <si>
    <t>STE CHERIF ET AYADI VENTE</t>
  </si>
  <si>
    <t>1R04124</t>
  </si>
  <si>
    <t>STE PIECES RECHANGES "SPJA"</t>
  </si>
  <si>
    <t>8R09067</t>
  </si>
  <si>
    <t>SOCIETE GENERAL DE PNEUS</t>
  </si>
  <si>
    <t>3R18357</t>
  </si>
  <si>
    <t>F.I.A.M</t>
  </si>
  <si>
    <t>6R21048</t>
  </si>
  <si>
    <t>AMOR B.SADEK AOUDH</t>
  </si>
  <si>
    <t>1R03030</t>
  </si>
  <si>
    <t>COMPAGNIE TNNE DE REPRESENT.</t>
  </si>
  <si>
    <t>3R18140</t>
  </si>
  <si>
    <t>COMPTOIR PIECES FIAT-SELLAMI</t>
  </si>
  <si>
    <t>4R12211</t>
  </si>
  <si>
    <t>STE ZORGATI VEHICULE</t>
  </si>
  <si>
    <t>3R15033</t>
  </si>
  <si>
    <t>AJMI  LAAROUSSI</t>
  </si>
  <si>
    <t>1X01000</t>
  </si>
  <si>
    <t>CLIENT PASSAGER ASJ</t>
  </si>
  <si>
    <t>3R18369</t>
  </si>
  <si>
    <t>STE A Z SERVICE AUTO</t>
  </si>
  <si>
    <t>4R12113</t>
  </si>
  <si>
    <t>HATEM BEN SALAH KRAIEM</t>
  </si>
  <si>
    <t>6R23120</t>
  </si>
  <si>
    <t>HADDAD BEN MAKHLOUF HAMMOUNI</t>
  </si>
  <si>
    <t>6R21078</t>
  </si>
  <si>
    <t>PIECES DETACHEES AUTO ET P</t>
  </si>
  <si>
    <t>6R23125</t>
  </si>
  <si>
    <t>MOHSEN BEN ALI BEN CHOUIKHA</t>
  </si>
  <si>
    <t>1r02138</t>
  </si>
  <si>
    <t>STE COMPT EQUIP AUTOS</t>
  </si>
  <si>
    <t>6R23156</t>
  </si>
  <si>
    <t>AKROUT MAKREM</t>
  </si>
  <si>
    <t>4R12226</t>
  </si>
  <si>
    <t>STE AUTOMATISME DU CENTRE</t>
  </si>
  <si>
    <t>1R02083</t>
  </si>
  <si>
    <t>STE MATEUR QUINC [SOGEMAQ]</t>
  </si>
  <si>
    <t>1R01010</t>
  </si>
  <si>
    <t>TRABELSI JAMEL</t>
  </si>
  <si>
    <t>1R01524</t>
  </si>
  <si>
    <t>STE PIECES ENGINS &amp; AUTOS</t>
  </si>
  <si>
    <t>3R15037</t>
  </si>
  <si>
    <t>STE M&amp;M EQUIPEMENTS DE PECHE</t>
  </si>
  <si>
    <t>1R01498</t>
  </si>
  <si>
    <t>SOCITE AMIN RENT A CAR</t>
  </si>
  <si>
    <t>7R20003</t>
  </si>
  <si>
    <t>RACHED BEN BRAHIM MAMMACHA</t>
  </si>
  <si>
    <t>7S20009</t>
  </si>
  <si>
    <t>SOCIETE AU COEUR DU DESERT</t>
  </si>
  <si>
    <t>8R11062</t>
  </si>
  <si>
    <t>OTHMANI MONCEF BEN LAKHDAR</t>
  </si>
  <si>
    <t>4R12252</t>
  </si>
  <si>
    <t>STE DITRI-FILTRE</t>
  </si>
  <si>
    <t>4R12257</t>
  </si>
  <si>
    <t>STE MY CAR DISTRIBUTION</t>
  </si>
  <si>
    <t>4R12240</t>
  </si>
  <si>
    <t>STE DES EQUIP.INDUST.&amp;TRANSP</t>
  </si>
  <si>
    <t>4R12254</t>
  </si>
  <si>
    <t>STE STATION SERVICE.OILLIBYA</t>
  </si>
  <si>
    <t>4R14068</t>
  </si>
  <si>
    <t>KAMMOUN BILEL</t>
  </si>
  <si>
    <t>4R13133</t>
  </si>
  <si>
    <t>SOCIETE SASSI SARL</t>
  </si>
  <si>
    <t>6R21156</t>
  </si>
  <si>
    <t>STE BEN HMIDA POLY SERVICES</t>
  </si>
  <si>
    <t>4R14069</t>
  </si>
  <si>
    <t>STE BEN ABDERRAZEK NASRI</t>
  </si>
  <si>
    <t>1R04139</t>
  </si>
  <si>
    <t>LA TUNISIENNES.PIECES AUTOS</t>
  </si>
  <si>
    <t>TOTAL 02/2017</t>
  </si>
  <si>
    <t>ACCUMA 52</t>
  </si>
  <si>
    <t>ACCUMA 49</t>
  </si>
  <si>
    <t>ACCUMA 50</t>
  </si>
  <si>
    <t>ACCUMA 51</t>
  </si>
  <si>
    <t>AKUMSAN</t>
  </si>
  <si>
    <t>AU 01/11/2016</t>
  </si>
  <si>
    <t>METALLIANCE</t>
  </si>
  <si>
    <t>Metalliance</t>
  </si>
  <si>
    <t>FN160069</t>
  </si>
  <si>
    <t>FN160072</t>
  </si>
  <si>
    <t>FN160075</t>
  </si>
  <si>
    <t>FN160076</t>
  </si>
  <si>
    <t>EX160014</t>
  </si>
  <si>
    <t>TOTAL 05/2017</t>
  </si>
  <si>
    <t>TOTAL 04/2017</t>
  </si>
  <si>
    <t>TOTAL 03/2017</t>
  </si>
  <si>
    <t>GENERALE ELECT.AUTOMOBILE</t>
  </si>
  <si>
    <t>1R01551</t>
  </si>
  <si>
    <t>STE SDPR</t>
  </si>
  <si>
    <t>4R12258</t>
  </si>
  <si>
    <t>ABDELKEBIR IMED BEN ZID</t>
  </si>
  <si>
    <t>4R12256</t>
  </si>
  <si>
    <t>STE AYOUB DE PIECES AUTOS</t>
  </si>
  <si>
    <t>1R03140</t>
  </si>
  <si>
    <t>MEJRI AMMAR</t>
  </si>
  <si>
    <t>1R04133</t>
  </si>
  <si>
    <t>STE FOURAT DE PIECES AUTO</t>
  </si>
  <si>
    <t>1R04141</t>
  </si>
  <si>
    <t>BENKAJI FAICEL BEN EL AFIF</t>
  </si>
  <si>
    <t>1R03154</t>
  </si>
  <si>
    <t>NAIM BERRICH</t>
  </si>
  <si>
    <t>1R01517</t>
  </si>
  <si>
    <t>ETABLISSEMENT HABIB BEN NASR</t>
  </si>
  <si>
    <t>1R01478</t>
  </si>
  <si>
    <t>PIECES AUTOS MED AZZOUZ</t>
  </si>
  <si>
    <t>4R14062</t>
  </si>
  <si>
    <t>AYMEN BEN EZZEDDINE DAOUDI</t>
  </si>
  <si>
    <t>1R02201</t>
  </si>
  <si>
    <t>HAMDA MALEK BEN JILANI</t>
  </si>
  <si>
    <t>4R14050</t>
  </si>
  <si>
    <t>MANSOURI MAHJOUBBEN JILANI</t>
  </si>
  <si>
    <t>8R11083</t>
  </si>
  <si>
    <t>STE MESTIRI&amp;FILS TRAV.PUBLIC</t>
  </si>
  <si>
    <t>7S19023</t>
  </si>
  <si>
    <t>STE ROUA VENTE ET ACHAT EN</t>
  </si>
  <si>
    <t>4R12222</t>
  </si>
  <si>
    <t>MAISON ROULT &amp; PNEU.</t>
  </si>
  <si>
    <t>1R01132</t>
  </si>
  <si>
    <t>STE MEKINA</t>
  </si>
  <si>
    <t>3R18378</t>
  </si>
  <si>
    <t>STE PIECES AUT.ROYAL&amp;ENTRET</t>
  </si>
  <si>
    <t>4R13130</t>
  </si>
  <si>
    <t>STE ECHIKH POUR COMMERCE ET</t>
  </si>
  <si>
    <t>1R01515</t>
  </si>
  <si>
    <t>BT SERVICES SURAL</t>
  </si>
  <si>
    <t>1R06146</t>
  </si>
  <si>
    <t>JAMEL SAIDI</t>
  </si>
  <si>
    <t>8R10054</t>
  </si>
  <si>
    <t>STE EL MABROUK</t>
  </si>
  <si>
    <t>1R05198</t>
  </si>
  <si>
    <t>RIDHA BEN MOHAMED LARBI</t>
  </si>
  <si>
    <t>1R05087</t>
  </si>
  <si>
    <t>GROCOMA</t>
  </si>
  <si>
    <t>1R04138</t>
  </si>
  <si>
    <t>STATION DE SERVICE SHELL</t>
  </si>
  <si>
    <t>1R07043</t>
  </si>
  <si>
    <t>STE BEN HAMOUDA AUTO</t>
  </si>
  <si>
    <t>1R06142</t>
  </si>
  <si>
    <t>adel bechiou</t>
  </si>
  <si>
    <t>1R05059</t>
  </si>
  <si>
    <t>ESPADON CONCEPT</t>
  </si>
  <si>
    <t>1S05017</t>
  </si>
  <si>
    <t>STE LOUSSAIEF ET FILS [SLEF]</t>
  </si>
  <si>
    <t>1R01512</t>
  </si>
  <si>
    <t>SOCIETE DELTA AUTO</t>
  </si>
  <si>
    <t>1R02169</t>
  </si>
  <si>
    <t>AGILI PIECES DETACHEES</t>
  </si>
  <si>
    <t>1R02254</t>
  </si>
  <si>
    <t>SOUFIEN B MOHAMED ABROUGUI</t>
  </si>
  <si>
    <t>8R11076</t>
  </si>
  <si>
    <t>ABDELJAOUED TAOUFIK</t>
  </si>
  <si>
    <t>6R23140</t>
  </si>
  <si>
    <t>STE JALTA BOAT TUNISIE</t>
  </si>
  <si>
    <t>4S12058</t>
  </si>
  <si>
    <t>HADHRI MOUHED BEN HAMOUDA</t>
  </si>
  <si>
    <t>3R18036</t>
  </si>
  <si>
    <t>S T A A S</t>
  </si>
  <si>
    <t>4R12182</t>
  </si>
  <si>
    <t>STE   SO MO LUB</t>
  </si>
  <si>
    <t>1R04126</t>
  </si>
  <si>
    <t>LAHMAR KAIES</t>
  </si>
  <si>
    <t>1R01550</t>
  </si>
  <si>
    <t>SALAH FNAIECH</t>
  </si>
  <si>
    <t>3R15025</t>
  </si>
  <si>
    <t>OUERGHI MOUNIR B ABDELMAJID</t>
  </si>
  <si>
    <t>8R10053</t>
  </si>
  <si>
    <t>SOCIETE MAGHREBINE DES</t>
  </si>
  <si>
    <t>1T05004</t>
  </si>
  <si>
    <t>SOCIETE DE ROUTE ET BATIMENT</t>
  </si>
  <si>
    <t>1S02041</t>
  </si>
  <si>
    <t>KHENFIR MOHAMED LAMJED</t>
  </si>
  <si>
    <t>3R18133</t>
  </si>
  <si>
    <t>ABBES MONIA "BEST BATTERIES"</t>
  </si>
  <si>
    <t>1R01536</t>
  </si>
  <si>
    <t>HABIB KHECHAREM</t>
  </si>
  <si>
    <t>3R18287</t>
  </si>
  <si>
    <t>KHEMAIES DOUDECH</t>
  </si>
  <si>
    <t>4R12125</t>
  </si>
  <si>
    <t>STE AUTO ++ SARL</t>
  </si>
  <si>
    <t>1R02242</t>
  </si>
  <si>
    <t>C C P D</t>
  </si>
  <si>
    <t>3R18092</t>
  </si>
  <si>
    <t>SOCIETE ZAGHLA FRERES</t>
  </si>
  <si>
    <t>1R04037</t>
  </si>
  <si>
    <t>ETS SALAH KOTNI 2</t>
  </si>
  <si>
    <t>6R21118</t>
  </si>
  <si>
    <t>FREDJ MILI</t>
  </si>
  <si>
    <t>4R13106</t>
  </si>
  <si>
    <t>SOCIETE EZZAHRA</t>
  </si>
  <si>
    <t>4R13112</t>
  </si>
  <si>
    <t>MOHAMED B MED NEJIB REGUIGUI</t>
  </si>
  <si>
    <t>1R03125</t>
  </si>
  <si>
    <t>ETABLISSEMENT SALAH KOTNI</t>
  </si>
  <si>
    <t>6R21028</t>
  </si>
  <si>
    <t>GENERALE PIECES AUTO"GPA"</t>
  </si>
  <si>
    <t>3R18345</t>
  </si>
  <si>
    <t>FERJANI FATHALLAH</t>
  </si>
  <si>
    <t>3R15019</t>
  </si>
  <si>
    <t>AHMED BEN TAHER HASSAIRI</t>
  </si>
  <si>
    <t>3R18356</t>
  </si>
  <si>
    <t>STE ELECTRO-MECANIQUE</t>
  </si>
  <si>
    <t>1R04055</t>
  </si>
  <si>
    <t>SOCIETE CHAABANE ET CIE</t>
  </si>
  <si>
    <t>1S18011</t>
  </si>
  <si>
    <t>LE PRESTATAIRE  [ 1 ]</t>
  </si>
  <si>
    <t>1R06127</t>
  </si>
  <si>
    <t>SADOK RHOUMA</t>
  </si>
  <si>
    <t>8R08005</t>
  </si>
  <si>
    <t>STE L'AVENIR</t>
  </si>
  <si>
    <t>1R01472</t>
  </si>
  <si>
    <t>NACEUR MARAOUI</t>
  </si>
  <si>
    <t>4R13114</t>
  </si>
  <si>
    <t>STE EZZAHRA PIECE AUTO"SEPA"</t>
  </si>
  <si>
    <t>1R02222</t>
  </si>
  <si>
    <t>STE GLE DE FOURNITURE</t>
  </si>
  <si>
    <t>1r01386</t>
  </si>
  <si>
    <t>STE JAMEL AUTO PLUS</t>
  </si>
  <si>
    <t>1R01552</t>
  </si>
  <si>
    <t>G P R</t>
  </si>
  <si>
    <t>3R18060</t>
  </si>
  <si>
    <t>SOCIETE AGRICOLE DICK</t>
  </si>
  <si>
    <t>1S02019</t>
  </si>
  <si>
    <t>STE PIECES AUTOS JAPONAISE</t>
  </si>
  <si>
    <t>3R18385</t>
  </si>
  <si>
    <t>MAJDI B.KHIAREDDINE BOUDHINA</t>
  </si>
  <si>
    <t>1R05012</t>
  </si>
  <si>
    <t>STE OUBAY DE PIECES</t>
  </si>
  <si>
    <t>1R02249</t>
  </si>
  <si>
    <t>SOCIETE AMMOUS ET CIE</t>
  </si>
  <si>
    <t>3R18112</t>
  </si>
  <si>
    <t>STE TUN DE PRODUITS AGRICOLE</t>
  </si>
  <si>
    <t>8R09076</t>
  </si>
  <si>
    <t>AMMAR B. ABDERRAHMEN GHRIBI</t>
  </si>
  <si>
    <t>6R21035</t>
  </si>
  <si>
    <t>HELMI PIECES ELECTRIQUES</t>
  </si>
  <si>
    <t>3R18279</t>
  </si>
  <si>
    <t>STE GLE DE COMMERCE PIECES</t>
  </si>
  <si>
    <t>7R22002</t>
  </si>
  <si>
    <t>TUNISINNE DE PIECES DETACHES</t>
  </si>
  <si>
    <t>1R01491</t>
  </si>
  <si>
    <t>S O C O M A F</t>
  </si>
  <si>
    <t>8R09022</t>
  </si>
  <si>
    <t>BEN MAHMOUD CHOKRI</t>
  </si>
  <si>
    <t>1R01522</t>
  </si>
  <si>
    <t>MOHAMED BOUAZIZ</t>
  </si>
  <si>
    <t>3R18329</t>
  </si>
  <si>
    <t>STE REG. DE TRANSP.-BIZERTE</t>
  </si>
  <si>
    <t>1T06004</t>
  </si>
  <si>
    <t>SAIDA SARRAY VEUVE FENINA</t>
  </si>
  <si>
    <t>1R05035</t>
  </si>
  <si>
    <t>B  S  B TOYOTA</t>
  </si>
  <si>
    <t>1S01009</t>
  </si>
  <si>
    <t>FN160077</t>
  </si>
  <si>
    <t>Solde au 31/12/2016</t>
  </si>
  <si>
    <t>RESTETUTION TVA</t>
  </si>
  <si>
    <t>Credit de gestion: FED</t>
  </si>
  <si>
    <t>ACCUMA 53</t>
  </si>
  <si>
    <t>ACCUMA 54</t>
  </si>
  <si>
    <t>ACCUMA 55</t>
  </si>
  <si>
    <t>ACCUMA 56</t>
  </si>
  <si>
    <t>ACCUMA 57</t>
  </si>
  <si>
    <t>ACCUMA 58</t>
  </si>
  <si>
    <t>ACCUMA 59</t>
  </si>
  <si>
    <t>ACCUMA 60</t>
  </si>
  <si>
    <t>ACCUMA 61</t>
  </si>
  <si>
    <t>ACCUMA 62</t>
  </si>
  <si>
    <t>ACCUMA 63</t>
  </si>
  <si>
    <t>ACCUMA 64</t>
  </si>
  <si>
    <t>BIAISN</t>
  </si>
  <si>
    <t>EX160015</t>
  </si>
  <si>
    <t>PUISSANCE</t>
  </si>
  <si>
    <t>JOUR</t>
  </si>
  <si>
    <t>POINTE ÉTÉ</t>
  </si>
  <si>
    <t>SOIR</t>
  </si>
  <si>
    <t>POINTE HIVER</t>
  </si>
  <si>
    <t>PUISSANCE REDUITE</t>
  </si>
  <si>
    <t>SOUSCRITE</t>
  </si>
  <si>
    <t>APPELEE</t>
  </si>
  <si>
    <t>APSM</t>
  </si>
  <si>
    <t>EURO MEG</t>
  </si>
  <si>
    <t>STCM 25</t>
  </si>
  <si>
    <t>FN160082</t>
  </si>
  <si>
    <t>FN160084</t>
  </si>
  <si>
    <t>SOLDE au 30/12/2016</t>
  </si>
</sst>
</file>

<file path=xl/styles.xml><?xml version="1.0" encoding="utf-8"?>
<styleSheet xmlns="http://schemas.openxmlformats.org/spreadsheetml/2006/main">
  <numFmts count="12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theme="1"/>
      <name val="Cambria"/>
      <family val="1"/>
      <scheme val="major"/>
    </font>
    <font>
      <b/>
      <sz val="11"/>
      <color theme="0"/>
      <name val="Cambria"/>
      <family val="1"/>
      <scheme val="major"/>
    </font>
    <font>
      <b/>
      <i/>
      <sz val="11"/>
      <color theme="0"/>
      <name val="Cambria"/>
      <family val="1"/>
      <scheme val="major"/>
    </font>
    <font>
      <b/>
      <sz val="1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b/>
      <i/>
      <sz val="11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691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14" fontId="3" fillId="0" borderId="12" xfId="0" applyNumberFormat="1" applyFont="1" applyBorder="1"/>
    <xf numFmtId="0" fontId="3" fillId="0" borderId="12" xfId="0" applyFont="1" applyBorder="1"/>
    <xf numFmtId="4" fontId="3" fillId="0" borderId="12" xfId="0" applyNumberFormat="1" applyFont="1" applyBorder="1"/>
    <xf numFmtId="164" fontId="3" fillId="0" borderId="12" xfId="0" applyNumberFormat="1" applyFont="1" applyBorder="1"/>
    <xf numFmtId="14" fontId="3" fillId="0" borderId="13" xfId="0" applyNumberFormat="1" applyFont="1" applyBorder="1"/>
    <xf numFmtId="164" fontId="3" fillId="0" borderId="11" xfId="0" applyNumberFormat="1" applyFont="1" applyBorder="1"/>
    <xf numFmtId="4" fontId="3" fillId="0" borderId="11" xfId="0" applyNumberFormat="1" applyFont="1" applyBorder="1"/>
    <xf numFmtId="0" fontId="3" fillId="0" borderId="13" xfId="0" applyFont="1" applyBorder="1"/>
    <xf numFmtId="4" fontId="3" fillId="0" borderId="10" xfId="0" applyNumberFormat="1" applyFont="1" applyBorder="1"/>
    <xf numFmtId="0" fontId="5" fillId="0" borderId="10" xfId="0" applyFont="1" applyBorder="1"/>
    <xf numFmtId="0" fontId="5" fillId="0" borderId="11" xfId="0" applyFont="1" applyBorder="1"/>
    <xf numFmtId="14" fontId="5" fillId="0" borderId="12" xfId="0" applyNumberFormat="1" applyFont="1" applyBorder="1"/>
    <xf numFmtId="0" fontId="5" fillId="0" borderId="12" xfId="0" applyFont="1" applyBorder="1"/>
    <xf numFmtId="4" fontId="5" fillId="0" borderId="12" xfId="0" applyNumberFormat="1" applyFont="1" applyBorder="1"/>
    <xf numFmtId="164" fontId="5" fillId="0" borderId="12" xfId="0" applyNumberFormat="1" applyFont="1" applyBorder="1"/>
    <xf numFmtId="14" fontId="5" fillId="0" borderId="13" xfId="0" applyNumberFormat="1" applyFont="1" applyBorder="1"/>
    <xf numFmtId="164" fontId="5" fillId="0" borderId="11" xfId="0" applyNumberFormat="1" applyFont="1" applyBorder="1"/>
    <xf numFmtId="4" fontId="5" fillId="0" borderId="11" xfId="0" applyNumberFormat="1" applyFont="1" applyBorder="1"/>
    <xf numFmtId="0" fontId="5" fillId="0" borderId="13" xfId="0" applyFont="1" applyBorder="1"/>
    <xf numFmtId="4" fontId="5" fillId="0" borderId="10" xfId="0" applyNumberFormat="1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5" fillId="0" borderId="0" xfId="0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14" fontId="7" fillId="0" borderId="0" xfId="0" applyNumberFormat="1" applyFont="1"/>
    <xf numFmtId="0" fontId="4" fillId="2" borderId="7" xfId="0" applyFont="1" applyFill="1" applyBorder="1" applyAlignment="1">
      <alignment horizontal="center"/>
    </xf>
    <xf numFmtId="4" fontId="4" fillId="0" borderId="9" xfId="0" applyNumberFormat="1" applyFont="1" applyFill="1" applyBorder="1"/>
    <xf numFmtId="0" fontId="7" fillId="0" borderId="0" xfId="0" applyFont="1" applyFill="1"/>
    <xf numFmtId="4" fontId="4" fillId="0" borderId="31" xfId="0" applyNumberFormat="1" applyFont="1" applyFill="1" applyBorder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14" fontId="3" fillId="0" borderId="13" xfId="1" applyNumberFormat="1" applyFont="1" applyBorder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0" xfId="0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17" fillId="0" borderId="15" xfId="0" applyFont="1" applyFill="1" applyBorder="1"/>
    <xf numFmtId="4" fontId="4" fillId="0" borderId="35" xfId="0" applyNumberFormat="1" applyFont="1" applyFill="1" applyBorder="1"/>
    <xf numFmtId="14" fontId="17" fillId="0" borderId="16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164" fontId="2" fillId="0" borderId="24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2" fillId="0" borderId="24" xfId="0" applyFont="1" applyBorder="1"/>
    <xf numFmtId="0" fontId="2" fillId="0" borderId="25" xfId="0" applyFont="1" applyBorder="1"/>
    <xf numFmtId="14" fontId="2" fillId="0" borderId="26" xfId="0" applyNumberFormat="1" applyFont="1" applyBorder="1"/>
    <xf numFmtId="0" fontId="2" fillId="0" borderId="26" xfId="0" applyFont="1" applyBorder="1"/>
    <xf numFmtId="4" fontId="2" fillId="0" borderId="26" xfId="0" applyNumberFormat="1" applyFont="1" applyBorder="1"/>
    <xf numFmtId="164" fontId="2" fillId="0" borderId="26" xfId="0" applyNumberFormat="1" applyFont="1" applyBorder="1"/>
    <xf numFmtId="14" fontId="2" fillId="0" borderId="27" xfId="0" applyNumberFormat="1" applyFont="1" applyBorder="1"/>
    <xf numFmtId="164" fontId="2" fillId="0" borderId="25" xfId="0" applyNumberFormat="1" applyFont="1" applyBorder="1"/>
    <xf numFmtId="4" fontId="2" fillId="0" borderId="25" xfId="0" applyNumberFormat="1" applyFont="1" applyBorder="1"/>
    <xf numFmtId="0" fontId="2" fillId="0" borderId="27" xfId="0" applyFont="1" applyBorder="1"/>
    <xf numFmtId="4" fontId="2" fillId="0" borderId="24" xfId="0" applyNumberFormat="1" applyFont="1" applyBorder="1"/>
    <xf numFmtId="0" fontId="6" fillId="0" borderId="24" xfId="0" applyFont="1" applyFill="1" applyBorder="1"/>
    <xf numFmtId="0" fontId="6" fillId="0" borderId="25" xfId="0" applyFont="1" applyFill="1" applyBorder="1"/>
    <xf numFmtId="14" fontId="6" fillId="0" borderId="26" xfId="0" applyNumberFormat="1" applyFont="1" applyFill="1" applyBorder="1"/>
    <xf numFmtId="4" fontId="6" fillId="0" borderId="26" xfId="0" applyNumberFormat="1" applyFont="1" applyFill="1" applyBorder="1"/>
    <xf numFmtId="164" fontId="6" fillId="0" borderId="26" xfId="0" applyNumberFormat="1" applyFont="1" applyFill="1" applyBorder="1"/>
    <xf numFmtId="14" fontId="6" fillId="0" borderId="27" xfId="1" applyNumberFormat="1" applyFont="1" applyFill="1" applyBorder="1"/>
    <xf numFmtId="164" fontId="6" fillId="0" borderId="25" xfId="0" applyNumberFormat="1" applyFont="1" applyFill="1" applyBorder="1"/>
    <xf numFmtId="0" fontId="6" fillId="0" borderId="26" xfId="0" applyFont="1" applyFill="1" applyBorder="1"/>
    <xf numFmtId="0" fontId="6" fillId="0" borderId="27" xfId="0" applyFont="1" applyFill="1" applyBorder="1"/>
    <xf numFmtId="4" fontId="6" fillId="0" borderId="2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3" fontId="6" fillId="0" borderId="13" xfId="0" applyNumberFormat="1" applyFont="1" applyBorder="1" applyAlignment="1">
      <alignment horizontal="right" indent="1"/>
    </xf>
    <xf numFmtId="3" fontId="16" fillId="6" borderId="13" xfId="0" applyNumberFormat="1" applyFont="1" applyFill="1" applyBorder="1" applyAlignment="1">
      <alignment horizontal="center"/>
    </xf>
    <xf numFmtId="3" fontId="16" fillId="6" borderId="11" xfId="0" applyNumberFormat="1" applyFont="1" applyFill="1" applyBorder="1" applyAlignment="1">
      <alignment horizontal="center"/>
    </xf>
    <xf numFmtId="3" fontId="19" fillId="7" borderId="13" xfId="0" applyNumberFormat="1" applyFont="1" applyFill="1" applyBorder="1"/>
    <xf numFmtId="3" fontId="14" fillId="7" borderId="11" xfId="0" applyNumberFormat="1" applyFont="1" applyFill="1" applyBorder="1" applyAlignment="1">
      <alignment horizontal="center"/>
    </xf>
    <xf numFmtId="3" fontId="14" fillId="7" borderId="13" xfId="0" applyNumberFormat="1" applyFont="1" applyFill="1" applyBorder="1" applyAlignment="1">
      <alignment horizontal="center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11" fillId="0" borderId="13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3" fontId="12" fillId="6" borderId="30" xfId="0" applyNumberFormat="1" applyFont="1" applyFill="1" applyBorder="1"/>
    <xf numFmtId="0" fontId="20" fillId="0" borderId="0" xfId="0" applyFont="1" applyAlignment="1">
      <alignment horizontal="right"/>
    </xf>
    <xf numFmtId="14" fontId="20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right"/>
    </xf>
    <xf numFmtId="3" fontId="21" fillId="8" borderId="7" xfId="0" applyNumberFormat="1" applyFont="1" applyFill="1" applyBorder="1" applyAlignment="1">
      <alignment horizontal="right"/>
    </xf>
    <xf numFmtId="3" fontId="21" fillId="8" borderId="6" xfId="0" applyNumberFormat="1" applyFont="1" applyFill="1" applyBorder="1" applyAlignment="1">
      <alignment horizontal="right"/>
    </xf>
    <xf numFmtId="3" fontId="23" fillId="9" borderId="7" xfId="0" applyNumberFormat="1" applyFont="1" applyFill="1" applyBorder="1" applyAlignment="1">
      <alignment horizontal="right"/>
    </xf>
    <xf numFmtId="3" fontId="24" fillId="9" borderId="6" xfId="0" applyNumberFormat="1" applyFont="1" applyFill="1" applyBorder="1" applyAlignment="1">
      <alignment horizontal="right"/>
    </xf>
    <xf numFmtId="14" fontId="20" fillId="0" borderId="17" xfId="0" applyNumberFormat="1" applyFont="1" applyFill="1" applyBorder="1" applyAlignment="1">
      <alignment horizontal="right"/>
    </xf>
    <xf numFmtId="14" fontId="20" fillId="0" borderId="16" xfId="0" applyNumberFormat="1" applyFont="1" applyFill="1" applyBorder="1" applyAlignment="1">
      <alignment horizontal="right"/>
    </xf>
    <xf numFmtId="3" fontId="23" fillId="0" borderId="16" xfId="0" applyNumberFormat="1" applyFont="1" applyFill="1" applyBorder="1" applyAlignment="1">
      <alignment horizontal="right"/>
    </xf>
    <xf numFmtId="3" fontId="26" fillId="0" borderId="16" xfId="0" applyNumberFormat="1" applyFont="1" applyFill="1" applyBorder="1" applyAlignment="1">
      <alignment horizontal="right"/>
    </xf>
    <xf numFmtId="14" fontId="26" fillId="0" borderId="16" xfId="0" applyNumberFormat="1" applyFont="1" applyFill="1" applyBorder="1" applyAlignment="1">
      <alignment horizontal="left"/>
    </xf>
    <xf numFmtId="0" fontId="26" fillId="0" borderId="15" xfId="0" applyFont="1" applyFill="1" applyBorder="1" applyAlignment="1">
      <alignment horizontal="left"/>
    </xf>
    <xf numFmtId="14" fontId="20" fillId="0" borderId="21" xfId="0" applyNumberFormat="1" applyFont="1" applyFill="1" applyBorder="1" applyAlignment="1">
      <alignment horizontal="right"/>
    </xf>
    <xf numFmtId="14" fontId="20" fillId="0" borderId="20" xfId="0" applyNumberFormat="1" applyFont="1" applyFill="1" applyBorder="1" applyAlignment="1">
      <alignment horizontal="right"/>
    </xf>
    <xf numFmtId="3" fontId="23" fillId="0" borderId="20" xfId="0" applyNumberFormat="1" applyFont="1" applyFill="1" applyBorder="1" applyAlignment="1">
      <alignment horizontal="right"/>
    </xf>
    <xf numFmtId="3" fontId="26" fillId="0" borderId="20" xfId="0" applyNumberFormat="1" applyFont="1" applyFill="1" applyBorder="1" applyAlignment="1">
      <alignment horizontal="right"/>
    </xf>
    <xf numFmtId="14" fontId="26" fillId="0" borderId="20" xfId="0" applyNumberFormat="1" applyFont="1" applyFill="1" applyBorder="1" applyAlignment="1">
      <alignment horizontal="left"/>
    </xf>
    <xf numFmtId="0" fontId="26" fillId="0" borderId="19" xfId="0" applyFont="1" applyFill="1" applyBorder="1" applyAlignment="1">
      <alignment horizontal="left"/>
    </xf>
    <xf numFmtId="0" fontId="20" fillId="0" borderId="0" xfId="0" applyFont="1" applyFill="1" applyAlignment="1">
      <alignment horizontal="right"/>
    </xf>
    <xf numFmtId="14" fontId="20" fillId="0" borderId="0" xfId="0" applyNumberFormat="1" applyFont="1" applyFill="1" applyAlignment="1">
      <alignment horizontal="right"/>
    </xf>
    <xf numFmtId="164" fontId="20" fillId="0" borderId="0" xfId="0" applyNumberFormat="1" applyFont="1" applyAlignment="1">
      <alignment horizontal="right"/>
    </xf>
    <xf numFmtId="167" fontId="20" fillId="0" borderId="0" xfId="0" applyNumberFormat="1" applyFont="1" applyAlignment="1">
      <alignment horizontal="right"/>
    </xf>
    <xf numFmtId="14" fontId="26" fillId="4" borderId="17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right"/>
    </xf>
    <xf numFmtId="3" fontId="23" fillId="4" borderId="16" xfId="0" applyNumberFormat="1" applyFont="1" applyFill="1" applyBorder="1" applyAlignment="1">
      <alignment horizontal="right"/>
    </xf>
    <xf numFmtId="3" fontId="26" fillId="4" borderId="16" xfId="0" applyNumberFormat="1" applyFont="1" applyFill="1" applyBorder="1" applyAlignment="1">
      <alignment horizontal="right"/>
    </xf>
    <xf numFmtId="14" fontId="26" fillId="4" borderId="16" xfId="0" applyNumberFormat="1" applyFont="1" applyFill="1" applyBorder="1" applyAlignment="1">
      <alignment horizontal="left"/>
    </xf>
    <xf numFmtId="0" fontId="26" fillId="4" borderId="15" xfId="0" applyFont="1" applyFill="1" applyBorder="1" applyAlignment="1">
      <alignment horizontal="left"/>
    </xf>
    <xf numFmtId="14" fontId="26" fillId="4" borderId="21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right"/>
    </xf>
    <xf numFmtId="3" fontId="23" fillId="4" borderId="20" xfId="0" applyNumberFormat="1" applyFont="1" applyFill="1" applyBorder="1" applyAlignment="1">
      <alignment horizontal="right"/>
    </xf>
    <xf numFmtId="3" fontId="26" fillId="4" borderId="20" xfId="0" applyNumberFormat="1" applyFont="1" applyFill="1" applyBorder="1" applyAlignment="1">
      <alignment horizontal="right"/>
    </xf>
    <xf numFmtId="14" fontId="26" fillId="4" borderId="20" xfId="0" applyNumberFormat="1" applyFont="1" applyFill="1" applyBorder="1" applyAlignment="1">
      <alignment horizontal="left"/>
    </xf>
    <xf numFmtId="0" fontId="26" fillId="4" borderId="19" xfId="0" applyFont="1" applyFill="1" applyBorder="1" applyAlignment="1">
      <alignment horizontal="left"/>
    </xf>
    <xf numFmtId="3" fontId="24" fillId="9" borderId="7" xfId="0" applyNumberFormat="1" applyFont="1" applyFill="1" applyBorder="1" applyAlignment="1">
      <alignment horizontal="right"/>
    </xf>
    <xf numFmtId="14" fontId="20" fillId="4" borderId="17" xfId="0" applyNumberFormat="1" applyFont="1" applyFill="1" applyBorder="1" applyAlignment="1">
      <alignment horizontal="right"/>
    </xf>
    <xf numFmtId="14" fontId="20" fillId="4" borderId="16" xfId="0" applyNumberFormat="1" applyFont="1" applyFill="1" applyBorder="1" applyAlignment="1">
      <alignment horizontal="right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21" fillId="8" borderId="7" xfId="0" applyNumberFormat="1" applyFont="1" applyFill="1" applyBorder="1" applyAlignment="1">
      <alignment horizontal="center"/>
    </xf>
    <xf numFmtId="14" fontId="21" fillId="8" borderId="6" xfId="0" applyNumberFormat="1" applyFont="1" applyFill="1" applyBorder="1" applyAlignment="1">
      <alignment horizontal="center"/>
    </xf>
    <xf numFmtId="3" fontId="21" fillId="8" borderId="6" xfId="0" applyNumberFormat="1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1" fillId="8" borderId="5" xfId="0" applyFont="1" applyFill="1" applyBorder="1" applyAlignment="1">
      <alignment horizontal="center"/>
    </xf>
    <xf numFmtId="3" fontId="26" fillId="0" borderId="0" xfId="0" applyNumberFormat="1" applyFont="1" applyAlignment="1">
      <alignment horizontal="right"/>
    </xf>
    <xf numFmtId="0" fontId="26" fillId="0" borderId="0" xfId="0" applyFont="1" applyAlignment="1">
      <alignment horizontal="right"/>
    </xf>
    <xf numFmtId="14" fontId="20" fillId="0" borderId="7" xfId="0" applyNumberFormat="1" applyFont="1" applyFill="1" applyBorder="1" applyAlignment="1">
      <alignment horizontal="right"/>
    </xf>
    <xf numFmtId="14" fontId="20" fillId="0" borderId="6" xfId="0" applyNumberFormat="1" applyFont="1" applyFill="1" applyBorder="1" applyAlignment="1">
      <alignment horizontal="right"/>
    </xf>
    <xf numFmtId="3" fontId="23" fillId="0" borderId="6" xfId="0" applyNumberFormat="1" applyFont="1" applyFill="1" applyBorder="1" applyAlignment="1">
      <alignment horizontal="right"/>
    </xf>
    <xf numFmtId="3" fontId="26" fillId="0" borderId="6" xfId="0" applyNumberFormat="1" applyFont="1" applyFill="1" applyBorder="1" applyAlignment="1">
      <alignment horizontal="right"/>
    </xf>
    <xf numFmtId="14" fontId="26" fillId="0" borderId="6" xfId="0" applyNumberFormat="1" applyFont="1" applyFill="1" applyBorder="1" applyAlignment="1">
      <alignment horizontal="left"/>
    </xf>
    <xf numFmtId="0" fontId="26" fillId="0" borderId="5" xfId="0" applyFont="1" applyFill="1" applyBorder="1" applyAlignment="1">
      <alignment horizontal="left"/>
    </xf>
    <xf numFmtId="14" fontId="21" fillId="8" borderId="9" xfId="0" applyNumberFormat="1" applyFont="1" applyFill="1" applyBorder="1" applyAlignment="1">
      <alignment horizontal="center"/>
    </xf>
    <xf numFmtId="14" fontId="21" fillId="8" borderId="8" xfId="0" applyNumberFormat="1" applyFont="1" applyFill="1" applyBorder="1" applyAlignment="1">
      <alignment horizontal="center"/>
    </xf>
    <xf numFmtId="3" fontId="21" fillId="8" borderId="9" xfId="0" applyNumberFormat="1" applyFont="1" applyFill="1" applyBorder="1" applyAlignment="1">
      <alignment horizontal="center"/>
    </xf>
    <xf numFmtId="3" fontId="21" fillId="8" borderId="23" xfId="0" applyNumberFormat="1" applyFont="1" applyFill="1" applyBorder="1" applyAlignment="1">
      <alignment horizontal="center"/>
    </xf>
    <xf numFmtId="0" fontId="21" fillId="8" borderId="23" xfId="0" applyFont="1" applyFill="1" applyBorder="1" applyAlignment="1">
      <alignment horizontal="center"/>
    </xf>
    <xf numFmtId="0" fontId="21" fillId="8" borderId="8" xfId="0" applyFont="1" applyFill="1" applyBorder="1" applyAlignment="1">
      <alignment horizontal="center"/>
    </xf>
    <xf numFmtId="3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7" fillId="2" borderId="37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9" fillId="0" borderId="28" xfId="0" applyFont="1" applyFill="1" applyBorder="1"/>
    <xf numFmtId="14" fontId="30" fillId="0" borderId="28" xfId="0" applyNumberFormat="1" applyFont="1" applyFill="1" applyBorder="1" applyAlignment="1">
      <alignment horizontal="right"/>
    </xf>
    <xf numFmtId="14" fontId="30" fillId="0" borderId="28" xfId="0" applyNumberFormat="1" applyFont="1" applyFill="1" applyBorder="1"/>
    <xf numFmtId="4" fontId="30" fillId="0" borderId="28" xfId="0" applyNumberFormat="1" applyFont="1" applyFill="1" applyBorder="1"/>
    <xf numFmtId="169" fontId="30" fillId="0" borderId="28" xfId="0" applyNumberFormat="1" applyFont="1" applyFill="1" applyBorder="1"/>
    <xf numFmtId="170" fontId="30" fillId="0" borderId="28" xfId="0" applyNumberFormat="1" applyFont="1" applyFill="1" applyBorder="1"/>
    <xf numFmtId="0" fontId="30" fillId="0" borderId="28" xfId="0" applyFont="1" applyFill="1" applyBorder="1"/>
    <xf numFmtId="171" fontId="27" fillId="2" borderId="37" xfId="0" applyNumberFormat="1" applyFont="1" applyFill="1" applyBorder="1" applyAlignment="1">
      <alignment horizontal="right"/>
    </xf>
    <xf numFmtId="171" fontId="0" fillId="0" borderId="28" xfId="0" applyNumberFormat="1" applyFill="1" applyBorder="1" applyAlignment="1">
      <alignment horizontal="right" wrapText="1"/>
    </xf>
    <xf numFmtId="0" fontId="0" fillId="0" borderId="28" xfId="0" applyFill="1" applyBorder="1" applyAlignment="1">
      <alignment wrapText="1"/>
    </xf>
    <xf numFmtId="0" fontId="27" fillId="0" borderId="2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/>
    </xf>
    <xf numFmtId="0" fontId="27" fillId="2" borderId="23" xfId="0" applyFont="1" applyFill="1" applyBorder="1" applyAlignment="1">
      <alignment horizontal="center"/>
    </xf>
    <xf numFmtId="0" fontId="27" fillId="2" borderId="40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41" xfId="0" applyFont="1" applyFill="1" applyBorder="1" applyAlignment="1">
      <alignment horizontal="center"/>
    </xf>
    <xf numFmtId="0" fontId="27" fillId="2" borderId="8" xfId="0" applyFont="1" applyFill="1" applyBorder="1" applyAlignment="1">
      <alignment horizontal="center"/>
    </xf>
    <xf numFmtId="0" fontId="31" fillId="0" borderId="28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horizontal="left"/>
    </xf>
    <xf numFmtId="14" fontId="26" fillId="4" borderId="12" xfId="0" applyNumberFormat="1" applyFont="1" applyFill="1" applyBorder="1" applyAlignment="1">
      <alignment horizontal="left"/>
    </xf>
    <xf numFmtId="3" fontId="26" fillId="4" borderId="12" xfId="0" applyNumberFormat="1" applyFont="1" applyFill="1" applyBorder="1" applyAlignment="1">
      <alignment horizontal="right"/>
    </xf>
    <xf numFmtId="3" fontId="23" fillId="4" borderId="12" xfId="0" applyNumberFormat="1" applyFont="1" applyFill="1" applyBorder="1" applyAlignment="1">
      <alignment horizontal="right"/>
    </xf>
    <xf numFmtId="14" fontId="26" fillId="4" borderId="12" xfId="0" applyNumberFormat="1" applyFont="1" applyFill="1" applyBorder="1" applyAlignment="1">
      <alignment horizontal="right"/>
    </xf>
    <xf numFmtId="14" fontId="26" fillId="4" borderId="13" xfId="0" applyNumberFormat="1" applyFont="1" applyFill="1" applyBorder="1" applyAlignment="1">
      <alignment horizontal="right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9" fillId="7" borderId="12" xfId="0" applyNumberFormat="1" applyFont="1" applyFill="1" applyBorder="1"/>
    <xf numFmtId="3" fontId="16" fillId="6" borderId="12" xfId="0" applyNumberFormat="1" applyFont="1" applyFill="1" applyBorder="1" applyAlignment="1">
      <alignment horizontal="center"/>
    </xf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42" xfId="0" applyNumberFormat="1" applyFont="1" applyBorder="1" applyAlignment="1">
      <alignment horizontal="center"/>
    </xf>
    <xf numFmtId="3" fontId="5" fillId="3" borderId="42" xfId="0" applyNumberFormat="1" applyFont="1" applyFill="1" applyBorder="1"/>
    <xf numFmtId="3" fontId="10" fillId="0" borderId="42" xfId="0" applyNumberFormat="1" applyFont="1" applyBorder="1" applyAlignment="1">
      <alignment horizontal="center"/>
    </xf>
    <xf numFmtId="3" fontId="14" fillId="7" borderId="42" xfId="0" applyNumberFormat="1" applyFont="1" applyFill="1" applyBorder="1" applyAlignment="1">
      <alignment horizontal="center"/>
    </xf>
    <xf numFmtId="3" fontId="10" fillId="0" borderId="42" xfId="0" applyNumberFormat="1" applyFont="1" applyBorder="1" applyAlignment="1">
      <alignment horizontal="right"/>
    </xf>
    <xf numFmtId="3" fontId="6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166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3" xfId="0" applyNumberFormat="1" applyFont="1" applyBorder="1" applyAlignment="1">
      <alignment horizontal="center"/>
    </xf>
    <xf numFmtId="3" fontId="11" fillId="0" borderId="30" xfId="0" applyNumberFormat="1" applyFont="1" applyBorder="1" applyAlignment="1">
      <alignment horizontal="center"/>
    </xf>
    <xf numFmtId="3" fontId="12" fillId="6" borderId="15" xfId="0" applyNumberFormat="1" applyFont="1" applyFill="1" applyBorder="1"/>
    <xf numFmtId="3" fontId="12" fillId="6" borderId="16" xfId="0" applyNumberFormat="1" applyFont="1" applyFill="1" applyBorder="1"/>
    <xf numFmtId="3" fontId="12" fillId="6" borderId="17" xfId="0" applyNumberFormat="1" applyFont="1" applyFill="1" applyBorder="1"/>
    <xf numFmtId="3" fontId="11" fillId="0" borderId="44" xfId="0" applyNumberFormat="1" applyFont="1" applyBorder="1"/>
    <xf numFmtId="3" fontId="11" fillId="0" borderId="30" xfId="0" applyNumberFormat="1" applyFont="1" applyBorder="1"/>
    <xf numFmtId="3" fontId="34" fillId="0" borderId="12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0" fontId="35" fillId="0" borderId="0" xfId="0" applyFont="1"/>
    <xf numFmtId="164" fontId="35" fillId="0" borderId="7" xfId="0" applyNumberFormat="1" applyFont="1" applyBorder="1"/>
    <xf numFmtId="3" fontId="7" fillId="0" borderId="12" xfId="0" applyNumberFormat="1" applyFont="1" applyBorder="1" applyAlignment="1">
      <alignment horizontal="right" indent="1"/>
    </xf>
    <xf numFmtId="3" fontId="10" fillId="7" borderId="11" xfId="0" applyNumberFormat="1" applyFont="1" applyFill="1" applyBorder="1" applyAlignment="1">
      <alignment horizontal="center"/>
    </xf>
    <xf numFmtId="3" fontId="10" fillId="7" borderId="42" xfId="0" applyNumberFormat="1" applyFont="1" applyFill="1" applyBorder="1" applyAlignment="1">
      <alignment horizontal="center"/>
    </xf>
    <xf numFmtId="3" fontId="10" fillId="7" borderId="13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3" fontId="19" fillId="0" borderId="12" xfId="0" applyNumberFormat="1" applyFont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4" fontId="7" fillId="0" borderId="20" xfId="0" applyNumberFormat="1" applyFont="1" applyFill="1" applyBorder="1"/>
    <xf numFmtId="14" fontId="7" fillId="0" borderId="21" xfId="0" applyNumberFormat="1" applyFont="1" applyFill="1" applyBorder="1" applyAlignment="1">
      <alignment horizontal="right"/>
    </xf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4" fontId="17" fillId="0" borderId="26" xfId="0" applyNumberFormat="1" applyFont="1" applyFill="1" applyBorder="1" applyAlignment="1">
      <alignment horizontal="right"/>
    </xf>
    <xf numFmtId="14" fontId="17" fillId="0" borderId="27" xfId="0" applyNumberFormat="1" applyFont="1" applyFill="1" applyBorder="1" applyAlignment="1">
      <alignment horizontal="right"/>
    </xf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4" xfId="0" applyFont="1" applyFill="1" applyBorder="1"/>
    <xf numFmtId="0" fontId="3" fillId="0" borderId="25" xfId="0" applyFont="1" applyFill="1" applyBorder="1"/>
    <xf numFmtId="14" fontId="3" fillId="0" borderId="26" xfId="0" applyNumberFormat="1" applyFont="1" applyFill="1" applyBorder="1"/>
    <xf numFmtId="0" fontId="3" fillId="0" borderId="26" xfId="0" applyFont="1" applyFill="1" applyBorder="1"/>
    <xf numFmtId="4" fontId="3" fillId="0" borderId="26" xfId="0" applyNumberFormat="1" applyFont="1" applyFill="1" applyBorder="1"/>
    <xf numFmtId="164" fontId="3" fillId="0" borderId="26" xfId="0" applyNumberFormat="1" applyFont="1" applyFill="1" applyBorder="1"/>
    <xf numFmtId="14" fontId="3" fillId="0" borderId="27" xfId="1" applyNumberFormat="1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14" fontId="2" fillId="4" borderId="27" xfId="1" applyNumberFormat="1" applyFont="1" applyFill="1" applyBorder="1"/>
    <xf numFmtId="164" fontId="6" fillId="4" borderId="25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0" fontId="6" fillId="4" borderId="24" xfId="0" applyFont="1" applyFill="1" applyBorder="1"/>
    <xf numFmtId="0" fontId="6" fillId="4" borderId="25" xfId="0" applyFont="1" applyFill="1" applyBorder="1"/>
    <xf numFmtId="14" fontId="6" fillId="4" borderId="26" xfId="0" applyNumberFormat="1" applyFont="1" applyFill="1" applyBorder="1"/>
    <xf numFmtId="0" fontId="6" fillId="4" borderId="12" xfId="0" applyFont="1" applyFill="1" applyBorder="1"/>
    <xf numFmtId="4" fontId="6" fillId="4" borderId="26" xfId="0" applyNumberFormat="1" applyFont="1" applyFill="1" applyBorder="1"/>
    <xf numFmtId="164" fontId="6" fillId="4" borderId="26" xfId="0" applyNumberFormat="1" applyFont="1" applyFill="1" applyBorder="1"/>
    <xf numFmtId="14" fontId="6" fillId="4" borderId="27" xfId="1" applyNumberFormat="1" applyFont="1" applyFill="1" applyBorder="1"/>
    <xf numFmtId="0" fontId="6" fillId="4" borderId="26" xfId="0" applyFont="1" applyFill="1" applyBorder="1"/>
    <xf numFmtId="0" fontId="6" fillId="4" borderId="27" xfId="0" applyFont="1" applyFill="1" applyBorder="1"/>
    <xf numFmtId="4" fontId="6" fillId="4" borderId="25" xfId="0" applyNumberFormat="1" applyFont="1" applyFill="1" applyBorder="1"/>
    <xf numFmtId="0" fontId="0" fillId="0" borderId="19" xfId="0" applyBorder="1"/>
    <xf numFmtId="0" fontId="0" fillId="0" borderId="20" xfId="0" applyBorder="1"/>
    <xf numFmtId="14" fontId="0" fillId="0" borderId="20" xfId="0" applyNumberFormat="1" applyBorder="1"/>
    <xf numFmtId="164" fontId="0" fillId="0" borderId="21" xfId="0" applyNumberFormat="1" applyBorder="1"/>
    <xf numFmtId="0" fontId="0" fillId="0" borderId="11" xfId="0" applyBorder="1"/>
    <xf numFmtId="0" fontId="0" fillId="0" borderId="12" xfId="0" applyBorder="1"/>
    <xf numFmtId="14" fontId="0" fillId="0" borderId="12" xfId="0" applyNumberFormat="1" applyBorder="1"/>
    <xf numFmtId="164" fontId="0" fillId="0" borderId="13" xfId="0" applyNumberFormat="1" applyBorder="1"/>
    <xf numFmtId="0" fontId="26" fillId="4" borderId="5" xfId="0" applyFont="1" applyFill="1" applyBorder="1" applyAlignment="1">
      <alignment horizontal="left"/>
    </xf>
    <xf numFmtId="14" fontId="26" fillId="4" borderId="6" xfId="0" applyNumberFormat="1" applyFont="1" applyFill="1" applyBorder="1" applyAlignment="1">
      <alignment horizontal="left"/>
    </xf>
    <xf numFmtId="3" fontId="26" fillId="4" borderId="6" xfId="0" applyNumberFormat="1" applyFont="1" applyFill="1" applyBorder="1" applyAlignment="1">
      <alignment horizontal="right"/>
    </xf>
    <xf numFmtId="3" fontId="23" fillId="4" borderId="6" xfId="0" applyNumberFormat="1" applyFont="1" applyFill="1" applyBorder="1" applyAlignment="1">
      <alignment horizontal="right"/>
    </xf>
    <xf numFmtId="14" fontId="26" fillId="4" borderId="6" xfId="0" applyNumberFormat="1" applyFont="1" applyFill="1" applyBorder="1" applyAlignment="1">
      <alignment horizontal="right"/>
    </xf>
    <xf numFmtId="14" fontId="26" fillId="4" borderId="7" xfId="0" applyNumberFormat="1" applyFont="1" applyFill="1" applyBorder="1" applyAlignment="1">
      <alignment horizontal="right"/>
    </xf>
    <xf numFmtId="0" fontId="5" fillId="0" borderId="24" xfId="0" applyFont="1" applyBorder="1"/>
    <xf numFmtId="0" fontId="5" fillId="0" borderId="25" xfId="0" applyFont="1" applyBorder="1"/>
    <xf numFmtId="14" fontId="5" fillId="0" borderId="26" xfId="0" applyNumberFormat="1" applyFont="1" applyBorder="1"/>
    <xf numFmtId="0" fontId="5" fillId="0" borderId="26" xfId="0" applyFont="1" applyBorder="1"/>
    <xf numFmtId="4" fontId="5" fillId="0" borderId="26" xfId="0" applyNumberFormat="1" applyFont="1" applyBorder="1"/>
    <xf numFmtId="164" fontId="5" fillId="0" borderId="26" xfId="0" applyNumberFormat="1" applyFont="1" applyBorder="1"/>
    <xf numFmtId="14" fontId="5" fillId="0" borderId="27" xfId="0" applyNumberFormat="1" applyFont="1" applyBorder="1"/>
    <xf numFmtId="164" fontId="5" fillId="0" borderId="25" xfId="0" applyNumberFormat="1" applyFont="1" applyBorder="1"/>
    <xf numFmtId="4" fontId="5" fillId="0" borderId="25" xfId="0" applyNumberFormat="1" applyFont="1" applyBorder="1"/>
    <xf numFmtId="0" fontId="5" fillId="0" borderId="27" xfId="0" applyFont="1" applyBorder="1"/>
    <xf numFmtId="4" fontId="5" fillId="0" borderId="24" xfId="0" applyNumberFormat="1" applyFont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51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4" xfId="0" applyFont="1" applyBorder="1"/>
    <xf numFmtId="11" fontId="6" fillId="0" borderId="5" xfId="0" applyNumberFormat="1" applyFont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0" fontId="17" fillId="0" borderId="25" xfId="0" applyFont="1" applyFill="1" applyBorder="1"/>
    <xf numFmtId="0" fontId="7" fillId="0" borderId="25" xfId="0" applyFont="1" applyFill="1" applyBorder="1"/>
    <xf numFmtId="4" fontId="7" fillId="0" borderId="26" xfId="0" applyNumberFormat="1" applyFont="1" applyFill="1" applyBorder="1"/>
    <xf numFmtId="14" fontId="17" fillId="0" borderId="26" xfId="0" applyNumberFormat="1" applyFont="1" applyFill="1" applyBorder="1"/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14" fontId="6" fillId="0" borderId="27" xfId="0" applyNumberFormat="1" applyFont="1" applyFill="1" applyBorder="1"/>
    <xf numFmtId="4" fontId="5" fillId="0" borderId="24" xfId="0" applyNumberFormat="1" applyFont="1" applyFill="1" applyBorder="1"/>
    <xf numFmtId="4" fontId="6" fillId="4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4" fontId="6" fillId="0" borderId="24" xfId="0" applyNumberFormat="1" applyFont="1" applyFill="1" applyBorder="1"/>
    <xf numFmtId="164" fontId="6" fillId="0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0" fontId="36" fillId="0" borderId="26" xfId="0" applyFont="1" applyFill="1" applyBorder="1"/>
    <xf numFmtId="4" fontId="36" fillId="0" borderId="26" xfId="0" applyNumberFormat="1" applyFont="1" applyFill="1" applyBorder="1"/>
    <xf numFmtId="14" fontId="36" fillId="0" borderId="26" xfId="0" applyNumberFormat="1" applyFont="1" applyFill="1" applyBorder="1"/>
    <xf numFmtId="14" fontId="36" fillId="0" borderId="27" xfId="0" applyNumberFormat="1" applyFont="1" applyFill="1" applyBorder="1" applyAlignment="1">
      <alignment horizontal="right"/>
    </xf>
    <xf numFmtId="0" fontId="3" fillId="0" borderId="19" xfId="0" applyFont="1" applyFill="1" applyBorder="1"/>
    <xf numFmtId="0" fontId="3" fillId="0" borderId="20" xfId="0" applyFont="1" applyFill="1" applyBorder="1"/>
    <xf numFmtId="4" fontId="3" fillId="0" borderId="20" xfId="0" applyNumberFormat="1" applyFont="1" applyFill="1" applyBorder="1"/>
    <xf numFmtId="14" fontId="3" fillId="0" borderId="20" xfId="0" applyNumberFormat="1" applyFont="1" applyFill="1" applyBorder="1"/>
    <xf numFmtId="0" fontId="3" fillId="0" borderId="15" xfId="0" applyFont="1" applyFill="1" applyBorder="1"/>
    <xf numFmtId="0" fontId="3" fillId="0" borderId="16" xfId="0" applyFont="1" applyFill="1" applyBorder="1"/>
    <xf numFmtId="4" fontId="3" fillId="0" borderId="16" xfId="0" applyNumberFormat="1" applyFont="1" applyFill="1" applyBorder="1"/>
    <xf numFmtId="14" fontId="3" fillId="0" borderId="16" xfId="0" applyNumberFormat="1" applyFont="1" applyFill="1" applyBorder="1"/>
    <xf numFmtId="14" fontId="3" fillId="0" borderId="21" xfId="0" applyNumberFormat="1" applyFont="1" applyFill="1" applyBorder="1"/>
    <xf numFmtId="14" fontId="3" fillId="0" borderId="17" xfId="0" applyNumberFormat="1" applyFont="1" applyFill="1" applyBorder="1"/>
    <xf numFmtId="14" fontId="36" fillId="0" borderId="26" xfId="0" applyNumberFormat="1" applyFont="1" applyFill="1" applyBorder="1" applyAlignment="1">
      <alignment horizontal="right"/>
    </xf>
    <xf numFmtId="0" fontId="36" fillId="0" borderId="25" xfId="0" applyFont="1" applyFill="1" applyBorder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3" fontId="12" fillId="6" borderId="11" xfId="0" applyNumberFormat="1" applyFont="1" applyFill="1" applyBorder="1"/>
    <xf numFmtId="3" fontId="12" fillId="6" borderId="12" xfId="0" applyNumberFormat="1" applyFont="1" applyFill="1" applyBorder="1"/>
    <xf numFmtId="3" fontId="12" fillId="6" borderId="13" xfId="0" applyNumberFormat="1" applyFont="1" applyFill="1" applyBorder="1"/>
    <xf numFmtId="0" fontId="37" fillId="0" borderId="0" xfId="0" applyFont="1"/>
    <xf numFmtId="3" fontId="37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34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39" fillId="0" borderId="0" xfId="0" applyFont="1"/>
    <xf numFmtId="164" fontId="39" fillId="0" borderId="0" xfId="0" applyNumberFormat="1" applyFont="1"/>
    <xf numFmtId="0" fontId="40" fillId="0" borderId="0" xfId="0" applyFont="1"/>
    <xf numFmtId="164" fontId="40" fillId="0" borderId="7" xfId="0" applyNumberFormat="1" applyFont="1" applyBorder="1"/>
    <xf numFmtId="0" fontId="41" fillId="0" borderId="0" xfId="0" applyFont="1"/>
    <xf numFmtId="164" fontId="41" fillId="0" borderId="17" xfId="0" applyNumberFormat="1" applyFont="1" applyBorder="1"/>
    <xf numFmtId="14" fontId="41" fillId="0" borderId="16" xfId="0" applyNumberFormat="1" applyFont="1" applyBorder="1"/>
    <xf numFmtId="0" fontId="41" fillId="0" borderId="16" xfId="0" applyFont="1" applyBorder="1"/>
    <xf numFmtId="0" fontId="41" fillId="0" borderId="15" xfId="0" applyFont="1" applyBorder="1"/>
    <xf numFmtId="164" fontId="41" fillId="0" borderId="13" xfId="0" applyNumberFormat="1" applyFont="1" applyBorder="1"/>
    <xf numFmtId="14" fontId="41" fillId="0" borderId="12" xfId="0" applyNumberFormat="1" applyFont="1" applyBorder="1"/>
    <xf numFmtId="0" fontId="41" fillId="0" borderId="12" xfId="0" applyFont="1" applyBorder="1"/>
    <xf numFmtId="0" fontId="41" fillId="0" borderId="11" xfId="0" applyFont="1" applyBorder="1"/>
    <xf numFmtId="164" fontId="41" fillId="0" borderId="21" xfId="0" applyNumberFormat="1" applyFont="1" applyBorder="1"/>
    <xf numFmtId="14" fontId="41" fillId="0" borderId="20" xfId="0" applyNumberFormat="1" applyFont="1" applyBorder="1"/>
    <xf numFmtId="0" fontId="41" fillId="0" borderId="20" xfId="0" applyFont="1" applyBorder="1"/>
    <xf numFmtId="0" fontId="41" fillId="0" borderId="19" xfId="0" applyFont="1" applyBorder="1"/>
    <xf numFmtId="164" fontId="39" fillId="0" borderId="13" xfId="0" applyNumberFormat="1" applyFont="1" applyBorder="1"/>
    <xf numFmtId="14" fontId="39" fillId="0" borderId="12" xfId="0" applyNumberFormat="1" applyFont="1" applyBorder="1"/>
    <xf numFmtId="0" fontId="39" fillId="0" borderId="12" xfId="0" applyFont="1" applyBorder="1"/>
    <xf numFmtId="0" fontId="39" fillId="0" borderId="11" xfId="0" applyFont="1" applyBorder="1"/>
    <xf numFmtId="164" fontId="39" fillId="0" borderId="21" xfId="0" applyNumberFormat="1" applyFont="1" applyBorder="1"/>
    <xf numFmtId="14" fontId="39" fillId="0" borderId="20" xfId="0" applyNumberFormat="1" applyFont="1" applyBorder="1"/>
    <xf numFmtId="0" fontId="39" fillId="0" borderId="20" xfId="0" applyFont="1" applyBorder="1"/>
    <xf numFmtId="0" fontId="39" fillId="0" borderId="19" xfId="0" applyFont="1" applyBorder="1"/>
    <xf numFmtId="0" fontId="41" fillId="0" borderId="0" xfId="0" applyFont="1" applyAlignment="1">
      <alignment horizontal="center"/>
    </xf>
    <xf numFmtId="164" fontId="41" fillId="0" borderId="7" xfId="0" applyNumberFormat="1" applyFont="1" applyBorder="1" applyAlignment="1">
      <alignment horizontal="center"/>
    </xf>
    <xf numFmtId="0" fontId="41" fillId="0" borderId="6" xfId="0" applyFont="1" applyBorder="1" applyAlignment="1">
      <alignment horizontal="center"/>
    </xf>
    <xf numFmtId="0" fontId="41" fillId="0" borderId="5" xfId="0" applyFont="1" applyBorder="1" applyAlignment="1">
      <alignment horizontal="center"/>
    </xf>
    <xf numFmtId="0" fontId="38" fillId="0" borderId="0" xfId="0" applyFont="1"/>
    <xf numFmtId="164" fontId="18" fillId="0" borderId="17" xfId="0" applyNumberFormat="1" applyFont="1" applyBorder="1"/>
    <xf numFmtId="14" fontId="18" fillId="0" borderId="16" xfId="0" applyNumberFormat="1" applyFont="1" applyBorder="1"/>
    <xf numFmtId="0" fontId="18" fillId="0" borderId="16" xfId="0" applyFont="1" applyBorder="1"/>
    <xf numFmtId="0" fontId="18" fillId="0" borderId="15" xfId="0" applyFont="1" applyBorder="1"/>
    <xf numFmtId="164" fontId="18" fillId="0" borderId="13" xfId="0" applyNumberFormat="1" applyFont="1" applyBorder="1"/>
    <xf numFmtId="14" fontId="18" fillId="0" borderId="12" xfId="0" applyNumberFormat="1" applyFont="1" applyBorder="1"/>
    <xf numFmtId="0" fontId="18" fillId="0" borderId="12" xfId="0" applyFont="1" applyBorder="1"/>
    <xf numFmtId="0" fontId="18" fillId="0" borderId="11" xfId="0" applyFont="1" applyBorder="1"/>
    <xf numFmtId="164" fontId="18" fillId="0" borderId="7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7" fillId="0" borderId="5" xfId="0" applyFont="1" applyFill="1" applyBorder="1"/>
    <xf numFmtId="0" fontId="17" fillId="0" borderId="6" xfId="0" applyFont="1" applyFill="1" applyBorder="1"/>
    <xf numFmtId="4" fontId="17" fillId="0" borderId="6" xfId="0" applyNumberFormat="1" applyFont="1" applyFill="1" applyBorder="1"/>
    <xf numFmtId="14" fontId="17" fillId="0" borderId="6" xfId="0" applyNumberFormat="1" applyFont="1" applyFill="1" applyBorder="1" applyAlignment="1">
      <alignment horizontal="right"/>
    </xf>
    <xf numFmtId="14" fontId="17" fillId="0" borderId="7" xfId="0" applyNumberFormat="1" applyFont="1" applyFill="1" applyBorder="1" applyAlignment="1">
      <alignment horizontal="right"/>
    </xf>
    <xf numFmtId="3" fontId="34" fillId="4" borderId="12" xfId="0" applyNumberFormat="1" applyFont="1" applyFill="1" applyBorder="1" applyAlignment="1">
      <alignment horizontal="right" indent="1"/>
    </xf>
    <xf numFmtId="3" fontId="34" fillId="4" borderId="13" xfId="0" applyNumberFormat="1" applyFont="1" applyFill="1" applyBorder="1" applyAlignment="1">
      <alignment horizontal="right" indent="1"/>
    </xf>
    <xf numFmtId="0" fontId="7" fillId="0" borderId="16" xfId="0" applyFont="1" applyFill="1" applyBorder="1"/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14" fontId="7" fillId="0" borderId="17" xfId="0" applyNumberFormat="1" applyFont="1" applyFill="1" applyBorder="1"/>
    <xf numFmtId="14" fontId="2" fillId="0" borderId="0" xfId="0" applyNumberFormat="1" applyFont="1"/>
    <xf numFmtId="14" fontId="2" fillId="0" borderId="0" xfId="1" applyNumberFormat="1" applyFont="1"/>
    <xf numFmtId="164" fontId="2" fillId="4" borderId="24" xfId="0" applyNumberFormat="1" applyFont="1" applyFill="1" applyBorder="1"/>
    <xf numFmtId="0" fontId="11" fillId="0" borderId="1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17" fontId="10" fillId="0" borderId="21" xfId="0" applyNumberFormat="1" applyFont="1" applyBorder="1"/>
    <xf numFmtId="17" fontId="10" fillId="0" borderId="13" xfId="0" applyNumberFormat="1" applyFont="1" applyBorder="1"/>
    <xf numFmtId="17" fontId="10" fillId="0" borderId="17" xfId="0" applyNumberFormat="1" applyFont="1" applyBorder="1"/>
    <xf numFmtId="0" fontId="10" fillId="0" borderId="54" xfId="0" applyFont="1" applyBorder="1" applyAlignment="1">
      <alignment horizontal="center"/>
    </xf>
    <xf numFmtId="0" fontId="10" fillId="0" borderId="55" xfId="0" applyFont="1" applyBorder="1" applyAlignment="1">
      <alignment horizontal="center"/>
    </xf>
    <xf numFmtId="0" fontId="10" fillId="0" borderId="56" xfId="0" applyFont="1" applyBorder="1" applyAlignment="1">
      <alignment horizontal="center"/>
    </xf>
    <xf numFmtId="4" fontId="36" fillId="3" borderId="26" xfId="0" applyNumberFormat="1" applyFont="1" applyFill="1" applyBorder="1"/>
    <xf numFmtId="3" fontId="4" fillId="0" borderId="0" xfId="0" applyNumberFormat="1" applyFont="1"/>
    <xf numFmtId="4" fontId="4" fillId="0" borderId="0" xfId="0" applyNumberFormat="1" applyFont="1"/>
    <xf numFmtId="3" fontId="11" fillId="0" borderId="0" xfId="0" applyNumberFormat="1" applyFont="1" applyBorder="1"/>
    <xf numFmtId="0" fontId="7" fillId="3" borderId="25" xfId="0" applyFont="1" applyFill="1" applyBorder="1"/>
    <xf numFmtId="0" fontId="17" fillId="3" borderId="26" xfId="0" applyFont="1" applyFill="1" applyBorder="1"/>
    <xf numFmtId="4" fontId="17" fillId="3" borderId="26" xfId="0" applyNumberFormat="1" applyFont="1" applyFill="1" applyBorder="1"/>
    <xf numFmtId="4" fontId="7" fillId="3" borderId="26" xfId="0" applyNumberFormat="1" applyFont="1" applyFill="1" applyBorder="1"/>
    <xf numFmtId="14" fontId="17" fillId="3" borderId="26" xfId="0" applyNumberFormat="1" applyFont="1" applyFill="1" applyBorder="1"/>
    <xf numFmtId="14" fontId="17" fillId="3" borderId="27" xfId="0" applyNumberFormat="1" applyFont="1" applyFill="1" applyBorder="1" applyAlignment="1">
      <alignment horizontal="right"/>
    </xf>
    <xf numFmtId="0" fontId="3" fillId="3" borderId="5" xfId="0" applyFont="1" applyFill="1" applyBorder="1"/>
    <xf numFmtId="0" fontId="3" fillId="3" borderId="6" xfId="0" applyFont="1" applyFill="1" applyBorder="1"/>
    <xf numFmtId="4" fontId="3" fillId="3" borderId="6" xfId="0" applyNumberFormat="1" applyFont="1" applyFill="1" applyBorder="1"/>
    <xf numFmtId="14" fontId="3" fillId="3" borderId="6" xfId="0" applyNumberFormat="1" applyFont="1" applyFill="1" applyBorder="1"/>
    <xf numFmtId="14" fontId="3" fillId="3" borderId="7" xfId="0" applyNumberFormat="1" applyFont="1" applyFill="1" applyBorder="1" applyAlignment="1">
      <alignment horizontal="right"/>
    </xf>
    <xf numFmtId="0" fontId="7" fillId="3" borderId="11" xfId="0" applyFont="1" applyFill="1" applyBorder="1"/>
    <xf numFmtId="0" fontId="7" fillId="3" borderId="12" xfId="0" applyFont="1" applyFill="1" applyBorder="1"/>
    <xf numFmtId="4" fontId="7" fillId="3" borderId="12" xfId="0" applyNumberFormat="1" applyFont="1" applyFill="1" applyBorder="1"/>
    <xf numFmtId="14" fontId="7" fillId="3" borderId="12" xfId="0" applyNumberFormat="1" applyFont="1" applyFill="1" applyBorder="1"/>
    <xf numFmtId="14" fontId="7" fillId="3" borderId="13" xfId="0" applyNumberFormat="1" applyFont="1" applyFill="1" applyBorder="1" applyAlignment="1">
      <alignment horizontal="right"/>
    </xf>
    <xf numFmtId="0" fontId="7" fillId="3" borderId="19" xfId="0" applyFont="1" applyFill="1" applyBorder="1"/>
    <xf numFmtId="0" fontId="7" fillId="3" borderId="20" xfId="0" applyFont="1" applyFill="1" applyBorder="1"/>
    <xf numFmtId="4" fontId="7" fillId="3" borderId="20" xfId="0" applyNumberFormat="1" applyFont="1" applyFill="1" applyBorder="1"/>
    <xf numFmtId="14" fontId="7" fillId="3" borderId="20" xfId="0" applyNumberFormat="1" applyFont="1" applyFill="1" applyBorder="1"/>
    <xf numFmtId="14" fontId="7" fillId="3" borderId="21" xfId="0" applyNumberFormat="1" applyFont="1" applyFill="1" applyBorder="1"/>
    <xf numFmtId="0" fontId="17" fillId="3" borderId="25" xfId="0" applyFont="1" applyFill="1" applyBorder="1"/>
    <xf numFmtId="14" fontId="17" fillId="3" borderId="26" xfId="0" applyNumberFormat="1" applyFont="1" applyFill="1" applyBorder="1" applyAlignment="1">
      <alignment horizontal="right"/>
    </xf>
    <xf numFmtId="3" fontId="34" fillId="0" borderId="12" xfId="0" applyNumberFormat="1" applyFont="1" applyFill="1" applyBorder="1"/>
    <xf numFmtId="3" fontId="34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/>
    <xf numFmtId="4" fontId="7" fillId="0" borderId="0" xfId="0" applyNumberFormat="1" applyFont="1" applyFill="1"/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5" fillId="9" borderId="5" xfId="0" applyFont="1" applyFill="1" applyBorder="1" applyAlignment="1">
      <alignment horizontal="left"/>
    </xf>
    <xf numFmtId="0" fontId="25" fillId="9" borderId="6" xfId="0" applyFont="1" applyFill="1" applyBorder="1" applyAlignment="1">
      <alignment horizontal="left"/>
    </xf>
    <xf numFmtId="14" fontId="20" fillId="9" borderId="22" xfId="0" applyNumberFormat="1" applyFont="1" applyFill="1" applyBorder="1" applyAlignment="1">
      <alignment horizontal="right"/>
    </xf>
    <xf numFmtId="14" fontId="20" fillId="9" borderId="36" xfId="0" applyNumberFormat="1" applyFont="1" applyFill="1" applyBorder="1" applyAlignment="1">
      <alignment horizontal="right"/>
    </xf>
    <xf numFmtId="14" fontId="20" fillId="9" borderId="0" xfId="0" applyNumberFormat="1" applyFont="1" applyFill="1" applyBorder="1" applyAlignment="1">
      <alignment horizontal="right"/>
    </xf>
    <xf numFmtId="14" fontId="20" fillId="9" borderId="2" xfId="0" applyNumberFormat="1" applyFont="1" applyFill="1" applyBorder="1" applyAlignment="1">
      <alignment horizontal="right"/>
    </xf>
    <xf numFmtId="14" fontId="20" fillId="9" borderId="3" xfId="0" applyNumberFormat="1" applyFont="1" applyFill="1" applyBorder="1" applyAlignment="1">
      <alignment horizontal="right"/>
    </xf>
    <xf numFmtId="14" fontId="20" fillId="9" borderId="31" xfId="0" applyNumberFormat="1" applyFont="1" applyFill="1" applyBorder="1" applyAlignment="1">
      <alignment horizontal="right"/>
    </xf>
    <xf numFmtId="14" fontId="20" fillId="9" borderId="32" xfId="0" applyNumberFormat="1" applyFont="1" applyFill="1" applyBorder="1" applyAlignment="1">
      <alignment horizontal="right"/>
    </xf>
    <xf numFmtId="0" fontId="22" fillId="8" borderId="5" xfId="0" applyFont="1" applyFill="1" applyBorder="1" applyAlignment="1">
      <alignment horizontal="right"/>
    </xf>
    <xf numFmtId="0" fontId="22" fillId="8" borderId="6" xfId="0" applyFont="1" applyFill="1" applyBorder="1" applyAlignment="1">
      <alignment horizontal="right"/>
    </xf>
    <xf numFmtId="0" fontId="6" fillId="0" borderId="45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4" fontId="6" fillId="0" borderId="49" xfId="0" applyNumberFormat="1" applyFont="1" applyBorder="1" applyAlignment="1">
      <alignment horizontal="center"/>
    </xf>
    <xf numFmtId="0" fontId="6" fillId="0" borderId="50" xfId="0" applyFont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11" fontId="6" fillId="0" borderId="7" xfId="0" applyNumberFormat="1" applyFont="1" applyBorder="1" applyAlignment="1">
      <alignment horizontal="center"/>
    </xf>
    <xf numFmtId="4" fontId="6" fillId="0" borderId="12" xfId="0" applyNumberFormat="1" applyFont="1" applyBorder="1" applyAlignment="1">
      <alignment horizontal="center"/>
    </xf>
    <xf numFmtId="4" fontId="6" fillId="0" borderId="13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8" fillId="2" borderId="39" xfId="0" applyFont="1" applyFill="1" applyBorder="1" applyAlignment="1">
      <alignment horizontal="left"/>
    </xf>
    <xf numFmtId="0" fontId="28" fillId="2" borderId="22" xfId="0" applyFont="1" applyFill="1" applyBorder="1" applyAlignment="1">
      <alignment horizontal="left"/>
    </xf>
    <xf numFmtId="0" fontId="28" fillId="2" borderId="38" xfId="0" applyFont="1" applyFill="1" applyBorder="1" applyAlignment="1">
      <alignment horizontal="left"/>
    </xf>
    <xf numFmtId="0" fontId="40" fillId="0" borderId="5" xfId="0" applyFont="1" applyBorder="1" applyAlignment="1">
      <alignment horizontal="center"/>
    </xf>
    <xf numFmtId="0" fontId="40" fillId="0" borderId="6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10" fillId="0" borderId="15" xfId="0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</cellXfs>
  <cellStyles count="5">
    <cellStyle name="Milliers" xfId="1" builtinId="3"/>
    <cellStyle name="Milliers 2" xfId="2"/>
    <cellStyle name="Normal" xfId="0" builtinId="0"/>
    <cellStyle name="Normal 2" xfId="3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V69"/>
  <sheetViews>
    <sheetView tabSelected="1" zoomScale="70" zoomScaleNormal="70" workbookViewId="0">
      <pane ySplit="2" topLeftCell="A18" activePane="bottomLeft" state="frozen"/>
      <selection activeCell="D38" sqref="D38"/>
      <selection pane="bottomLeft" activeCell="O52" sqref="O52"/>
    </sheetView>
  </sheetViews>
  <sheetFormatPr baseColWidth="10" defaultRowHeight="15"/>
  <cols>
    <col min="1" max="1" width="26.85546875" style="60" bestFit="1" customWidth="1"/>
    <col min="2" max="19" width="15" style="148" customWidth="1"/>
    <col min="20" max="22" width="15" style="60" customWidth="1"/>
    <col min="23" max="16384" width="11.42578125" style="60"/>
  </cols>
  <sheetData>
    <row r="1" spans="1:22" s="59" customFormat="1" thickBot="1">
      <c r="B1" s="630" t="s">
        <v>113</v>
      </c>
      <c r="C1" s="631"/>
      <c r="D1" s="632"/>
      <c r="E1" s="630" t="s">
        <v>45</v>
      </c>
      <c r="F1" s="633"/>
      <c r="G1" s="633"/>
      <c r="H1" s="633"/>
      <c r="I1" s="633"/>
      <c r="J1" s="633"/>
      <c r="K1" s="633"/>
      <c r="L1" s="633"/>
      <c r="M1" s="632"/>
      <c r="N1" s="633" t="s">
        <v>46</v>
      </c>
      <c r="O1" s="633"/>
      <c r="P1" s="633"/>
      <c r="Q1" s="633"/>
      <c r="R1" s="633"/>
      <c r="S1" s="632"/>
      <c r="T1" s="286" t="s">
        <v>151</v>
      </c>
      <c r="U1" s="286" t="s">
        <v>155</v>
      </c>
      <c r="V1" s="286" t="s">
        <v>158</v>
      </c>
    </row>
    <row r="2" spans="1:22" ht="15.75" thickBot="1">
      <c r="B2" s="510" t="s">
        <v>111</v>
      </c>
      <c r="C2" s="511" t="s">
        <v>109</v>
      </c>
      <c r="D2" s="512" t="s">
        <v>112</v>
      </c>
      <c r="E2" s="510" t="s">
        <v>152</v>
      </c>
      <c r="F2" s="511" t="s">
        <v>111</v>
      </c>
      <c r="G2" s="511" t="s">
        <v>110</v>
      </c>
      <c r="H2" s="511" t="s">
        <v>109</v>
      </c>
      <c r="I2" s="511" t="s">
        <v>153</v>
      </c>
      <c r="J2" s="511" t="s">
        <v>683</v>
      </c>
      <c r="K2" s="511" t="s">
        <v>981</v>
      </c>
      <c r="L2" s="511" t="s">
        <v>47</v>
      </c>
      <c r="M2" s="512" t="s">
        <v>48</v>
      </c>
      <c r="N2" s="510" t="s">
        <v>683</v>
      </c>
      <c r="O2" s="511" t="s">
        <v>112</v>
      </c>
      <c r="P2" s="511" t="s">
        <v>109</v>
      </c>
      <c r="Q2" s="511" t="s">
        <v>108</v>
      </c>
      <c r="R2" s="511" t="s">
        <v>47</v>
      </c>
      <c r="S2" s="512" t="s">
        <v>48</v>
      </c>
      <c r="T2" s="286" t="s">
        <v>109</v>
      </c>
      <c r="U2" s="286" t="s">
        <v>156</v>
      </c>
      <c r="V2" s="286" t="s">
        <v>156</v>
      </c>
    </row>
    <row r="3" spans="1:22" s="62" customFormat="1" ht="15.75" thickBot="1">
      <c r="A3" s="61" t="s">
        <v>985</v>
      </c>
      <c r="B3" s="275">
        <v>-575299.07499999995</v>
      </c>
      <c r="C3" s="277">
        <v>4753.6170000000002</v>
      </c>
      <c r="D3" s="276">
        <v>24094.955999999998</v>
      </c>
      <c r="E3" s="275">
        <v>47240.586000000003</v>
      </c>
      <c r="F3" s="277">
        <v>-1762230.466</v>
      </c>
      <c r="G3" s="277">
        <v>180.83699999999999</v>
      </c>
      <c r="H3" s="277">
        <v>-31654.004000000001</v>
      </c>
      <c r="I3" s="277">
        <v>360.99799999999999</v>
      </c>
      <c r="J3" s="277">
        <v>5662.8909999999996</v>
      </c>
      <c r="K3" s="277">
        <v>4920.18</v>
      </c>
      <c r="L3" s="277">
        <v>4008.96</v>
      </c>
      <c r="M3" s="276">
        <v>431482.84</v>
      </c>
      <c r="N3" s="275">
        <v>2492.5390000000002</v>
      </c>
      <c r="O3" s="277">
        <v>49.808999999999997</v>
      </c>
      <c r="P3" s="277">
        <v>-203686.334</v>
      </c>
      <c r="Q3" s="277">
        <v>-549631.77300000004</v>
      </c>
      <c r="R3" s="277">
        <v>4024.99</v>
      </c>
      <c r="S3" s="276">
        <v>49040.47</v>
      </c>
      <c r="T3" s="287">
        <v>2188.6669999999999</v>
      </c>
      <c r="U3" s="287">
        <v>74756.209000000003</v>
      </c>
      <c r="V3" s="287">
        <v>146712.75</v>
      </c>
    </row>
    <row r="4" spans="1:22" s="1" customFormat="1" ht="13.5" thickBot="1">
      <c r="A4" s="63" t="s">
        <v>49</v>
      </c>
      <c r="B4" s="291">
        <f>SUM(B5:B7)</f>
        <v>448483.75599999999</v>
      </c>
      <c r="C4" s="292">
        <f>SUM(C5:C7)</f>
        <v>12883.545</v>
      </c>
      <c r="D4" s="293">
        <f t="shared" ref="D4:S4" si="0">SUM(D5:D7)</f>
        <v>0</v>
      </c>
      <c r="E4" s="513">
        <f t="shared" si="0"/>
        <v>0</v>
      </c>
      <c r="F4" s="514">
        <f>SUM(F5:F7)</f>
        <v>0</v>
      </c>
      <c r="G4" s="514">
        <f t="shared" si="0"/>
        <v>0</v>
      </c>
      <c r="H4" s="514">
        <f>SUM(H5:H7)</f>
        <v>75000</v>
      </c>
      <c r="I4" s="514">
        <f>SUM(I5:I7)</f>
        <v>0</v>
      </c>
      <c r="J4" s="514">
        <f t="shared" si="0"/>
        <v>0</v>
      </c>
      <c r="K4" s="514">
        <f>SUM(K5:K7)</f>
        <v>0</v>
      </c>
      <c r="L4" s="514">
        <f>SUM(L5:L7)</f>
        <v>0</v>
      </c>
      <c r="M4" s="515">
        <f>SUM(M5:M7)</f>
        <v>90445.6</v>
      </c>
      <c r="N4" s="513">
        <f t="shared" si="0"/>
        <v>0</v>
      </c>
      <c r="O4" s="514">
        <f t="shared" ref="O4" si="1">SUM(O5:O7)</f>
        <v>0</v>
      </c>
      <c r="P4" s="514">
        <f t="shared" si="0"/>
        <v>327700</v>
      </c>
      <c r="Q4" s="514">
        <f>SUM(Q5:Q7)</f>
        <v>0</v>
      </c>
      <c r="R4" s="514">
        <f t="shared" si="0"/>
        <v>102950</v>
      </c>
      <c r="S4" s="515">
        <f t="shared" si="0"/>
        <v>0</v>
      </c>
      <c r="T4" s="174">
        <f>SUM(T5:T7)</f>
        <v>0</v>
      </c>
      <c r="U4" s="174">
        <f>SUM(U5:U7)</f>
        <v>0</v>
      </c>
      <c r="V4" s="174">
        <f>SUM(V5:V7)</f>
        <v>0</v>
      </c>
    </row>
    <row r="5" spans="1:22">
      <c r="A5" s="53" t="s">
        <v>107</v>
      </c>
      <c r="B5" s="288">
        <v>448483.75599999999</v>
      </c>
      <c r="C5" s="289">
        <v>12883.545</v>
      </c>
      <c r="D5" s="290"/>
      <c r="E5" s="288"/>
      <c r="F5" s="294"/>
      <c r="G5" s="294"/>
      <c r="H5" s="294">
        <v>75000</v>
      </c>
      <c r="I5" s="294"/>
      <c r="J5" s="294"/>
      <c r="K5" s="294"/>
      <c r="L5" s="294"/>
      <c r="M5" s="295"/>
      <c r="N5" s="294"/>
      <c r="O5" s="294"/>
      <c r="P5" s="294">
        <v>327700</v>
      </c>
      <c r="Q5" s="294"/>
      <c r="R5" s="294"/>
      <c r="S5" s="295"/>
      <c r="T5" s="167"/>
      <c r="U5" s="167"/>
      <c r="V5" s="167"/>
    </row>
    <row r="6" spans="1:22">
      <c r="A6" s="53" t="s">
        <v>105</v>
      </c>
      <c r="B6" s="170"/>
      <c r="C6" s="279"/>
      <c r="D6" s="171"/>
      <c r="E6" s="170"/>
      <c r="F6" s="267"/>
      <c r="G6" s="267"/>
      <c r="H6" s="267"/>
      <c r="I6" s="267"/>
      <c r="J6" s="267"/>
      <c r="K6" s="267"/>
      <c r="L6" s="267"/>
      <c r="M6" s="167"/>
      <c r="N6" s="267"/>
      <c r="O6" s="267"/>
      <c r="P6" s="267"/>
      <c r="Q6" s="267"/>
      <c r="R6" s="267"/>
      <c r="S6" s="167"/>
      <c r="T6" s="167"/>
      <c r="U6" s="167"/>
      <c r="V6" s="167"/>
    </row>
    <row r="7" spans="1:22">
      <c r="A7" s="53" t="s">
        <v>50</v>
      </c>
      <c r="B7" s="170"/>
      <c r="C7" s="279"/>
      <c r="D7" s="171"/>
      <c r="E7" s="170"/>
      <c r="F7" s="267"/>
      <c r="G7" s="267"/>
      <c r="H7" s="267"/>
      <c r="I7" s="267"/>
      <c r="J7" s="267"/>
      <c r="K7" s="267"/>
      <c r="L7" s="267"/>
      <c r="M7" s="167">
        <v>90445.6</v>
      </c>
      <c r="N7" s="267"/>
      <c r="O7" s="267"/>
      <c r="P7" s="267"/>
      <c r="Q7" s="267"/>
      <c r="R7" s="267">
        <v>102950</v>
      </c>
      <c r="S7" s="167"/>
      <c r="T7" s="167"/>
      <c r="U7" s="167"/>
      <c r="V7" s="167"/>
    </row>
    <row r="8" spans="1:22">
      <c r="A8" s="64" t="s">
        <v>51</v>
      </c>
      <c r="B8" s="173">
        <f>B9+B10+B12+B13+B19+B23</f>
        <v>0</v>
      </c>
      <c r="C8" s="280">
        <f>C9+C10+C12+C13+C19+C23</f>
        <v>0</v>
      </c>
      <c r="D8" s="172">
        <f>D9+D10+D12+D13+D19+D23</f>
        <v>0</v>
      </c>
      <c r="E8" s="173">
        <f>E9+E10+E12+E13+E19+E23</f>
        <v>0</v>
      </c>
      <c r="F8" s="268">
        <f>F9+F10+F11+F12+F13</f>
        <v>0</v>
      </c>
      <c r="G8" s="268">
        <f>G9+G10+G12+G13+G19+G23+G11</f>
        <v>0</v>
      </c>
      <c r="H8" s="268">
        <f>H9+H10+H12+H13+H19+H23+H11</f>
        <v>0</v>
      </c>
      <c r="I8" s="268">
        <f>I9+I10+I12+I13+I19+I23+I11</f>
        <v>0</v>
      </c>
      <c r="J8" s="268">
        <f>J9+J10+J12+J13+J19+J23+J11</f>
        <v>0</v>
      </c>
      <c r="K8" s="268">
        <f>K14+K15+K16+K17+K18+K19</f>
        <v>0</v>
      </c>
      <c r="L8" s="268">
        <f>L14+L15+L16+L17+L18+L19</f>
        <v>0</v>
      </c>
      <c r="M8" s="172">
        <f>M14+M15+M16+M17+M18+M19</f>
        <v>0</v>
      </c>
      <c r="N8" s="268">
        <f>N9+N10+N12+N13+N19+N23+N11</f>
        <v>0</v>
      </c>
      <c r="O8" s="268">
        <f>O9+O10+O12+O13+O19+O23+O22+O11</f>
        <v>0</v>
      </c>
      <c r="P8" s="268">
        <f>P9+P10+P12+P13+P19+P23+P22</f>
        <v>0</v>
      </c>
      <c r="Q8" s="268">
        <f>Q9+Q10+Q12+Q13+Q19+Q23+Q22</f>
        <v>0</v>
      </c>
      <c r="R8" s="268">
        <f>R9+R10+R12+R13+R19+R23</f>
        <v>0</v>
      </c>
      <c r="S8" s="172">
        <f>S9+S10+S12+S13+S19+S23</f>
        <v>0</v>
      </c>
      <c r="T8" s="172">
        <f>T9+T10+T12+T13+T19+T23</f>
        <v>500000</v>
      </c>
      <c r="U8" s="172">
        <f>U9+U10+U12+U13+U19+U23</f>
        <v>0</v>
      </c>
      <c r="V8" s="172">
        <f>V9+V10+V12+V13+V19+V23</f>
        <v>0</v>
      </c>
    </row>
    <row r="9" spans="1:22">
      <c r="A9" s="53" t="s">
        <v>107</v>
      </c>
      <c r="B9" s="170"/>
      <c r="C9" s="279"/>
      <c r="D9" s="171"/>
      <c r="E9" s="170"/>
      <c r="F9" s="267"/>
      <c r="G9" s="267"/>
      <c r="H9" s="267"/>
      <c r="I9" s="267"/>
      <c r="J9" s="267"/>
      <c r="K9" s="267"/>
      <c r="L9" s="267"/>
      <c r="M9" s="167"/>
      <c r="N9" s="267"/>
      <c r="O9" s="309"/>
      <c r="P9" s="309"/>
      <c r="Q9" s="309"/>
      <c r="R9" s="267"/>
      <c r="S9" s="167"/>
      <c r="T9" s="167">
        <f>G56</f>
        <v>0</v>
      </c>
      <c r="U9" s="167">
        <f>+Q54+F54</f>
        <v>0</v>
      </c>
      <c r="V9" s="167">
        <f>+F58</f>
        <v>0</v>
      </c>
    </row>
    <row r="10" spans="1:22">
      <c r="A10" s="53" t="s">
        <v>106</v>
      </c>
      <c r="B10" s="170"/>
      <c r="C10" s="279"/>
      <c r="D10" s="171"/>
      <c r="E10" s="170"/>
      <c r="F10" s="267"/>
      <c r="G10" s="267"/>
      <c r="H10" s="267"/>
      <c r="I10" s="267"/>
      <c r="J10" s="267"/>
      <c r="K10" s="267"/>
      <c r="L10" s="267"/>
      <c r="M10" s="167"/>
      <c r="N10" s="267"/>
      <c r="O10" s="267"/>
      <c r="P10" s="267"/>
      <c r="Q10" s="267"/>
      <c r="R10" s="267"/>
      <c r="S10" s="167"/>
      <c r="T10" s="167"/>
      <c r="U10" s="167"/>
      <c r="V10" s="167"/>
    </row>
    <row r="11" spans="1:22">
      <c r="A11" s="53" t="s">
        <v>527</v>
      </c>
      <c r="B11" s="170"/>
      <c r="C11" s="279"/>
      <c r="D11" s="171"/>
      <c r="E11" s="170"/>
      <c r="F11" s="309">
        <f>T52</f>
        <v>0</v>
      </c>
      <c r="G11" s="267"/>
      <c r="H11" s="267"/>
      <c r="I11" s="267"/>
      <c r="J11" s="267"/>
      <c r="K11" s="267"/>
      <c r="L11" s="267"/>
      <c r="M11" s="167"/>
      <c r="N11" s="267"/>
      <c r="O11" s="309">
        <f>+F50</f>
        <v>0</v>
      </c>
      <c r="P11" s="267"/>
      <c r="Q11" s="267"/>
      <c r="R11" s="267"/>
      <c r="S11" s="167"/>
      <c r="T11" s="167"/>
      <c r="U11" s="167"/>
      <c r="V11" s="167"/>
    </row>
    <row r="12" spans="1:22">
      <c r="A12" s="53" t="s">
        <v>105</v>
      </c>
      <c r="B12" s="170"/>
      <c r="C12" s="279"/>
      <c r="D12" s="171"/>
      <c r="E12" s="170"/>
      <c r="F12" s="267"/>
      <c r="G12" s="267"/>
      <c r="H12" s="267"/>
      <c r="I12" s="267"/>
      <c r="J12" s="267"/>
      <c r="K12" s="267"/>
      <c r="L12" s="267"/>
      <c r="M12" s="167"/>
      <c r="N12" s="267"/>
      <c r="O12" s="267"/>
      <c r="P12" s="267"/>
      <c r="Q12" s="267"/>
      <c r="R12" s="267"/>
      <c r="S12" s="167"/>
      <c r="T12" s="167"/>
      <c r="U12" s="167"/>
      <c r="V12" s="167"/>
    </row>
    <row r="13" spans="1:22" s="59" customFormat="1" ht="14.25">
      <c r="A13" s="33" t="s">
        <v>50</v>
      </c>
      <c r="B13" s="168"/>
      <c r="C13" s="281"/>
      <c r="D13" s="169"/>
      <c r="E13" s="154">
        <f>SUM(E14:E18)</f>
        <v>0</v>
      </c>
      <c r="F13" s="269">
        <f>SUM(F14:F23)</f>
        <v>0</v>
      </c>
      <c r="G13" s="269">
        <v>0</v>
      </c>
      <c r="H13" s="269">
        <v>0</v>
      </c>
      <c r="I13" s="269">
        <v>0</v>
      </c>
      <c r="J13" s="269">
        <f>SUM(J14:J18)</f>
        <v>0</v>
      </c>
      <c r="K13" s="269">
        <f>SUM(K14:K19)</f>
        <v>0</v>
      </c>
      <c r="L13" s="269">
        <f>SUM(L14:L19)</f>
        <v>0</v>
      </c>
      <c r="M13" s="153">
        <f t="shared" ref="M13:S13" si="2">SUM(M14:M18)</f>
        <v>0</v>
      </c>
      <c r="N13" s="269">
        <f t="shared" si="2"/>
        <v>0</v>
      </c>
      <c r="O13" s="269">
        <f>J50</f>
        <v>0</v>
      </c>
      <c r="P13" s="269">
        <f t="shared" si="2"/>
        <v>0</v>
      </c>
      <c r="Q13" s="269">
        <f t="shared" si="2"/>
        <v>0</v>
      </c>
      <c r="R13" s="269">
        <f t="shared" si="2"/>
        <v>0</v>
      </c>
      <c r="S13" s="153">
        <f t="shared" si="2"/>
        <v>0</v>
      </c>
      <c r="T13" s="153">
        <f>F56</f>
        <v>500000</v>
      </c>
      <c r="U13" s="153">
        <f>SUM(U14:U18)</f>
        <v>0</v>
      </c>
      <c r="V13" s="153">
        <f>SUM(V14:V18)</f>
        <v>0</v>
      </c>
    </row>
    <row r="14" spans="1:22">
      <c r="A14" s="65" t="s">
        <v>52</v>
      </c>
      <c r="B14" s="168"/>
      <c r="C14" s="281"/>
      <c r="D14" s="169"/>
      <c r="E14" s="168"/>
      <c r="F14" s="267"/>
      <c r="G14" s="267"/>
      <c r="H14" s="267"/>
      <c r="I14" s="267"/>
      <c r="J14" s="267"/>
      <c r="K14" s="267"/>
      <c r="L14" s="309"/>
      <c r="M14" s="167"/>
      <c r="N14" s="267"/>
      <c r="O14" s="267"/>
      <c r="P14" s="267"/>
      <c r="Q14" s="267"/>
      <c r="R14" s="309"/>
      <c r="S14" s="167">
        <f>R50*1.06</f>
        <v>0</v>
      </c>
      <c r="T14" s="167"/>
      <c r="U14" s="167"/>
      <c r="V14" s="167"/>
    </row>
    <row r="15" spans="1:22">
      <c r="A15" s="65" t="s">
        <v>53</v>
      </c>
      <c r="B15" s="168"/>
      <c r="C15" s="281"/>
      <c r="D15" s="169"/>
      <c r="E15" s="168"/>
      <c r="F15" s="267"/>
      <c r="G15" s="267"/>
      <c r="H15" s="267"/>
      <c r="I15" s="267"/>
      <c r="J15" s="267"/>
      <c r="K15" s="267"/>
      <c r="L15" s="267"/>
      <c r="M15" s="167"/>
      <c r="N15" s="267"/>
      <c r="O15" s="267"/>
      <c r="P15" s="267"/>
      <c r="Q15" s="267"/>
      <c r="R15" s="267"/>
      <c r="S15" s="167"/>
      <c r="T15" s="167"/>
      <c r="U15" s="167"/>
      <c r="V15" s="167"/>
    </row>
    <row r="16" spans="1:22">
      <c r="A16" s="65" t="s">
        <v>54</v>
      </c>
      <c r="B16" s="168"/>
      <c r="C16" s="281"/>
      <c r="D16" s="169"/>
      <c r="E16" s="168"/>
      <c r="F16" s="267"/>
      <c r="G16" s="267"/>
      <c r="H16" s="267"/>
      <c r="I16" s="267"/>
      <c r="J16" s="267"/>
      <c r="K16" s="267"/>
      <c r="L16" s="267"/>
      <c r="M16" s="167"/>
      <c r="N16" s="267"/>
      <c r="O16" s="267"/>
      <c r="P16" s="267"/>
      <c r="Q16" s="267"/>
      <c r="R16" s="267"/>
      <c r="S16" s="167"/>
      <c r="T16" s="167"/>
      <c r="U16" s="167"/>
      <c r="V16" s="167"/>
    </row>
    <row r="17" spans="1:22">
      <c r="A17" s="65" t="s">
        <v>55</v>
      </c>
      <c r="B17" s="168"/>
      <c r="C17" s="281"/>
      <c r="D17" s="169"/>
      <c r="E17" s="168"/>
      <c r="F17" s="267"/>
      <c r="G17" s="267"/>
      <c r="H17" s="267"/>
      <c r="I17" s="267"/>
      <c r="J17" s="267"/>
      <c r="K17" s="267"/>
      <c r="L17" s="267"/>
      <c r="M17" s="167"/>
      <c r="N17" s="267"/>
      <c r="O17" s="267"/>
      <c r="P17" s="267"/>
      <c r="Q17" s="267"/>
      <c r="R17" s="267"/>
      <c r="S17" s="167"/>
      <c r="T17" s="167"/>
      <c r="U17" s="167"/>
      <c r="V17" s="167"/>
    </row>
    <row r="18" spans="1:22">
      <c r="A18" s="65" t="s">
        <v>56</v>
      </c>
      <c r="B18" s="168"/>
      <c r="C18" s="281"/>
      <c r="D18" s="169"/>
      <c r="E18" s="168"/>
      <c r="F18" s="267"/>
      <c r="G18" s="267"/>
      <c r="H18" s="267"/>
      <c r="I18" s="267"/>
      <c r="J18" s="267"/>
      <c r="K18" s="601"/>
      <c r="L18" s="267"/>
      <c r="M18" s="167"/>
      <c r="N18" s="267"/>
      <c r="O18" s="267"/>
      <c r="P18" s="267"/>
      <c r="Q18" s="267"/>
      <c r="R18" s="625"/>
      <c r="S18" s="167"/>
      <c r="T18" s="167"/>
      <c r="U18" s="167"/>
      <c r="V18" s="167"/>
    </row>
    <row r="19" spans="1:22">
      <c r="A19" s="53" t="s">
        <v>957</v>
      </c>
      <c r="B19" s="168"/>
      <c r="C19" s="281"/>
      <c r="D19" s="169"/>
      <c r="E19" s="168"/>
      <c r="F19" s="296"/>
      <c r="G19" s="267"/>
      <c r="H19" s="267"/>
      <c r="I19" s="267"/>
      <c r="J19" s="267"/>
      <c r="K19" s="267"/>
      <c r="L19" s="625"/>
      <c r="M19" s="167"/>
      <c r="N19" s="267"/>
      <c r="O19" s="267"/>
      <c r="P19" s="267"/>
      <c r="Q19" s="267"/>
      <c r="R19" s="625"/>
      <c r="S19" s="167"/>
      <c r="T19" s="167"/>
      <c r="U19" s="167"/>
      <c r="V19" s="167"/>
    </row>
    <row r="20" spans="1:22">
      <c r="A20" s="53" t="s">
        <v>93</v>
      </c>
      <c r="B20" s="168"/>
      <c r="C20" s="281"/>
      <c r="D20" s="169"/>
      <c r="E20" s="168"/>
      <c r="F20" s="296"/>
      <c r="G20" s="267"/>
      <c r="H20" s="267"/>
      <c r="I20" s="267"/>
      <c r="J20" s="267"/>
      <c r="K20" s="267"/>
      <c r="L20" s="267"/>
      <c r="M20" s="167"/>
      <c r="N20" s="267"/>
      <c r="O20" s="267"/>
      <c r="P20" s="267"/>
      <c r="Q20" s="267"/>
      <c r="R20" s="267"/>
      <c r="S20" s="167"/>
      <c r="T20" s="167"/>
      <c r="U20" s="167"/>
      <c r="V20" s="167"/>
    </row>
    <row r="21" spans="1:22">
      <c r="A21" s="53" t="s">
        <v>956</v>
      </c>
      <c r="B21" s="168"/>
      <c r="C21" s="281"/>
      <c r="D21" s="169"/>
      <c r="E21" s="168"/>
      <c r="F21" s="296"/>
      <c r="G21" s="267"/>
      <c r="H21" s="267"/>
      <c r="I21" s="267"/>
      <c r="J21" s="267"/>
      <c r="K21" s="267"/>
      <c r="L21" s="267"/>
      <c r="M21" s="167"/>
      <c r="N21" s="267"/>
      <c r="O21" s="267"/>
      <c r="P21" s="267"/>
      <c r="Q21" s="267"/>
      <c r="R21" s="267"/>
      <c r="S21" s="167"/>
      <c r="T21" s="167"/>
      <c r="U21" s="167"/>
      <c r="V21" s="167"/>
    </row>
    <row r="22" spans="1:22">
      <c r="A22" s="53" t="s">
        <v>157</v>
      </c>
      <c r="B22" s="168"/>
      <c r="C22" s="281"/>
      <c r="D22" s="169"/>
      <c r="E22" s="168"/>
      <c r="F22" s="296"/>
      <c r="G22" s="267"/>
      <c r="H22" s="267"/>
      <c r="I22" s="267"/>
      <c r="J22" s="267"/>
      <c r="K22" s="267"/>
      <c r="L22" s="267"/>
      <c r="M22" s="167"/>
      <c r="N22" s="267"/>
      <c r="O22" s="267"/>
      <c r="P22" s="267"/>
      <c r="Q22" s="267"/>
      <c r="R22" s="267"/>
      <c r="S22" s="167"/>
      <c r="T22" s="167"/>
      <c r="U22" s="167"/>
      <c r="V22" s="167"/>
    </row>
    <row r="23" spans="1:22">
      <c r="A23" s="53" t="s">
        <v>2</v>
      </c>
      <c r="B23" s="168"/>
      <c r="C23" s="281"/>
      <c r="D23" s="169"/>
      <c r="E23" s="168"/>
      <c r="F23" s="625"/>
      <c r="G23" s="267"/>
      <c r="H23" s="267"/>
      <c r="I23" s="267"/>
      <c r="J23" s="267"/>
      <c r="K23" s="267"/>
      <c r="L23" s="267"/>
      <c r="M23" s="167"/>
      <c r="N23" s="267"/>
      <c r="O23" s="267"/>
      <c r="P23" s="267"/>
      <c r="Q23" s="267"/>
      <c r="R23" s="267"/>
      <c r="S23" s="167"/>
      <c r="T23" s="167"/>
      <c r="U23" s="167"/>
      <c r="V23" s="167"/>
    </row>
    <row r="24" spans="1:22">
      <c r="A24" s="166" t="s">
        <v>104</v>
      </c>
      <c r="B24" s="313"/>
      <c r="C24" s="314"/>
      <c r="D24" s="315"/>
      <c r="E24" s="313"/>
      <c r="F24" s="316">
        <v>1000000</v>
      </c>
      <c r="G24" s="316"/>
      <c r="H24" s="316"/>
      <c r="I24" s="316"/>
      <c r="J24" s="316"/>
      <c r="K24" s="316"/>
      <c r="L24" s="316"/>
      <c r="M24" s="317"/>
      <c r="N24" s="316"/>
      <c r="O24" s="316"/>
      <c r="P24" s="316"/>
      <c r="Q24" s="316"/>
      <c r="R24" s="316"/>
      <c r="S24" s="317"/>
      <c r="T24" s="317"/>
      <c r="U24" s="317"/>
      <c r="V24" s="317"/>
    </row>
    <row r="25" spans="1:22">
      <c r="A25" s="166" t="s">
        <v>93</v>
      </c>
      <c r="B25" s="164"/>
      <c r="C25" s="282"/>
      <c r="D25" s="165"/>
      <c r="E25" s="164"/>
      <c r="F25" s="270">
        <f>3500000-1150000-1000000-500000</f>
        <v>850000</v>
      </c>
      <c r="G25" s="270"/>
      <c r="H25" s="270"/>
      <c r="I25" s="270"/>
      <c r="J25" s="270"/>
      <c r="K25" s="270"/>
      <c r="L25" s="270"/>
      <c r="M25" s="163"/>
      <c r="N25" s="270"/>
      <c r="O25" s="270"/>
      <c r="P25" s="270"/>
      <c r="Q25" s="270"/>
      <c r="R25" s="270"/>
      <c r="S25" s="163"/>
      <c r="T25" s="163"/>
      <c r="U25" s="163"/>
      <c r="V25" s="163"/>
    </row>
    <row r="26" spans="1:22">
      <c r="A26" s="66" t="s">
        <v>57</v>
      </c>
      <c r="B26" s="162">
        <f>B27+B42+B60</f>
        <v>0</v>
      </c>
      <c r="C26" s="162">
        <f>C27+C42+C60</f>
        <v>0</v>
      </c>
      <c r="D26" s="161">
        <f t="shared" ref="D26:S26" si="3">D27+D42+D60</f>
        <v>0</v>
      </c>
      <c r="E26" s="162">
        <f t="shared" si="3"/>
        <v>11640</v>
      </c>
      <c r="F26" s="271">
        <f>F27+F42+F60</f>
        <v>612154</v>
      </c>
      <c r="G26" s="271">
        <f t="shared" si="3"/>
        <v>0</v>
      </c>
      <c r="H26" s="271">
        <f>H27+H42+H60</f>
        <v>45784.618000000002</v>
      </c>
      <c r="I26" s="271">
        <f>I27+I42+I60</f>
        <v>0</v>
      </c>
      <c r="J26" s="271">
        <f t="shared" si="3"/>
        <v>0</v>
      </c>
      <c r="K26" s="271">
        <f>K27+K42+K60</f>
        <v>0</v>
      </c>
      <c r="L26" s="271">
        <f t="shared" si="3"/>
        <v>0</v>
      </c>
      <c r="M26" s="161">
        <f t="shared" si="3"/>
        <v>0</v>
      </c>
      <c r="N26" s="271">
        <f t="shared" si="3"/>
        <v>0</v>
      </c>
      <c r="O26" s="271">
        <f t="shared" ref="O26" si="4">O27+O42+O60</f>
        <v>0</v>
      </c>
      <c r="P26" s="271">
        <f t="shared" si="3"/>
        <v>63524.991000000002</v>
      </c>
      <c r="Q26" s="271">
        <f t="shared" si="3"/>
        <v>0</v>
      </c>
      <c r="R26" s="271">
        <f t="shared" si="3"/>
        <v>99000</v>
      </c>
      <c r="S26" s="161">
        <f t="shared" si="3"/>
        <v>0</v>
      </c>
      <c r="T26" s="161">
        <f>T27+T42+T60</f>
        <v>0</v>
      </c>
      <c r="U26" s="161">
        <f>U27+U42+U60</f>
        <v>0</v>
      </c>
      <c r="V26" s="161">
        <f>V27+V42+V60</f>
        <v>0</v>
      </c>
    </row>
    <row r="27" spans="1:22" s="59" customFormat="1" ht="14.25">
      <c r="A27" s="67" t="s">
        <v>58</v>
      </c>
      <c r="B27" s="156">
        <f>SUM(B28:B41)</f>
        <v>0</v>
      </c>
      <c r="C27" s="283"/>
      <c r="D27" s="155">
        <f t="shared" ref="D27:S27" si="5">SUM(D28:D41)</f>
        <v>0</v>
      </c>
      <c r="E27" s="156">
        <f t="shared" si="5"/>
        <v>0</v>
      </c>
      <c r="F27" s="272">
        <f t="shared" si="5"/>
        <v>0</v>
      </c>
      <c r="G27" s="272">
        <f t="shared" si="5"/>
        <v>0</v>
      </c>
      <c r="H27" s="272">
        <f t="shared" si="5"/>
        <v>0</v>
      </c>
      <c r="I27" s="272">
        <f t="shared" si="5"/>
        <v>0</v>
      </c>
      <c r="J27" s="272">
        <f t="shared" si="5"/>
        <v>0</v>
      </c>
      <c r="K27" s="272">
        <f t="shared" si="5"/>
        <v>0</v>
      </c>
      <c r="L27" s="272">
        <f>SUM(L28:L41)</f>
        <v>0</v>
      </c>
      <c r="M27" s="155">
        <f t="shared" si="5"/>
        <v>0</v>
      </c>
      <c r="N27" s="272">
        <f t="shared" si="5"/>
        <v>0</v>
      </c>
      <c r="O27" s="272">
        <f t="shared" ref="O27" si="6">SUM(O28:O41)</f>
        <v>0</v>
      </c>
      <c r="P27" s="272">
        <f t="shared" si="5"/>
        <v>0</v>
      </c>
      <c r="Q27" s="272">
        <f t="shared" si="5"/>
        <v>0</v>
      </c>
      <c r="R27" s="272">
        <f t="shared" si="5"/>
        <v>99000</v>
      </c>
      <c r="S27" s="155">
        <f t="shared" si="5"/>
        <v>0</v>
      </c>
      <c r="T27" s="155">
        <f>SUM(T28:T41)</f>
        <v>0</v>
      </c>
      <c r="U27" s="155">
        <f>SUM(U28:U41)</f>
        <v>0</v>
      </c>
      <c r="V27" s="155">
        <f>SUM(V28:V41)</f>
        <v>0</v>
      </c>
    </row>
    <row r="28" spans="1:22" s="1" customFormat="1" ht="12.75">
      <c r="A28" s="68" t="s">
        <v>59</v>
      </c>
      <c r="B28" s="159"/>
      <c r="C28" s="284"/>
      <c r="D28" s="160"/>
      <c r="E28" s="159"/>
      <c r="F28" s="273"/>
      <c r="G28" s="273"/>
      <c r="H28" s="273"/>
      <c r="I28" s="273"/>
      <c r="J28" s="273"/>
      <c r="K28" s="273"/>
      <c r="L28" s="273"/>
      <c r="M28" s="158"/>
      <c r="N28" s="273"/>
      <c r="O28" s="273"/>
      <c r="P28" s="273"/>
      <c r="Q28" s="273"/>
      <c r="R28" s="273">
        <v>99000</v>
      </c>
      <c r="S28" s="158"/>
      <c r="T28" s="158"/>
      <c r="U28" s="158"/>
      <c r="V28" s="158"/>
    </row>
    <row r="29" spans="1:22" s="1" customFormat="1" ht="12.75">
      <c r="A29" s="68" t="s">
        <v>60</v>
      </c>
      <c r="B29" s="159"/>
      <c r="C29" s="284"/>
      <c r="D29" s="160"/>
      <c r="E29" s="159"/>
      <c r="F29" s="273"/>
      <c r="G29" s="273"/>
      <c r="H29" s="273"/>
      <c r="I29" s="273"/>
      <c r="J29" s="273"/>
      <c r="K29" s="273"/>
      <c r="L29" s="273"/>
      <c r="M29" s="158"/>
      <c r="N29" s="273"/>
      <c r="O29" s="273"/>
      <c r="P29" s="273"/>
      <c r="Q29" s="273"/>
      <c r="R29" s="273"/>
      <c r="S29" s="158"/>
      <c r="T29" s="158"/>
      <c r="U29" s="158"/>
      <c r="V29" s="158"/>
    </row>
    <row r="30" spans="1:22" s="1" customFormat="1" ht="12.75">
      <c r="A30" s="68" t="s">
        <v>561</v>
      </c>
      <c r="B30" s="159"/>
      <c r="C30" s="284"/>
      <c r="D30" s="160"/>
      <c r="E30" s="159"/>
      <c r="F30" s="273"/>
      <c r="G30" s="273"/>
      <c r="H30" s="273"/>
      <c r="I30" s="273"/>
      <c r="J30" s="273"/>
      <c r="K30" s="273"/>
      <c r="L30" s="273"/>
      <c r="M30" s="158"/>
      <c r="N30" s="273"/>
      <c r="O30" s="273"/>
      <c r="P30" s="273"/>
      <c r="Q30" s="273"/>
      <c r="R30" s="273"/>
      <c r="S30" s="158"/>
      <c r="T30" s="158"/>
      <c r="U30" s="158"/>
      <c r="V30" s="158"/>
    </row>
    <row r="31" spans="1:22" s="1" customFormat="1" ht="12.75">
      <c r="A31" s="68" t="s">
        <v>61</v>
      </c>
      <c r="B31" s="159"/>
      <c r="C31" s="284"/>
      <c r="D31" s="160"/>
      <c r="E31" s="159"/>
      <c r="F31" s="273"/>
      <c r="G31" s="273"/>
      <c r="H31" s="273"/>
      <c r="I31" s="273"/>
      <c r="J31" s="273"/>
      <c r="K31" s="273"/>
      <c r="L31" s="273"/>
      <c r="M31" s="158"/>
      <c r="N31" s="273"/>
      <c r="O31" s="273"/>
      <c r="P31" s="273"/>
      <c r="Q31" s="273"/>
      <c r="R31" s="273"/>
      <c r="S31" s="158"/>
      <c r="T31" s="158"/>
      <c r="U31" s="158"/>
      <c r="V31" s="158"/>
    </row>
    <row r="32" spans="1:22" s="1" customFormat="1" ht="12.75">
      <c r="A32" s="68" t="s">
        <v>779</v>
      </c>
      <c r="B32" s="159"/>
      <c r="C32" s="284"/>
      <c r="D32" s="160"/>
      <c r="E32" s="159"/>
      <c r="F32" s="273"/>
      <c r="G32" s="273"/>
      <c r="H32" s="273"/>
      <c r="I32" s="273"/>
      <c r="J32" s="273"/>
      <c r="K32" s="273"/>
      <c r="L32" s="273"/>
      <c r="M32" s="158"/>
      <c r="N32" s="273"/>
      <c r="O32" s="273"/>
      <c r="P32" s="273"/>
      <c r="Q32" s="273"/>
      <c r="R32" s="273"/>
      <c r="S32" s="158"/>
      <c r="T32" s="158"/>
      <c r="U32" s="158"/>
      <c r="V32" s="158"/>
    </row>
    <row r="33" spans="1:22" s="1" customFormat="1" ht="12.75">
      <c r="A33" s="68" t="s">
        <v>526</v>
      </c>
      <c r="B33" s="159"/>
      <c r="C33" s="284"/>
      <c r="D33" s="160"/>
      <c r="E33" s="159"/>
      <c r="F33" s="273"/>
      <c r="G33" s="273"/>
      <c r="H33" s="273"/>
      <c r="I33" s="273"/>
      <c r="J33" s="273"/>
      <c r="K33" s="273"/>
      <c r="L33" s="312"/>
      <c r="M33" s="158"/>
      <c r="N33" s="273"/>
      <c r="O33" s="273"/>
      <c r="P33" s="273"/>
      <c r="Q33" s="273"/>
      <c r="R33" s="273"/>
      <c r="S33" s="158"/>
      <c r="T33" s="158"/>
      <c r="U33" s="158"/>
      <c r="V33" s="158"/>
    </row>
    <row r="34" spans="1:22" s="1" customFormat="1" ht="12.75">
      <c r="A34" s="68" t="s">
        <v>62</v>
      </c>
      <c r="B34" s="159"/>
      <c r="C34" s="284"/>
      <c r="D34" s="160"/>
      <c r="E34" s="159"/>
      <c r="F34" s="273"/>
      <c r="G34" s="273"/>
      <c r="H34" s="273"/>
      <c r="I34" s="273"/>
      <c r="J34" s="273"/>
      <c r="K34" s="273"/>
      <c r="L34" s="273"/>
      <c r="M34" s="158"/>
      <c r="N34" s="273"/>
      <c r="O34" s="273"/>
      <c r="P34" s="273"/>
      <c r="Q34" s="273"/>
      <c r="R34" s="273"/>
      <c r="S34" s="158"/>
      <c r="T34" s="158"/>
      <c r="U34" s="158"/>
      <c r="V34" s="158"/>
    </row>
    <row r="35" spans="1:22" s="1" customFormat="1" ht="12.75">
      <c r="A35" s="68" t="s">
        <v>63</v>
      </c>
      <c r="B35" s="159"/>
      <c r="C35" s="284"/>
      <c r="D35" s="160"/>
      <c r="E35" s="159"/>
      <c r="F35" s="273"/>
      <c r="G35" s="273"/>
      <c r="H35" s="273"/>
      <c r="I35" s="273"/>
      <c r="J35" s="273"/>
      <c r="K35" s="273"/>
      <c r="L35" s="273"/>
      <c r="M35" s="158"/>
      <c r="N35" s="273"/>
      <c r="O35" s="273"/>
      <c r="P35" s="273"/>
      <c r="Q35" s="273"/>
      <c r="R35" s="273"/>
      <c r="S35" s="158"/>
      <c r="T35" s="158"/>
      <c r="U35" s="158"/>
      <c r="V35" s="158"/>
    </row>
    <row r="36" spans="1:22" s="1" customFormat="1" ht="12.75">
      <c r="A36" s="68" t="s">
        <v>64</v>
      </c>
      <c r="B36" s="159"/>
      <c r="C36" s="284"/>
      <c r="D36" s="160"/>
      <c r="E36" s="159"/>
      <c r="F36" s="273"/>
      <c r="G36" s="273"/>
      <c r="H36" s="273"/>
      <c r="I36" s="273"/>
      <c r="J36" s="273"/>
      <c r="K36" s="273"/>
      <c r="L36" s="273"/>
      <c r="M36" s="158"/>
      <c r="N36" s="273"/>
      <c r="O36" s="273"/>
      <c r="P36" s="273"/>
      <c r="Q36" s="273"/>
      <c r="R36" s="273"/>
      <c r="S36" s="158"/>
      <c r="T36" s="158"/>
      <c r="U36" s="158"/>
      <c r="V36" s="158"/>
    </row>
    <row r="37" spans="1:22" s="1" customFormat="1" ht="12.75">
      <c r="A37" s="68" t="s">
        <v>103</v>
      </c>
      <c r="B37" s="159"/>
      <c r="C37" s="284"/>
      <c r="D37" s="160"/>
      <c r="E37" s="159"/>
      <c r="F37" s="273"/>
      <c r="G37" s="273"/>
      <c r="H37" s="273"/>
      <c r="I37" s="273"/>
      <c r="J37" s="273"/>
      <c r="K37" s="273"/>
      <c r="L37" s="273"/>
      <c r="M37" s="158"/>
      <c r="N37" s="273"/>
      <c r="O37" s="273"/>
      <c r="P37" s="273"/>
      <c r="Q37" s="273"/>
      <c r="R37" s="273"/>
      <c r="S37" s="158"/>
      <c r="T37" s="158"/>
      <c r="U37" s="158"/>
      <c r="V37" s="158"/>
    </row>
    <row r="38" spans="1:22" s="1" customFormat="1" ht="12.75">
      <c r="A38" s="68" t="s">
        <v>65</v>
      </c>
      <c r="B38" s="159"/>
      <c r="C38" s="284"/>
      <c r="D38" s="160"/>
      <c r="E38" s="159"/>
      <c r="F38" s="273"/>
      <c r="G38" s="273"/>
      <c r="H38" s="273"/>
      <c r="I38" s="273"/>
      <c r="J38" s="273"/>
      <c r="K38" s="273"/>
      <c r="L38" s="273"/>
      <c r="M38" s="158"/>
      <c r="N38" s="273"/>
      <c r="O38" s="273"/>
      <c r="P38" s="273"/>
      <c r="Q38" s="273"/>
      <c r="R38" s="273"/>
      <c r="S38" s="158"/>
      <c r="T38" s="158"/>
      <c r="U38" s="158"/>
      <c r="V38" s="158"/>
    </row>
    <row r="39" spans="1:22" s="1" customFormat="1" ht="12.75">
      <c r="A39" s="68" t="s">
        <v>66</v>
      </c>
      <c r="B39" s="159"/>
      <c r="C39" s="284"/>
      <c r="D39" s="160"/>
      <c r="E39" s="159"/>
      <c r="F39" s="273"/>
      <c r="G39" s="273"/>
      <c r="H39" s="273"/>
      <c r="I39" s="273"/>
      <c r="J39" s="273"/>
      <c r="K39" s="273"/>
      <c r="L39" s="273"/>
      <c r="M39" s="158"/>
      <c r="N39" s="273"/>
      <c r="O39" s="273"/>
      <c r="P39" s="273"/>
      <c r="Q39" s="273"/>
      <c r="R39" s="273"/>
      <c r="S39" s="158"/>
      <c r="T39" s="158"/>
      <c r="U39" s="158"/>
      <c r="V39" s="158"/>
    </row>
    <row r="40" spans="1:22" s="1" customFormat="1" ht="12.75">
      <c r="A40" s="68" t="s">
        <v>67</v>
      </c>
      <c r="B40" s="159"/>
      <c r="C40" s="284"/>
      <c r="D40" s="160"/>
      <c r="E40" s="159"/>
      <c r="F40" s="273"/>
      <c r="G40" s="273"/>
      <c r="H40" s="273"/>
      <c r="I40" s="273"/>
      <c r="J40" s="273"/>
      <c r="K40" s="273"/>
      <c r="L40" s="273"/>
      <c r="M40" s="158"/>
      <c r="N40" s="273"/>
      <c r="O40" s="273"/>
      <c r="P40" s="273"/>
      <c r="Q40" s="273"/>
      <c r="R40" s="273"/>
      <c r="S40" s="158"/>
      <c r="T40" s="158"/>
      <c r="U40" s="158"/>
      <c r="V40" s="158"/>
    </row>
    <row r="41" spans="1:22" s="1" customFormat="1" ht="12.75">
      <c r="A41" s="68" t="s">
        <v>980</v>
      </c>
      <c r="B41" s="159"/>
      <c r="C41" s="284"/>
      <c r="D41" s="160"/>
      <c r="E41" s="159"/>
      <c r="F41" s="273"/>
      <c r="G41" s="273"/>
      <c r="H41" s="273"/>
      <c r="I41" s="273"/>
      <c r="J41" s="273"/>
      <c r="K41" s="273"/>
      <c r="L41" s="273"/>
      <c r="M41" s="158"/>
      <c r="N41" s="273"/>
      <c r="O41" s="273"/>
      <c r="P41" s="273"/>
      <c r="Q41" s="273"/>
      <c r="R41" s="627"/>
      <c r="S41" s="158"/>
      <c r="T41" s="158"/>
      <c r="U41" s="158"/>
      <c r="V41" s="158"/>
    </row>
    <row r="42" spans="1:22" s="59" customFormat="1" ht="14.25">
      <c r="A42" s="157" t="s">
        <v>102</v>
      </c>
      <c r="B42" s="156">
        <f>SUM(B43:B58)</f>
        <v>0</v>
      </c>
      <c r="C42" s="155">
        <f>SUM(C43:C58)</f>
        <v>0</v>
      </c>
      <c r="D42" s="155">
        <f>SUM(D43:D58)</f>
        <v>0</v>
      </c>
      <c r="E42" s="156">
        <f>SUM(E43:E57)</f>
        <v>0</v>
      </c>
      <c r="F42" s="272">
        <f>SUM(F43:F59)</f>
        <v>500000</v>
      </c>
      <c r="G42" s="272">
        <f>SUM(G43:G57)</f>
        <v>0</v>
      </c>
      <c r="H42" s="272">
        <f>SUM(H43:H57)</f>
        <v>45784.618000000002</v>
      </c>
      <c r="I42" s="272">
        <f>SUM(I43:I57)</f>
        <v>0</v>
      </c>
      <c r="J42" s="272">
        <f>SUM(J43:J57)</f>
        <v>0</v>
      </c>
      <c r="K42" s="272">
        <f t="shared" ref="K42:S42" si="7">SUM(K43:K57)</f>
        <v>0</v>
      </c>
      <c r="L42" s="272">
        <f t="shared" si="7"/>
        <v>0</v>
      </c>
      <c r="M42" s="155">
        <f t="shared" si="7"/>
        <v>0</v>
      </c>
      <c r="N42" s="272">
        <f t="shared" si="7"/>
        <v>0</v>
      </c>
      <c r="O42" s="272">
        <f t="shared" ref="O42" si="8">SUM(O43:O57)</f>
        <v>0</v>
      </c>
      <c r="P42" s="272">
        <f t="shared" si="7"/>
        <v>63524.991000000002</v>
      </c>
      <c r="Q42" s="272">
        <f>SUM(Q43:Q58)</f>
        <v>0</v>
      </c>
      <c r="R42" s="272">
        <f t="shared" si="7"/>
        <v>0</v>
      </c>
      <c r="S42" s="155">
        <f t="shared" si="7"/>
        <v>0</v>
      </c>
      <c r="T42" s="155">
        <f>SUM(T43:T57)</f>
        <v>0</v>
      </c>
      <c r="U42" s="155">
        <f>SUM(U43:U59)</f>
        <v>0</v>
      </c>
      <c r="V42" s="155">
        <f>SUM(V43:V59)</f>
        <v>0</v>
      </c>
    </row>
    <row r="43" spans="1:22">
      <c r="A43" s="68" t="s">
        <v>101</v>
      </c>
      <c r="B43" s="152"/>
      <c r="C43" s="285"/>
      <c r="D43" s="151"/>
      <c r="E43" s="152"/>
      <c r="F43" s="274"/>
      <c r="G43" s="274"/>
      <c r="H43" s="274"/>
      <c r="I43" s="274"/>
      <c r="J43" s="274"/>
      <c r="K43" s="274"/>
      <c r="L43" s="274"/>
      <c r="M43" s="151"/>
      <c r="N43" s="274"/>
      <c r="O43" s="274"/>
      <c r="P43" s="274"/>
      <c r="Q43" s="274"/>
      <c r="R43" s="274"/>
      <c r="S43" s="151"/>
      <c r="T43" s="151"/>
      <c r="U43" s="151">
        <v>0</v>
      </c>
      <c r="V43" s="151"/>
    </row>
    <row r="44" spans="1:22">
      <c r="A44" s="68" t="s">
        <v>100</v>
      </c>
      <c r="B44" s="152"/>
      <c r="C44" s="285"/>
      <c r="D44" s="151"/>
      <c r="E44" s="152"/>
      <c r="F44" s="274"/>
      <c r="G44" s="274"/>
      <c r="H44" s="274"/>
      <c r="I44" s="274"/>
      <c r="J44" s="274"/>
      <c r="K44" s="274"/>
      <c r="L44" s="274"/>
      <c r="M44" s="151"/>
      <c r="N44" s="274"/>
      <c r="O44" s="274"/>
      <c r="P44" s="274"/>
      <c r="Q44" s="274"/>
      <c r="R44" s="274"/>
      <c r="S44" s="151"/>
      <c r="T44" s="151"/>
      <c r="U44" s="151"/>
      <c r="V44" s="151"/>
    </row>
    <row r="45" spans="1:22">
      <c r="A45" s="68" t="s">
        <v>545</v>
      </c>
      <c r="B45" s="152"/>
      <c r="C45" s="285"/>
      <c r="D45" s="151"/>
      <c r="E45" s="152"/>
      <c r="F45" s="274"/>
      <c r="G45" s="274"/>
      <c r="H45" s="274"/>
      <c r="I45" s="274"/>
      <c r="J45" s="274"/>
      <c r="K45" s="274"/>
      <c r="L45" s="274"/>
      <c r="M45" s="151"/>
      <c r="N45" s="274"/>
      <c r="O45" s="274"/>
      <c r="P45" s="274"/>
      <c r="Q45" s="274"/>
      <c r="R45" s="274"/>
      <c r="S45" s="151"/>
      <c r="T45" s="151"/>
      <c r="U45" s="151"/>
      <c r="V45" s="151"/>
    </row>
    <row r="46" spans="1:22">
      <c r="A46" s="68" t="s">
        <v>99</v>
      </c>
      <c r="B46" s="152"/>
      <c r="C46" s="285"/>
      <c r="D46" s="151"/>
      <c r="E46" s="152"/>
      <c r="F46" s="274"/>
      <c r="G46" s="274"/>
      <c r="H46" s="274">
        <v>45784.618000000002</v>
      </c>
      <c r="I46" s="274"/>
      <c r="J46" s="274"/>
      <c r="K46" s="274"/>
      <c r="L46" s="274"/>
      <c r="M46" s="151"/>
      <c r="N46" s="274"/>
      <c r="O46" s="274"/>
      <c r="P46" s="274">
        <v>63524.991000000002</v>
      </c>
      <c r="Q46" s="274"/>
      <c r="R46" s="274"/>
      <c r="S46" s="151"/>
      <c r="T46" s="151"/>
      <c r="U46" s="151"/>
      <c r="V46" s="151"/>
    </row>
    <row r="47" spans="1:22">
      <c r="A47" s="68" t="s">
        <v>98</v>
      </c>
      <c r="B47" s="152"/>
      <c r="C47" s="285"/>
      <c r="D47" s="151"/>
      <c r="E47" s="152"/>
      <c r="F47" s="274"/>
      <c r="G47" s="274"/>
      <c r="H47" s="274"/>
      <c r="I47" s="274"/>
      <c r="J47" s="274"/>
      <c r="K47" s="274"/>
      <c r="L47" s="274"/>
      <c r="M47" s="151"/>
      <c r="N47" s="274"/>
      <c r="O47" s="274"/>
      <c r="P47" s="274"/>
      <c r="Q47" s="274"/>
      <c r="R47" s="274"/>
      <c r="S47" s="151"/>
      <c r="T47" s="151"/>
      <c r="U47" s="151"/>
      <c r="V47" s="151"/>
    </row>
    <row r="48" spans="1:22">
      <c r="A48" s="68" t="s">
        <v>97</v>
      </c>
      <c r="B48" s="152"/>
      <c r="C48" s="285"/>
      <c r="D48" s="151"/>
      <c r="E48" s="152"/>
      <c r="F48" s="320"/>
      <c r="G48" s="274"/>
      <c r="H48" s="274"/>
      <c r="I48" s="274"/>
      <c r="J48" s="274"/>
      <c r="K48" s="274"/>
      <c r="L48" s="274"/>
      <c r="M48" s="151"/>
      <c r="N48" s="274"/>
      <c r="O48" s="274"/>
      <c r="P48" s="274"/>
      <c r="Q48" s="274"/>
      <c r="R48" s="274"/>
      <c r="S48" s="151"/>
      <c r="T48" s="151"/>
      <c r="U48" s="151"/>
      <c r="V48" s="151"/>
    </row>
    <row r="49" spans="1:22">
      <c r="A49" s="68" t="s">
        <v>96</v>
      </c>
      <c r="B49" s="152"/>
      <c r="C49" s="285"/>
      <c r="D49" s="151"/>
      <c r="E49" s="152"/>
      <c r="F49" s="274"/>
      <c r="G49" s="274"/>
      <c r="H49" s="274"/>
      <c r="I49" s="274"/>
      <c r="J49" s="274"/>
      <c r="K49" s="274"/>
      <c r="L49" s="274"/>
      <c r="M49" s="151"/>
      <c r="N49" s="274"/>
      <c r="O49" s="274"/>
      <c r="P49" s="274"/>
      <c r="Q49" s="274"/>
      <c r="R49" s="274"/>
      <c r="S49" s="151"/>
      <c r="T49" s="151"/>
      <c r="U49" s="151"/>
      <c r="V49" s="151"/>
    </row>
    <row r="50" spans="1:22" s="59" customFormat="1">
      <c r="A50" s="68" t="s">
        <v>46</v>
      </c>
      <c r="B50" s="152"/>
      <c r="C50" s="285"/>
      <c r="D50" s="151"/>
      <c r="E50" s="152"/>
      <c r="F50" s="626"/>
      <c r="G50" s="274"/>
      <c r="H50" s="274"/>
      <c r="I50" s="274"/>
      <c r="J50" s="274"/>
      <c r="K50" s="274"/>
      <c r="L50" s="274"/>
      <c r="M50" s="151"/>
      <c r="N50" s="274"/>
      <c r="O50" s="274"/>
      <c r="P50" s="274"/>
      <c r="Q50" s="308"/>
      <c r="R50" s="274"/>
      <c r="S50" s="151"/>
      <c r="T50" s="151"/>
      <c r="U50" s="151"/>
      <c r="V50" s="151"/>
    </row>
    <row r="51" spans="1:22" s="59" customFormat="1">
      <c r="A51" s="68" t="s">
        <v>95</v>
      </c>
      <c r="B51" s="152"/>
      <c r="C51" s="285"/>
      <c r="D51" s="151"/>
      <c r="E51" s="152"/>
      <c r="F51" s="274"/>
      <c r="G51" s="274"/>
      <c r="H51" s="274"/>
      <c r="I51" s="274"/>
      <c r="J51" s="274"/>
      <c r="K51" s="274"/>
      <c r="L51" s="274"/>
      <c r="M51" s="151"/>
      <c r="N51" s="274"/>
      <c r="O51" s="274"/>
      <c r="P51" s="274"/>
      <c r="Q51" s="274"/>
      <c r="R51" s="274"/>
      <c r="S51" s="151"/>
      <c r="T51" s="151"/>
      <c r="U51" s="151"/>
      <c r="V51" s="151"/>
    </row>
    <row r="52" spans="1:22">
      <c r="A52" s="68" t="s">
        <v>45</v>
      </c>
      <c r="B52" s="152"/>
      <c r="C52" s="285"/>
      <c r="D52" s="151"/>
      <c r="E52" s="152"/>
      <c r="F52" s="274"/>
      <c r="G52" s="274"/>
      <c r="H52" s="274"/>
      <c r="I52" s="274"/>
      <c r="J52" s="274"/>
      <c r="K52" s="274"/>
      <c r="L52" s="274"/>
      <c r="M52" s="319"/>
      <c r="N52" s="274"/>
      <c r="O52" s="274"/>
      <c r="P52" s="274"/>
      <c r="Q52" s="274"/>
      <c r="R52" s="274"/>
      <c r="S52" s="151"/>
      <c r="T52" s="319"/>
      <c r="U52" s="151"/>
      <c r="V52" s="151"/>
    </row>
    <row r="53" spans="1:22">
      <c r="A53" s="68" t="s">
        <v>560</v>
      </c>
      <c r="B53" s="152"/>
      <c r="C53" s="285"/>
      <c r="D53" s="151"/>
      <c r="E53" s="152"/>
      <c r="F53" s="274"/>
      <c r="G53" s="274"/>
      <c r="H53" s="274"/>
      <c r="I53" s="274"/>
      <c r="J53" s="274"/>
      <c r="K53" s="274"/>
      <c r="L53" s="571">
        <v>0</v>
      </c>
      <c r="M53" s="572">
        <v>0</v>
      </c>
      <c r="N53" s="274"/>
      <c r="O53" s="274"/>
      <c r="P53" s="274"/>
      <c r="Q53" s="274"/>
      <c r="R53" s="274"/>
      <c r="S53" s="151"/>
      <c r="T53" s="319"/>
      <c r="U53" s="151"/>
      <c r="V53" s="151"/>
    </row>
    <row r="54" spans="1:22">
      <c r="A54" s="68" t="s">
        <v>159</v>
      </c>
      <c r="B54" s="152"/>
      <c r="C54" s="285"/>
      <c r="D54" s="151"/>
      <c r="E54" s="152"/>
      <c r="F54" s="274"/>
      <c r="G54" s="274"/>
      <c r="H54" s="274"/>
      <c r="I54" s="274"/>
      <c r="J54" s="274"/>
      <c r="K54" s="274"/>
      <c r="L54" s="274"/>
      <c r="M54" s="151"/>
      <c r="N54" s="274"/>
      <c r="O54" s="274"/>
      <c r="P54" s="274"/>
      <c r="Q54" s="274"/>
      <c r="R54" s="274"/>
      <c r="S54" s="151"/>
      <c r="T54" s="151"/>
      <c r="U54" s="151"/>
      <c r="V54" s="151"/>
    </row>
    <row r="55" spans="1:22">
      <c r="A55" s="68" t="s">
        <v>158</v>
      </c>
      <c r="B55" s="152"/>
      <c r="C55" s="285"/>
      <c r="D55" s="151"/>
      <c r="E55" s="152"/>
      <c r="F55" s="274"/>
      <c r="G55" s="274"/>
      <c r="H55" s="274"/>
      <c r="I55" s="274"/>
      <c r="J55" s="274"/>
      <c r="K55" s="274"/>
      <c r="L55" s="274"/>
      <c r="M55" s="151"/>
      <c r="N55" s="274"/>
      <c r="O55" s="274"/>
      <c r="P55" s="274"/>
      <c r="Q55" s="274"/>
      <c r="R55" s="274"/>
      <c r="S55" s="151"/>
      <c r="T55" s="151"/>
      <c r="U55" s="151"/>
      <c r="V55" s="151"/>
    </row>
    <row r="56" spans="1:22">
      <c r="A56" s="68" t="s">
        <v>151</v>
      </c>
      <c r="B56" s="152"/>
      <c r="C56" s="285"/>
      <c r="D56" s="151"/>
      <c r="E56" s="152"/>
      <c r="F56" s="320">
        <v>500000</v>
      </c>
      <c r="G56" s="274"/>
      <c r="H56" s="274"/>
      <c r="I56" s="274"/>
      <c r="J56" s="274"/>
      <c r="K56" s="274"/>
      <c r="L56" s="274"/>
      <c r="M56" s="151"/>
      <c r="N56" s="274"/>
      <c r="O56" s="274"/>
      <c r="P56" s="274"/>
      <c r="Q56" s="274"/>
      <c r="R56" s="274"/>
      <c r="S56" s="151"/>
      <c r="T56" s="151"/>
      <c r="U56" s="151"/>
      <c r="V56" s="151"/>
    </row>
    <row r="57" spans="1:22">
      <c r="A57" s="68" t="s">
        <v>94</v>
      </c>
      <c r="B57" s="152"/>
      <c r="C57" s="285"/>
      <c r="D57" s="151"/>
      <c r="E57" s="152"/>
      <c r="F57" s="274"/>
      <c r="G57" s="274"/>
      <c r="H57" s="274"/>
      <c r="I57" s="274"/>
      <c r="J57" s="274"/>
      <c r="K57" s="274"/>
      <c r="L57" s="274"/>
      <c r="M57" s="151"/>
      <c r="N57" s="274"/>
      <c r="O57" s="274"/>
      <c r="P57" s="274"/>
      <c r="Q57" s="274">
        <v>0</v>
      </c>
      <c r="R57" s="274"/>
      <c r="S57" s="151"/>
      <c r="T57" s="151"/>
      <c r="U57" s="151"/>
      <c r="V57" s="151"/>
    </row>
    <row r="58" spans="1:22">
      <c r="A58" s="68" t="s">
        <v>160</v>
      </c>
      <c r="B58" s="152"/>
      <c r="C58" s="285"/>
      <c r="D58" s="151"/>
      <c r="E58" s="152"/>
      <c r="F58" s="274"/>
      <c r="G58" s="274"/>
      <c r="H58" s="274"/>
      <c r="I58" s="274"/>
      <c r="J58" s="274"/>
      <c r="K58" s="274"/>
      <c r="L58" s="274"/>
      <c r="M58" s="151"/>
      <c r="N58" s="274"/>
      <c r="O58" s="274"/>
      <c r="P58" s="274"/>
      <c r="Q58" s="274"/>
      <c r="R58" s="274"/>
      <c r="S58" s="151"/>
      <c r="T58" s="151"/>
      <c r="U58" s="151"/>
      <c r="V58" s="151"/>
    </row>
    <row r="59" spans="1:22">
      <c r="A59" s="68" t="s">
        <v>157</v>
      </c>
      <c r="B59" s="152"/>
      <c r="C59" s="285"/>
      <c r="D59" s="151"/>
      <c r="E59" s="152"/>
      <c r="F59" s="274"/>
      <c r="G59" s="274"/>
      <c r="H59" s="274"/>
      <c r="I59" s="274"/>
      <c r="J59" s="274"/>
      <c r="K59" s="274"/>
      <c r="L59" s="274"/>
      <c r="M59" s="151"/>
      <c r="N59" s="274"/>
      <c r="O59" s="274"/>
      <c r="P59" s="274"/>
      <c r="Q59" s="274"/>
      <c r="R59" s="274"/>
      <c r="S59" s="151"/>
      <c r="T59" s="151"/>
      <c r="U59" s="151"/>
      <c r="V59" s="151"/>
    </row>
    <row r="60" spans="1:22" s="59" customFormat="1" ht="14.25">
      <c r="A60" s="69" t="s">
        <v>68</v>
      </c>
      <c r="B60" s="154">
        <f>SUM(B61:B62)</f>
        <v>0</v>
      </c>
      <c r="C60" s="269">
        <f>SUM(C61:C62)</f>
        <v>0</v>
      </c>
      <c r="D60" s="153">
        <f t="shared" ref="D60:S60" si="9">SUM(D61:D62)</f>
        <v>0</v>
      </c>
      <c r="E60" s="154">
        <f t="shared" si="9"/>
        <v>11640</v>
      </c>
      <c r="F60" s="269">
        <f t="shared" si="9"/>
        <v>112154</v>
      </c>
      <c r="G60" s="269">
        <f t="shared" si="9"/>
        <v>0</v>
      </c>
      <c r="H60" s="269">
        <f t="shared" si="9"/>
        <v>0</v>
      </c>
      <c r="I60" s="269">
        <f t="shared" si="9"/>
        <v>0</v>
      </c>
      <c r="J60" s="269">
        <f t="shared" si="9"/>
        <v>0</v>
      </c>
      <c r="K60" s="269"/>
      <c r="L60" s="269">
        <f t="shared" si="9"/>
        <v>0</v>
      </c>
      <c r="M60" s="153">
        <f t="shared" si="9"/>
        <v>0</v>
      </c>
      <c r="N60" s="269">
        <f t="shared" si="9"/>
        <v>0</v>
      </c>
      <c r="O60" s="269">
        <f t="shared" ref="O60" si="10">SUM(O61:O62)</f>
        <v>0</v>
      </c>
      <c r="P60" s="269">
        <f t="shared" si="9"/>
        <v>0</v>
      </c>
      <c r="Q60" s="269">
        <f t="shared" si="9"/>
        <v>0</v>
      </c>
      <c r="R60" s="269">
        <f t="shared" si="9"/>
        <v>0</v>
      </c>
      <c r="S60" s="153">
        <f t="shared" si="9"/>
        <v>0</v>
      </c>
      <c r="T60" s="153">
        <f>SUM(T61:T62)</f>
        <v>0</v>
      </c>
      <c r="U60" s="153">
        <f>SUM(U61:U62)</f>
        <v>0</v>
      </c>
      <c r="V60" s="153">
        <f>SUM(V61:V62)</f>
        <v>0</v>
      </c>
    </row>
    <row r="61" spans="1:22">
      <c r="A61" s="68" t="s">
        <v>93</v>
      </c>
      <c r="B61" s="152"/>
      <c r="C61" s="285"/>
      <c r="D61" s="151"/>
      <c r="E61" s="152">
        <f>+CMT!F45</f>
        <v>11640</v>
      </c>
      <c r="F61" s="274">
        <f>+CMT!F46+16534+19073</f>
        <v>112154</v>
      </c>
      <c r="G61" s="274"/>
      <c r="H61" s="274"/>
      <c r="I61" s="274"/>
      <c r="J61" s="274"/>
      <c r="K61" s="274"/>
      <c r="L61" s="274"/>
      <c r="M61" s="151"/>
      <c r="N61" s="274"/>
      <c r="O61" s="308"/>
      <c r="P61" s="274"/>
      <c r="Q61" s="274"/>
      <c r="R61" s="274"/>
      <c r="S61" s="151"/>
      <c r="T61" s="151"/>
      <c r="U61" s="151"/>
      <c r="V61" s="151"/>
    </row>
    <row r="62" spans="1:22">
      <c r="A62" s="68" t="s">
        <v>2</v>
      </c>
      <c r="B62" s="152"/>
      <c r="C62" s="285"/>
      <c r="D62" s="151"/>
      <c r="E62" s="152"/>
      <c r="F62" s="274"/>
      <c r="G62" s="274"/>
      <c r="H62" s="274"/>
      <c r="I62" s="274"/>
      <c r="J62" s="274"/>
      <c r="K62" s="274"/>
      <c r="L62" s="274"/>
      <c r="M62" s="151"/>
      <c r="N62" s="274"/>
      <c r="O62" s="274"/>
      <c r="P62" s="274"/>
      <c r="Q62" s="274"/>
      <c r="R62" s="274"/>
      <c r="S62" s="151"/>
      <c r="T62" s="151"/>
      <c r="U62" s="151"/>
      <c r="V62" s="151"/>
    </row>
    <row r="63" spans="1:22" s="62" customFormat="1">
      <c r="A63" s="70" t="s">
        <v>955</v>
      </c>
      <c r="B63" s="275">
        <f t="shared" ref="B63:V63" si="11">B3+B4+B8-B26</f>
        <v>-126815.31899999996</v>
      </c>
      <c r="C63" s="277">
        <f t="shared" si="11"/>
        <v>17637.162</v>
      </c>
      <c r="D63" s="276">
        <f t="shared" si="11"/>
        <v>24094.955999999998</v>
      </c>
      <c r="E63" s="275">
        <f t="shared" si="11"/>
        <v>35600.586000000003</v>
      </c>
      <c r="F63" s="277">
        <f>F3+F4+F8-F26</f>
        <v>-2374384.466</v>
      </c>
      <c r="G63" s="277">
        <f t="shared" si="11"/>
        <v>180.83699999999999</v>
      </c>
      <c r="H63" s="277">
        <f t="shared" si="11"/>
        <v>-2438.622000000003</v>
      </c>
      <c r="I63" s="277">
        <f t="shared" ref="I63" si="12">I3+I4+I8-I26</f>
        <v>360.99799999999999</v>
      </c>
      <c r="J63" s="277">
        <f t="shared" si="11"/>
        <v>5662.8909999999996</v>
      </c>
      <c r="K63" s="277">
        <f t="shared" ref="K63" si="13">K3+K4+K8-K26</f>
        <v>4920.18</v>
      </c>
      <c r="L63" s="277">
        <f t="shared" si="11"/>
        <v>4008.96</v>
      </c>
      <c r="M63" s="276">
        <f>M3+M4+M8-M26</f>
        <v>521928.44000000006</v>
      </c>
      <c r="N63" s="277">
        <f t="shared" si="11"/>
        <v>2492.5390000000002</v>
      </c>
      <c r="O63" s="277">
        <f t="shared" ref="O63" si="14">O3+O4+O8-O26</f>
        <v>49.808999999999997</v>
      </c>
      <c r="P63" s="277">
        <f t="shared" si="11"/>
        <v>60488.674999999996</v>
      </c>
      <c r="Q63" s="277">
        <f t="shared" si="11"/>
        <v>-549631.77300000004</v>
      </c>
      <c r="R63" s="277">
        <f t="shared" si="11"/>
        <v>7974.9900000000052</v>
      </c>
      <c r="S63" s="276">
        <f t="shared" si="11"/>
        <v>49040.47</v>
      </c>
      <c r="T63" s="276">
        <f t="shared" si="11"/>
        <v>502188.66700000002</v>
      </c>
      <c r="U63" s="276">
        <f t="shared" si="11"/>
        <v>74756.209000000003</v>
      </c>
      <c r="V63" s="276">
        <f t="shared" si="11"/>
        <v>146712.75</v>
      </c>
    </row>
    <row r="64" spans="1:22" s="62" customFormat="1" ht="15.75" thickBot="1">
      <c r="A64" s="71" t="s">
        <v>69</v>
      </c>
      <c r="B64" s="150">
        <v>-200000</v>
      </c>
      <c r="C64" s="278">
        <v>0</v>
      </c>
      <c r="D64" s="149">
        <v>0</v>
      </c>
      <c r="E64" s="150">
        <v>0</v>
      </c>
      <c r="F64" s="278">
        <v>-2000000</v>
      </c>
      <c r="G64" s="278">
        <v>0</v>
      </c>
      <c r="H64" s="278">
        <v>0</v>
      </c>
      <c r="I64" s="278">
        <v>0</v>
      </c>
      <c r="J64" s="278">
        <v>-250000</v>
      </c>
      <c r="K64" s="278">
        <v>0</v>
      </c>
      <c r="L64" s="278">
        <v>0</v>
      </c>
      <c r="M64" s="149">
        <v>0</v>
      </c>
      <c r="N64" s="278">
        <v>0</v>
      </c>
      <c r="O64" s="278">
        <v>0</v>
      </c>
      <c r="P64" s="278">
        <v>0</v>
      </c>
      <c r="Q64" s="278">
        <v>-420000</v>
      </c>
      <c r="R64" s="278">
        <v>0</v>
      </c>
      <c r="S64" s="149">
        <v>0</v>
      </c>
      <c r="T64" s="149">
        <v>0</v>
      </c>
      <c r="U64" s="149">
        <v>0</v>
      </c>
      <c r="V64" s="149">
        <v>0</v>
      </c>
    </row>
    <row r="65" spans="1:19">
      <c r="A65" s="1"/>
    </row>
    <row r="66" spans="1:19" s="516" customFormat="1" ht="15.75">
      <c r="B66" s="517"/>
      <c r="C66" s="517"/>
      <c r="D66" s="517"/>
      <c r="E66" s="517"/>
      <c r="F66" s="517">
        <f>+F63-F64</f>
        <v>-374384.46600000001</v>
      </c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>
        <f>+Q63-Q64</f>
        <v>-129631.77300000004</v>
      </c>
      <c r="R66" s="517"/>
      <c r="S66" s="517"/>
    </row>
    <row r="67" spans="1:19" s="516" customFormat="1" ht="15.75">
      <c r="B67" s="517"/>
      <c r="C67" s="517"/>
      <c r="D67" s="517"/>
      <c r="E67" s="517"/>
      <c r="F67" s="517"/>
      <c r="G67" s="517"/>
      <c r="H67" s="517"/>
      <c r="I67" s="517"/>
      <c r="J67" s="517"/>
      <c r="K67" s="517"/>
      <c r="L67" s="517"/>
      <c r="M67" s="517"/>
      <c r="N67" s="517"/>
      <c r="O67" s="517"/>
      <c r="P67" s="517">
        <f>+Q63-Q64+F63-F64+B63-B64</f>
        <v>-430831.55799999996</v>
      </c>
      <c r="Q67" s="517"/>
      <c r="R67" s="517"/>
      <c r="S67" s="517"/>
    </row>
    <row r="68" spans="1:19" s="519" customFormat="1" ht="15.75">
      <c r="A68" s="4"/>
      <c r="B68" s="517"/>
      <c r="C68" s="520"/>
      <c r="D68" s="520"/>
      <c r="E68" s="520"/>
      <c r="F68" s="520"/>
      <c r="G68" s="520"/>
      <c r="H68" s="520"/>
      <c r="I68" s="520"/>
      <c r="J68" s="518"/>
      <c r="K68" s="518"/>
      <c r="L68" s="518"/>
      <c r="M68" s="518"/>
      <c r="N68" s="518"/>
      <c r="O68" s="518"/>
      <c r="P68" s="518"/>
      <c r="Q68" s="518"/>
      <c r="R68" s="518"/>
      <c r="S68" s="518"/>
    </row>
    <row r="69" spans="1:19">
      <c r="A69" s="1"/>
      <c r="F69" s="148">
        <f>F64*0.2</f>
        <v>-400000</v>
      </c>
    </row>
  </sheetData>
  <mergeCells count="3">
    <mergeCell ref="B1:D1"/>
    <mergeCell ref="E1:M1"/>
    <mergeCell ref="N1:S1"/>
  </mergeCells>
  <pageMargins left="0" right="0" top="0" bottom="0" header="0" footer="0"/>
  <pageSetup paperSize="9" scale="48" orientation="landscape" horizontalDpi="180" verticalDpi="180" r:id="rId1"/>
  <ignoredErrors>
    <ignoredError sqref="Q8 L13 L4 Q4 T13 O13 F42 Q42" formula="1"/>
    <ignoredError sqref="F1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54"/>
  <sheetViews>
    <sheetView workbookViewId="0">
      <selection activeCell="H15" sqref="H15"/>
    </sheetView>
  </sheetViews>
  <sheetFormatPr baseColWidth="10" defaultRowHeight="12.75"/>
  <cols>
    <col min="1" max="1" width="15.5703125" style="52" bestFit="1" customWidth="1"/>
    <col min="2" max="2" width="9.42578125" style="52" bestFit="1" customWidth="1"/>
    <col min="3" max="3" width="10.85546875" style="52" bestFit="1" customWidth="1"/>
    <col min="4" max="4" width="9.28515625" style="52" bestFit="1" customWidth="1"/>
    <col min="5" max="5" width="14.28515625" style="52" bestFit="1" customWidth="1"/>
    <col min="6" max="6" width="10.42578125" style="52" bestFit="1" customWidth="1"/>
    <col min="7" max="16384" width="11.42578125" style="52"/>
  </cols>
  <sheetData>
    <row r="1" spans="1:9">
      <c r="A1" s="72">
        <f ca="1">TODAY()</f>
        <v>42735</v>
      </c>
    </row>
    <row r="2" spans="1:9">
      <c r="A2" s="52" t="s">
        <v>70</v>
      </c>
      <c r="C2" s="73">
        <v>42369</v>
      </c>
      <c r="D2" s="52">
        <v>2.2161300000000002</v>
      </c>
    </row>
    <row r="3" spans="1:9">
      <c r="A3" s="52" t="s">
        <v>71</v>
      </c>
      <c r="C3" s="73">
        <v>42369</v>
      </c>
      <c r="D3" s="52">
        <v>2.04074</v>
      </c>
    </row>
    <row r="4" spans="1:9" ht="13.5" thickBot="1">
      <c r="A4" s="52" t="s">
        <v>72</v>
      </c>
      <c r="C4" s="73">
        <v>42369</v>
      </c>
      <c r="D4" s="52">
        <v>3.0085600000000001</v>
      </c>
    </row>
    <row r="5" spans="1:9" ht="13.5" thickBot="1">
      <c r="A5" s="636" t="s">
        <v>73</v>
      </c>
      <c r="B5" s="637"/>
      <c r="C5" s="637"/>
      <c r="D5" s="637"/>
      <c r="E5" s="637"/>
      <c r="F5" s="638"/>
    </row>
    <row r="6" spans="1:9" ht="13.5" thickBot="1">
      <c r="A6" s="5" t="s">
        <v>74</v>
      </c>
      <c r="B6" s="6" t="s">
        <v>75</v>
      </c>
      <c r="C6" s="6" t="s">
        <v>76</v>
      </c>
      <c r="D6" s="6" t="s">
        <v>77</v>
      </c>
      <c r="E6" s="6" t="s">
        <v>78</v>
      </c>
      <c r="F6" s="74" t="s">
        <v>13</v>
      </c>
    </row>
    <row r="7" spans="1:9">
      <c r="A7" s="509" t="s">
        <v>687</v>
      </c>
      <c r="B7" s="494" t="s">
        <v>16</v>
      </c>
      <c r="C7" s="598">
        <v>6321.62</v>
      </c>
      <c r="D7" s="495">
        <f t="shared" ref="D7:D9" si="0">+C7*$D$2</f>
        <v>14009.531730600002</v>
      </c>
      <c r="E7" s="508">
        <v>42643</v>
      </c>
      <c r="F7" s="497">
        <f t="shared" ref="F7:F9" si="1">+E7+60</f>
        <v>42703</v>
      </c>
    </row>
    <row r="8" spans="1:9">
      <c r="A8" s="623" t="s">
        <v>772</v>
      </c>
      <c r="B8" s="603" t="s">
        <v>16</v>
      </c>
      <c r="C8" s="604">
        <v>1681.7</v>
      </c>
      <c r="D8" s="604">
        <f t="shared" si="0"/>
        <v>3726.8658210000003</v>
      </c>
      <c r="E8" s="624">
        <v>42661</v>
      </c>
      <c r="F8" s="607">
        <f t="shared" si="1"/>
        <v>42721</v>
      </c>
    </row>
    <row r="9" spans="1:9">
      <c r="A9" s="474" t="s">
        <v>969</v>
      </c>
      <c r="B9" s="363" t="s">
        <v>16</v>
      </c>
      <c r="C9" s="364">
        <v>7321.78</v>
      </c>
      <c r="D9" s="364">
        <f t="shared" si="0"/>
        <v>16226.016311400001</v>
      </c>
      <c r="E9" s="365">
        <v>42704</v>
      </c>
      <c r="F9" s="366">
        <f t="shared" si="1"/>
        <v>42764</v>
      </c>
    </row>
    <row r="10" spans="1:9" ht="13.5" thickBot="1">
      <c r="A10" s="98"/>
      <c r="B10" s="95"/>
      <c r="C10" s="96"/>
      <c r="D10" s="96"/>
      <c r="E10" s="100"/>
      <c r="F10" s="97"/>
    </row>
    <row r="11" spans="1:9" ht="13.5" thickBot="1">
      <c r="A11" s="639" t="s">
        <v>79</v>
      </c>
      <c r="B11" s="640"/>
      <c r="C11" s="99">
        <f>SUM(C7:C10)</f>
        <v>15325.099999999999</v>
      </c>
    </row>
    <row r="12" spans="1:9" s="76" customFormat="1" ht="13.5" thickBot="1">
      <c r="A12" s="566" t="s">
        <v>80</v>
      </c>
      <c r="B12" s="567" t="s">
        <v>16</v>
      </c>
      <c r="C12" s="568">
        <v>19379.22</v>
      </c>
      <c r="D12" s="568">
        <f>+C12*$D$2</f>
        <v>42946.870818600008</v>
      </c>
      <c r="E12" s="569">
        <v>42648</v>
      </c>
      <c r="F12" s="570">
        <f>+E12+90</f>
        <v>42738</v>
      </c>
    </row>
    <row r="13" spans="1:9">
      <c r="A13" s="639" t="s">
        <v>79</v>
      </c>
      <c r="B13" s="640"/>
      <c r="C13" s="99">
        <f>SUM(C12:C12)</f>
        <v>19379.22</v>
      </c>
    </row>
    <row r="14" spans="1:9" s="76" customFormat="1" ht="13.5" thickBot="1">
      <c r="A14" s="502" t="s">
        <v>982</v>
      </c>
      <c r="B14" s="503" t="s">
        <v>16</v>
      </c>
      <c r="C14" s="504">
        <v>213144.46</v>
      </c>
      <c r="D14" s="504">
        <f>+C14*$D$2</f>
        <v>472355.83213980001</v>
      </c>
      <c r="E14" s="505"/>
      <c r="F14" s="507"/>
      <c r="H14" s="629">
        <f>C14-56000-99000</f>
        <v>58144.459999999992</v>
      </c>
      <c r="I14" s="629"/>
    </row>
    <row r="15" spans="1:9" s="76" customFormat="1" ht="13.5" thickBot="1">
      <c r="A15" s="634" t="s">
        <v>79</v>
      </c>
      <c r="B15" s="635"/>
      <c r="C15" s="321">
        <f>SUM(C14:C14)</f>
        <v>213144.46</v>
      </c>
      <c r="D15" s="77"/>
      <c r="E15" s="78"/>
      <c r="F15" s="78"/>
    </row>
    <row r="16" spans="1:9" s="76" customFormat="1" ht="13.5" thickBot="1">
      <c r="A16" s="498" t="s">
        <v>778</v>
      </c>
      <c r="B16" s="499" t="s">
        <v>19</v>
      </c>
      <c r="C16" s="500">
        <v>57893.38</v>
      </c>
      <c r="D16" s="500">
        <f>C16*D3</f>
        <v>118145.33630119999</v>
      </c>
      <c r="E16" s="501">
        <v>42677</v>
      </c>
      <c r="F16" s="506">
        <f>+E16</f>
        <v>42677</v>
      </c>
    </row>
    <row r="17" spans="1:11" s="76" customFormat="1" ht="13.5" thickBot="1">
      <c r="A17" s="634" t="s">
        <v>79</v>
      </c>
      <c r="B17" s="635"/>
      <c r="C17" s="321">
        <f>SUM(C16:C16)</f>
        <v>57893.38</v>
      </c>
      <c r="D17" s="77"/>
      <c r="E17" s="78"/>
      <c r="F17" s="78"/>
      <c r="H17" s="52"/>
      <c r="I17" s="628"/>
      <c r="J17" s="52"/>
      <c r="K17" s="52"/>
    </row>
    <row r="18" spans="1:11" s="76" customFormat="1" ht="13.5" thickBot="1">
      <c r="A18" s="566" t="s">
        <v>970</v>
      </c>
      <c r="B18" s="567" t="s">
        <v>16</v>
      </c>
      <c r="C18" s="568">
        <v>13175.07</v>
      </c>
      <c r="D18" s="568">
        <f>+C18*$D$2</f>
        <v>29197.667879100001</v>
      </c>
      <c r="E18" s="569">
        <v>42697</v>
      </c>
      <c r="F18" s="570">
        <f>+E18+60</f>
        <v>42757</v>
      </c>
      <c r="I18" s="629"/>
    </row>
    <row r="19" spans="1:11" ht="13.5" thickBot="1">
      <c r="A19" s="634" t="s">
        <v>79</v>
      </c>
      <c r="B19" s="635"/>
      <c r="C19" s="321">
        <f>SUM(C18:C18)</f>
        <v>13175.07</v>
      </c>
    </row>
    <row r="20" spans="1:11" s="76" customFormat="1" ht="13.5" thickBot="1">
      <c r="A20" s="566" t="s">
        <v>980</v>
      </c>
      <c r="B20" s="567" t="s">
        <v>16</v>
      </c>
      <c r="C20" s="568">
        <v>119888.28</v>
      </c>
      <c r="D20" s="568">
        <f>+C20*$D$2</f>
        <v>265688.01395640004</v>
      </c>
      <c r="E20" s="569">
        <v>42719</v>
      </c>
      <c r="F20" s="570">
        <v>42719</v>
      </c>
    </row>
    <row r="21" spans="1:11" ht="13.5" thickBot="1">
      <c r="A21" s="634" t="s">
        <v>79</v>
      </c>
      <c r="B21" s="635"/>
      <c r="C21" s="321">
        <f>SUM(C20:C20)</f>
        <v>119888.28</v>
      </c>
    </row>
    <row r="22" spans="1:11" ht="13.5" thickBot="1"/>
    <row r="23" spans="1:11" ht="13.5" thickBot="1">
      <c r="A23" s="636" t="s">
        <v>81</v>
      </c>
      <c r="B23" s="637"/>
      <c r="C23" s="637"/>
      <c r="D23" s="637"/>
      <c r="E23" s="637"/>
      <c r="F23" s="638"/>
    </row>
    <row r="24" spans="1:11" ht="13.5" thickBot="1">
      <c r="A24" s="5" t="s">
        <v>74</v>
      </c>
      <c r="B24" s="6" t="s">
        <v>75</v>
      </c>
      <c r="C24" s="6" t="s">
        <v>76</v>
      </c>
      <c r="D24" s="6" t="s">
        <v>77</v>
      </c>
      <c r="E24" s="6" t="s">
        <v>78</v>
      </c>
      <c r="F24" s="74" t="s">
        <v>13</v>
      </c>
    </row>
    <row r="25" spans="1:11">
      <c r="A25" s="380" t="s">
        <v>686</v>
      </c>
      <c r="B25" s="494" t="s">
        <v>16</v>
      </c>
      <c r="C25" s="598">
        <v>10243.24</v>
      </c>
      <c r="D25" s="383">
        <f t="shared" ref="D25:D40" si="2">C25*$D$2</f>
        <v>22700.3514612</v>
      </c>
      <c r="E25" s="496">
        <v>42642</v>
      </c>
      <c r="F25" s="497">
        <f t="shared" ref="F25:F40" si="3">+E25+60</f>
        <v>42702</v>
      </c>
      <c r="H25" s="31"/>
      <c r="I25" s="31"/>
      <c r="J25" s="31"/>
      <c r="K25" s="31"/>
    </row>
    <row r="26" spans="1:11">
      <c r="A26" s="380" t="s">
        <v>688</v>
      </c>
      <c r="B26" s="494" t="s">
        <v>16</v>
      </c>
      <c r="C26" s="495">
        <v>3744.49</v>
      </c>
      <c r="D26" s="383">
        <f t="shared" si="2"/>
        <v>8298.2766236999996</v>
      </c>
      <c r="E26" s="496">
        <v>42643</v>
      </c>
      <c r="F26" s="497">
        <f t="shared" si="3"/>
        <v>42703</v>
      </c>
      <c r="H26" s="31"/>
      <c r="I26" s="31"/>
      <c r="J26" s="31"/>
      <c r="K26" s="31"/>
    </row>
    <row r="27" spans="1:11">
      <c r="A27" s="602" t="s">
        <v>773</v>
      </c>
      <c r="B27" s="603" t="s">
        <v>16</v>
      </c>
      <c r="C27" s="604">
        <v>12591.25</v>
      </c>
      <c r="D27" s="605">
        <f t="shared" si="2"/>
        <v>27903.846862500002</v>
      </c>
      <c r="E27" s="606">
        <v>42650</v>
      </c>
      <c r="F27" s="607">
        <f t="shared" si="3"/>
        <v>42710</v>
      </c>
      <c r="H27" s="31"/>
      <c r="I27" s="31"/>
      <c r="J27" s="31"/>
      <c r="K27" s="31"/>
    </row>
    <row r="28" spans="1:11">
      <c r="A28" s="602" t="s">
        <v>774</v>
      </c>
      <c r="B28" s="603" t="s">
        <v>16</v>
      </c>
      <c r="C28" s="604">
        <v>10405.459999999999</v>
      </c>
      <c r="D28" s="605">
        <f t="shared" si="2"/>
        <v>23059.852069799999</v>
      </c>
      <c r="E28" s="606">
        <v>42660</v>
      </c>
      <c r="F28" s="607">
        <f t="shared" si="3"/>
        <v>42720</v>
      </c>
      <c r="H28" s="31"/>
      <c r="I28" s="31"/>
      <c r="J28" s="31"/>
      <c r="K28" s="31"/>
    </row>
    <row r="29" spans="1:11">
      <c r="A29" s="602" t="s">
        <v>775</v>
      </c>
      <c r="B29" s="603" t="s">
        <v>16</v>
      </c>
      <c r="C29" s="604">
        <v>9782.65</v>
      </c>
      <c r="D29" s="605">
        <f t="shared" si="2"/>
        <v>21679.624144500001</v>
      </c>
      <c r="E29" s="606">
        <v>42661</v>
      </c>
      <c r="F29" s="607">
        <f t="shared" si="3"/>
        <v>42721</v>
      </c>
      <c r="H29" s="31"/>
      <c r="I29" s="31"/>
      <c r="J29" s="31"/>
      <c r="K29" s="31"/>
    </row>
    <row r="30" spans="1:11">
      <c r="A30" s="475" t="s">
        <v>958</v>
      </c>
      <c r="B30" s="363" t="s">
        <v>16</v>
      </c>
      <c r="C30" s="364">
        <v>14561.1</v>
      </c>
      <c r="D30" s="476">
        <f t="shared" si="2"/>
        <v>32269.290543000003</v>
      </c>
      <c r="E30" s="477">
        <v>42683</v>
      </c>
      <c r="F30" s="366">
        <f t="shared" si="3"/>
        <v>42743</v>
      </c>
      <c r="H30" s="31"/>
      <c r="I30" s="31"/>
      <c r="J30" s="31"/>
      <c r="K30" s="31"/>
    </row>
    <row r="31" spans="1:11">
      <c r="A31" s="602" t="s">
        <v>959</v>
      </c>
      <c r="B31" s="603" t="s">
        <v>16</v>
      </c>
      <c r="C31" s="604">
        <v>14960.4</v>
      </c>
      <c r="D31" s="605">
        <f t="shared" si="2"/>
        <v>33154.191252000004</v>
      </c>
      <c r="E31" s="606">
        <v>42685</v>
      </c>
      <c r="F31" s="607">
        <f t="shared" si="3"/>
        <v>42745</v>
      </c>
      <c r="H31" s="31"/>
      <c r="I31" s="31"/>
      <c r="J31" s="31"/>
      <c r="K31" s="31"/>
    </row>
    <row r="32" spans="1:11">
      <c r="A32" s="475" t="s">
        <v>960</v>
      </c>
      <c r="B32" s="363" t="s">
        <v>16</v>
      </c>
      <c r="C32" s="364">
        <v>12259.61</v>
      </c>
      <c r="D32" s="476">
        <f t="shared" si="2"/>
        <v>27168.889509300003</v>
      </c>
      <c r="E32" s="477">
        <v>42688</v>
      </c>
      <c r="F32" s="366">
        <f t="shared" si="3"/>
        <v>42748</v>
      </c>
      <c r="H32" s="31"/>
      <c r="I32" s="31"/>
      <c r="J32" s="31"/>
      <c r="K32" s="31"/>
    </row>
    <row r="33" spans="1:11">
      <c r="A33" s="475" t="s">
        <v>961</v>
      </c>
      <c r="B33" s="363" t="s">
        <v>16</v>
      </c>
      <c r="C33" s="364">
        <v>7929.82</v>
      </c>
      <c r="D33" s="476">
        <f t="shared" si="2"/>
        <v>17573.511996600002</v>
      </c>
      <c r="E33" s="477">
        <v>42689</v>
      </c>
      <c r="F33" s="366">
        <f t="shared" si="3"/>
        <v>42749</v>
      </c>
      <c r="H33" s="599"/>
      <c r="I33" s="31"/>
      <c r="J33" s="31"/>
      <c r="K33" s="31"/>
    </row>
    <row r="34" spans="1:11">
      <c r="A34" s="475" t="s">
        <v>962</v>
      </c>
      <c r="B34" s="363" t="s">
        <v>16</v>
      </c>
      <c r="C34" s="364">
        <v>12763.97</v>
      </c>
      <c r="D34" s="476">
        <f t="shared" si="2"/>
        <v>28286.616836100002</v>
      </c>
      <c r="E34" s="477">
        <v>42689</v>
      </c>
      <c r="F34" s="366">
        <f t="shared" si="3"/>
        <v>42749</v>
      </c>
      <c r="H34" s="600"/>
      <c r="I34" s="31"/>
      <c r="J34" s="31"/>
      <c r="K34" s="31"/>
    </row>
    <row r="35" spans="1:11">
      <c r="A35" s="475" t="s">
        <v>963</v>
      </c>
      <c r="B35" s="363" t="s">
        <v>16</v>
      </c>
      <c r="C35" s="364">
        <v>11739.34</v>
      </c>
      <c r="D35" s="476">
        <f t="shared" si="2"/>
        <v>26015.903554200002</v>
      </c>
      <c r="E35" s="477">
        <v>42691</v>
      </c>
      <c r="F35" s="366">
        <f t="shared" si="3"/>
        <v>42751</v>
      </c>
      <c r="H35" s="600"/>
      <c r="I35" s="31"/>
      <c r="J35" s="31"/>
      <c r="K35" s="31"/>
    </row>
    <row r="36" spans="1:11">
      <c r="A36" s="475" t="s">
        <v>964</v>
      </c>
      <c r="B36" s="363" t="s">
        <v>16</v>
      </c>
      <c r="C36" s="364">
        <v>13524.64</v>
      </c>
      <c r="D36" s="476">
        <f t="shared" si="2"/>
        <v>29972.360443199999</v>
      </c>
      <c r="E36" s="477">
        <v>42692</v>
      </c>
      <c r="F36" s="366">
        <f t="shared" si="3"/>
        <v>42752</v>
      </c>
      <c r="H36" s="31"/>
      <c r="I36" s="31"/>
      <c r="J36" s="31"/>
      <c r="K36" s="31"/>
    </row>
    <row r="37" spans="1:11">
      <c r="A37" s="475" t="s">
        <v>965</v>
      </c>
      <c r="B37" s="363" t="s">
        <v>16</v>
      </c>
      <c r="C37" s="364">
        <v>11806.44</v>
      </c>
      <c r="D37" s="476">
        <f t="shared" si="2"/>
        <v>26164.605877200003</v>
      </c>
      <c r="E37" s="477">
        <v>42695</v>
      </c>
      <c r="F37" s="366">
        <f t="shared" si="3"/>
        <v>42755</v>
      </c>
      <c r="H37" s="31"/>
      <c r="I37" s="31"/>
      <c r="J37" s="31"/>
      <c r="K37" s="31"/>
    </row>
    <row r="38" spans="1:11">
      <c r="A38" s="475" t="s">
        <v>966</v>
      </c>
      <c r="B38" s="363" t="s">
        <v>16</v>
      </c>
      <c r="C38" s="364">
        <v>20706.759999999998</v>
      </c>
      <c r="D38" s="476">
        <f t="shared" si="2"/>
        <v>45888.8720388</v>
      </c>
      <c r="E38" s="477">
        <v>42696</v>
      </c>
      <c r="F38" s="366">
        <f t="shared" si="3"/>
        <v>42756</v>
      </c>
      <c r="H38" s="31"/>
      <c r="I38" s="31"/>
      <c r="J38" s="31"/>
      <c r="K38" s="31"/>
    </row>
    <row r="39" spans="1:11">
      <c r="A39" s="475" t="s">
        <v>967</v>
      </c>
      <c r="B39" s="363" t="s">
        <v>16</v>
      </c>
      <c r="C39" s="364">
        <v>17270.099999999999</v>
      </c>
      <c r="D39" s="476">
        <f t="shared" si="2"/>
        <v>38272.786713000001</v>
      </c>
      <c r="E39" s="477">
        <v>42704</v>
      </c>
      <c r="F39" s="366">
        <f t="shared" si="3"/>
        <v>42764</v>
      </c>
      <c r="H39" s="31"/>
      <c r="I39" s="31"/>
      <c r="J39" s="31"/>
      <c r="K39" s="31"/>
    </row>
    <row r="40" spans="1:11">
      <c r="A40" s="475" t="s">
        <v>968</v>
      </c>
      <c r="B40" s="363" t="s">
        <v>16</v>
      </c>
      <c r="C40" s="364">
        <v>5011</v>
      </c>
      <c r="D40" s="476">
        <f t="shared" si="2"/>
        <v>11105.02743</v>
      </c>
      <c r="E40" s="477">
        <v>42704</v>
      </c>
      <c r="F40" s="366">
        <f t="shared" si="3"/>
        <v>42764</v>
      </c>
      <c r="H40" s="31"/>
      <c r="I40" s="31"/>
      <c r="J40" s="31"/>
      <c r="K40" s="31"/>
    </row>
    <row r="41" spans="1:11" ht="13.5" thickBot="1">
      <c r="A41" s="361"/>
      <c r="B41" s="95"/>
      <c r="C41" s="96"/>
      <c r="D41" s="362"/>
      <c r="E41" s="360"/>
      <c r="F41" s="97"/>
      <c r="H41" s="31"/>
      <c r="I41" s="31"/>
      <c r="J41" s="31"/>
      <c r="K41" s="31"/>
    </row>
    <row r="42" spans="1:11" s="76" customFormat="1" ht="13.5" thickBot="1">
      <c r="A42" s="641" t="s">
        <v>79</v>
      </c>
      <c r="B42" s="642"/>
      <c r="C42" s="75">
        <f>SUM(C25:C41)</f>
        <v>189300.27</v>
      </c>
      <c r="D42" s="77"/>
      <c r="E42" s="78"/>
      <c r="F42" s="78"/>
      <c r="H42" s="52"/>
      <c r="I42" s="52"/>
      <c r="J42" s="52"/>
      <c r="K42" s="52"/>
    </row>
    <row r="43" spans="1:11" s="76" customFormat="1">
      <c r="A43" s="356" t="s">
        <v>82</v>
      </c>
      <c r="B43" s="85" t="s">
        <v>16</v>
      </c>
      <c r="C43" s="357">
        <v>28537.62</v>
      </c>
      <c r="D43" s="357">
        <f>+C43*D2</f>
        <v>63243.075810599999</v>
      </c>
      <c r="E43" s="358">
        <v>42648</v>
      </c>
      <c r="F43" s="359">
        <f>+E43+90</f>
        <v>42738</v>
      </c>
      <c r="H43" s="94"/>
      <c r="I43" s="94"/>
      <c r="J43" s="94"/>
      <c r="K43" s="94"/>
    </row>
    <row r="44" spans="1:11" s="76" customFormat="1">
      <c r="A44" s="613" t="s">
        <v>82</v>
      </c>
      <c r="B44" s="614" t="s">
        <v>16</v>
      </c>
      <c r="C44" s="615">
        <v>15885.26</v>
      </c>
      <c r="D44" s="615">
        <f>+C44*D2</f>
        <v>35203.801243800001</v>
      </c>
      <c r="E44" s="616">
        <v>42692</v>
      </c>
      <c r="F44" s="617">
        <f>+E44+90</f>
        <v>42782</v>
      </c>
      <c r="H44" s="94"/>
      <c r="I44" s="94"/>
      <c r="J44" s="94"/>
      <c r="K44" s="94"/>
    </row>
    <row r="45" spans="1:11" s="76" customFormat="1" ht="13.5" thickBot="1">
      <c r="A45" s="361" t="s">
        <v>82</v>
      </c>
      <c r="B45" s="573" t="s">
        <v>16</v>
      </c>
      <c r="C45" s="362">
        <v>47108.83</v>
      </c>
      <c r="D45" s="362">
        <f>+C45*D2</f>
        <v>104399.29142790001</v>
      </c>
      <c r="E45" s="574">
        <v>42699</v>
      </c>
      <c r="F45" s="575">
        <f>+E45+90</f>
        <v>42789</v>
      </c>
      <c r="H45" s="94"/>
      <c r="I45" s="94"/>
      <c r="J45" s="94"/>
      <c r="K45" s="94"/>
    </row>
    <row r="46" spans="1:11" ht="13.5" thickBot="1">
      <c r="A46" s="641" t="s">
        <v>79</v>
      </c>
      <c r="B46" s="642"/>
      <c r="C46" s="75">
        <f>SUM(C43:C43)</f>
        <v>28537.62</v>
      </c>
      <c r="D46" s="77"/>
      <c r="E46" s="78"/>
      <c r="F46" s="78"/>
      <c r="H46" s="31"/>
      <c r="I46" s="31"/>
      <c r="J46" s="31"/>
      <c r="K46" s="31"/>
    </row>
    <row r="47" spans="1:11" s="101" customFormat="1" ht="13.5" thickBot="1">
      <c r="A47" s="608" t="s">
        <v>544</v>
      </c>
      <c r="B47" s="609" t="s">
        <v>16</v>
      </c>
      <c r="C47" s="610">
        <v>6262.58</v>
      </c>
      <c r="D47" s="610">
        <f>+C47*D2</f>
        <v>13878.691415400001</v>
      </c>
      <c r="E47" s="611">
        <v>42681</v>
      </c>
      <c r="F47" s="612">
        <f>+E47+30</f>
        <v>42711</v>
      </c>
      <c r="H47" s="76"/>
      <c r="I47" s="76"/>
      <c r="J47" s="76"/>
      <c r="K47" s="76"/>
    </row>
    <row r="48" spans="1:11" s="31" customFormat="1">
      <c r="A48" s="641" t="s">
        <v>79</v>
      </c>
      <c r="B48" s="642"/>
      <c r="C48" s="75">
        <f>SUM(C47:C47)</f>
        <v>6262.58</v>
      </c>
      <c r="D48" s="77"/>
      <c r="E48" s="78"/>
      <c r="F48" s="78"/>
      <c r="H48" s="52"/>
      <c r="I48" s="52"/>
      <c r="J48" s="52"/>
      <c r="K48" s="52"/>
    </row>
    <row r="49" spans="1:11" s="76" customFormat="1" ht="13.5" thickBot="1">
      <c r="A49" s="361" t="s">
        <v>543</v>
      </c>
      <c r="B49" s="573" t="s">
        <v>16</v>
      </c>
      <c r="C49" s="362">
        <v>54338.400000000001</v>
      </c>
      <c r="D49" s="362">
        <f>C49*D3</f>
        <v>110890.546416</v>
      </c>
      <c r="E49" s="574">
        <v>42695</v>
      </c>
      <c r="F49" s="576">
        <f>+E49+60</f>
        <v>42755</v>
      </c>
    </row>
    <row r="50" spans="1:11" s="76" customFormat="1" ht="13.5" thickBot="1">
      <c r="A50" s="634" t="s">
        <v>79</v>
      </c>
      <c r="B50" s="635"/>
      <c r="C50" s="321">
        <f>SUM(C49)</f>
        <v>54338.400000000001</v>
      </c>
      <c r="D50" s="77"/>
      <c r="E50" s="78"/>
      <c r="F50" s="78"/>
      <c r="H50" s="52"/>
      <c r="I50" s="52"/>
      <c r="J50" s="52"/>
      <c r="K50" s="52"/>
    </row>
    <row r="51" spans="1:11" s="76" customFormat="1" ht="13.5" thickBot="1">
      <c r="A51" s="618" t="s">
        <v>776</v>
      </c>
      <c r="B51" s="619" t="s">
        <v>16</v>
      </c>
      <c r="C51" s="620">
        <v>8117.3</v>
      </c>
      <c r="D51" s="620">
        <f>C51*D4</f>
        <v>24421.384088000003</v>
      </c>
      <c r="E51" s="621">
        <v>42657</v>
      </c>
      <c r="F51" s="622">
        <f>+E51+90</f>
        <v>42747</v>
      </c>
    </row>
    <row r="52" spans="1:11" s="76" customFormat="1" ht="13.5" thickBot="1">
      <c r="A52" s="634" t="s">
        <v>79</v>
      </c>
      <c r="B52" s="635"/>
      <c r="C52" s="321">
        <f>SUM(C51:C51)</f>
        <v>8117.3</v>
      </c>
      <c r="D52" s="77"/>
      <c r="E52" s="78"/>
      <c r="F52" s="78"/>
      <c r="H52" s="52"/>
      <c r="I52" s="52"/>
      <c r="J52" s="52"/>
      <c r="K52" s="52"/>
    </row>
    <row r="53" spans="1:11" s="76" customFormat="1" ht="13.5" thickBot="1">
      <c r="A53" s="566" t="s">
        <v>970</v>
      </c>
      <c r="B53" s="567" t="s">
        <v>16</v>
      </c>
      <c r="C53" s="568">
        <v>16442.650000000001</v>
      </c>
      <c r="D53" s="568">
        <f>+C53*$D$2</f>
        <v>36439.049944500002</v>
      </c>
      <c r="E53" s="569">
        <v>42699</v>
      </c>
      <c r="F53" s="570">
        <f>+E53+60</f>
        <v>42759</v>
      </c>
    </row>
    <row r="54" spans="1:11" ht="13.5" thickBot="1">
      <c r="A54" s="634" t="s">
        <v>79</v>
      </c>
      <c r="B54" s="635"/>
      <c r="C54" s="321">
        <f>SUM(C53:C53)</f>
        <v>16442.650000000001</v>
      </c>
    </row>
  </sheetData>
  <sortState ref="A51:F53">
    <sortCondition ref="E51:E53"/>
  </sortState>
  <mergeCells count="14">
    <mergeCell ref="A54:B54"/>
    <mergeCell ref="A5:F5"/>
    <mergeCell ref="A13:B13"/>
    <mergeCell ref="A23:F23"/>
    <mergeCell ref="A42:B42"/>
    <mergeCell ref="A11:B11"/>
    <mergeCell ref="A15:B15"/>
    <mergeCell ref="A17:B17"/>
    <mergeCell ref="A19:B19"/>
    <mergeCell ref="A52:B52"/>
    <mergeCell ref="A50:B50"/>
    <mergeCell ref="A46:B46"/>
    <mergeCell ref="A48:B48"/>
    <mergeCell ref="A21:B2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P49"/>
  <sheetViews>
    <sheetView topLeftCell="A19" workbookViewId="0">
      <selection activeCell="K33" sqref="K33"/>
    </sheetView>
  </sheetViews>
  <sheetFormatPr baseColWidth="10" defaultColWidth="11.42578125" defaultRowHeight="14.25"/>
  <cols>
    <col min="1" max="1" width="11.42578125" style="175"/>
    <col min="2" max="2" width="16.28515625" style="175" bestFit="1" customWidth="1"/>
    <col min="3" max="3" width="12.140625" style="175" bestFit="1" customWidth="1"/>
    <col min="4" max="4" width="11.140625" style="177" bestFit="1" customWidth="1"/>
    <col min="5" max="5" width="9.42578125" style="177" bestFit="1" customWidth="1"/>
    <col min="6" max="6" width="11.140625" style="177" bestFit="1" customWidth="1"/>
    <col min="7" max="8" width="21.140625" style="176" customWidth="1"/>
    <col min="9" max="9" width="16.140625" style="176" bestFit="1" customWidth="1"/>
    <col min="10" max="12" width="14" style="175" bestFit="1" customWidth="1"/>
    <col min="13" max="13" width="7.28515625" style="175" bestFit="1" customWidth="1"/>
    <col min="14" max="14" width="11.85546875" style="175" bestFit="1" customWidth="1"/>
    <col min="15" max="15" width="9.140625" style="175" bestFit="1" customWidth="1"/>
    <col min="16" max="16" width="7.7109375" style="175" bestFit="1" customWidth="1"/>
    <col min="17" max="17" width="6.42578125" style="175" bestFit="1" customWidth="1"/>
    <col min="18" max="16384" width="11.42578125" style="175"/>
  </cols>
  <sheetData>
    <row r="1" spans="2:9">
      <c r="B1" s="643" t="s">
        <v>142</v>
      </c>
      <c r="C1" s="643"/>
      <c r="D1" s="643"/>
      <c r="E1" s="643"/>
      <c r="F1" s="643"/>
    </row>
    <row r="2" spans="2:9">
      <c r="B2" s="643" t="s">
        <v>138</v>
      </c>
      <c r="C2" s="643"/>
      <c r="D2" s="643"/>
      <c r="E2" s="643"/>
      <c r="F2" s="643"/>
    </row>
    <row r="3" spans="2:9" ht="15" thickBot="1">
      <c r="B3" s="235"/>
      <c r="C3" s="235"/>
      <c r="D3" s="234"/>
      <c r="E3" s="234"/>
      <c r="F3" s="234"/>
    </row>
    <row r="4" spans="2:9" s="213" customFormat="1" ht="15" thickBot="1">
      <c r="B4" s="233" t="s">
        <v>137</v>
      </c>
      <c r="C4" s="232" t="s">
        <v>10</v>
      </c>
      <c r="D4" s="231" t="s">
        <v>136</v>
      </c>
      <c r="E4" s="231" t="s">
        <v>135</v>
      </c>
      <c r="F4" s="230" t="s">
        <v>134</v>
      </c>
      <c r="G4" s="229" t="s">
        <v>133</v>
      </c>
      <c r="H4" s="228" t="s">
        <v>132</v>
      </c>
      <c r="I4" s="214"/>
    </row>
    <row r="5" spans="2:9" s="194" customFormat="1" ht="15" thickBot="1">
      <c r="B5" s="443" t="s">
        <v>141</v>
      </c>
      <c r="C5" s="444">
        <v>42551</v>
      </c>
      <c r="D5" s="445">
        <v>6228.5709999999999</v>
      </c>
      <c r="E5" s="445">
        <v>823</v>
      </c>
      <c r="F5" s="446">
        <f>SUM(D5:E5)</f>
        <v>7051.5709999999999</v>
      </c>
      <c r="G5" s="447"/>
      <c r="H5" s="448"/>
      <c r="I5" s="195"/>
    </row>
    <row r="6" spans="2:9" s="194" customFormat="1" ht="15" thickBot="1">
      <c r="B6" s="644" t="s">
        <v>125</v>
      </c>
      <c r="C6" s="645"/>
      <c r="D6" s="181">
        <f>SUM(D5)</f>
        <v>6228.5709999999999</v>
      </c>
      <c r="E6" s="181">
        <f>SUM(E5)</f>
        <v>823</v>
      </c>
      <c r="F6" s="210">
        <f>SUM(F5:F5)</f>
        <v>7051.5709999999999</v>
      </c>
      <c r="G6" s="646"/>
      <c r="H6" s="646"/>
      <c r="I6" s="195"/>
    </row>
    <row r="7" spans="2:9" s="194" customFormat="1" ht="15" thickBot="1">
      <c r="B7" s="227" t="s">
        <v>141</v>
      </c>
      <c r="C7" s="226">
        <v>42735</v>
      </c>
      <c r="D7" s="225">
        <v>6228.5709999999999</v>
      </c>
      <c r="E7" s="225">
        <v>617</v>
      </c>
      <c r="F7" s="224">
        <f>SUM(D7:E7)</f>
        <v>6845.5709999999999</v>
      </c>
      <c r="G7" s="223"/>
      <c r="H7" s="222"/>
      <c r="I7" s="195"/>
    </row>
    <row r="8" spans="2:9" s="194" customFormat="1" ht="15" thickBot="1">
      <c r="B8" s="644" t="s">
        <v>140</v>
      </c>
      <c r="C8" s="645"/>
      <c r="D8" s="181">
        <f>SUM(D7)</f>
        <v>6228.5709999999999</v>
      </c>
      <c r="E8" s="181">
        <f>SUM(E7)</f>
        <v>617</v>
      </c>
      <c r="F8" s="210">
        <f>SUM(F7:F7)</f>
        <v>6845.5709999999999</v>
      </c>
      <c r="G8" s="647"/>
      <c r="H8" s="648"/>
      <c r="I8" s="195"/>
    </row>
    <row r="9" spans="2:9" ht="15" thickBot="1">
      <c r="B9" s="221"/>
      <c r="C9" s="221"/>
      <c r="D9" s="220"/>
      <c r="E9" s="220"/>
      <c r="F9" s="220"/>
    </row>
    <row r="10" spans="2:9" ht="15.75" customHeight="1" thickBot="1">
      <c r="B10" s="653" t="s">
        <v>114</v>
      </c>
      <c r="C10" s="654"/>
      <c r="D10" s="179">
        <f>D8+D6</f>
        <v>12457.142</v>
      </c>
      <c r="E10" s="179">
        <f>E8+E6</f>
        <v>1440</v>
      </c>
      <c r="F10" s="178">
        <f>F8+F6</f>
        <v>13897.142</v>
      </c>
      <c r="G10" s="175"/>
      <c r="H10" s="175"/>
      <c r="I10" s="175"/>
    </row>
    <row r="11" spans="2:9" ht="15.75" customHeight="1">
      <c r="G11" s="175"/>
      <c r="H11" s="175"/>
      <c r="I11" s="175"/>
    </row>
    <row r="12" spans="2:9">
      <c r="B12" s="643" t="s">
        <v>139</v>
      </c>
      <c r="C12" s="643"/>
      <c r="D12" s="643"/>
      <c r="E12" s="643"/>
      <c r="F12" s="643"/>
    </row>
    <row r="13" spans="2:9">
      <c r="B13" s="643" t="s">
        <v>138</v>
      </c>
      <c r="C13" s="643"/>
      <c r="D13" s="643"/>
      <c r="E13" s="643"/>
      <c r="F13" s="643"/>
    </row>
    <row r="14" spans="2:9" ht="15" thickBot="1"/>
    <row r="15" spans="2:9" s="213" customFormat="1" ht="15" thickBot="1">
      <c r="B15" s="219" t="s">
        <v>137</v>
      </c>
      <c r="C15" s="218" t="s">
        <v>10</v>
      </c>
      <c r="D15" s="217" t="s">
        <v>136</v>
      </c>
      <c r="E15" s="217" t="s">
        <v>135</v>
      </c>
      <c r="F15" s="217" t="s">
        <v>134</v>
      </c>
      <c r="G15" s="216" t="s">
        <v>133</v>
      </c>
      <c r="H15" s="215" t="s">
        <v>132</v>
      </c>
      <c r="I15" s="214"/>
    </row>
    <row r="16" spans="2:9" ht="15" thickBot="1">
      <c r="B16" s="203" t="s">
        <v>116</v>
      </c>
      <c r="C16" s="202">
        <v>42735</v>
      </c>
      <c r="D16" s="201">
        <v>71428.570999999996</v>
      </c>
      <c r="E16" s="201">
        <v>7677.6189999999997</v>
      </c>
      <c r="F16" s="200">
        <f>SUM(D16:E16)</f>
        <v>79106.19</v>
      </c>
      <c r="G16" s="212"/>
      <c r="H16" s="211"/>
      <c r="I16" s="175"/>
    </row>
    <row r="17" spans="2:16" ht="15" thickBot="1">
      <c r="B17" s="644" t="s">
        <v>115</v>
      </c>
      <c r="C17" s="645"/>
      <c r="D17" s="181">
        <f>SUM(D16:D16)</f>
        <v>71428.570999999996</v>
      </c>
      <c r="E17" s="181">
        <f>SUM(E16:E16)</f>
        <v>7677.6189999999997</v>
      </c>
      <c r="F17" s="210">
        <f>SUM(F16:F16)</f>
        <v>79106.19</v>
      </c>
      <c r="G17" s="651"/>
      <c r="H17" s="652"/>
      <c r="M17" s="194"/>
    </row>
    <row r="18" spans="2:16" s="194" customFormat="1">
      <c r="B18" s="209" t="s">
        <v>124</v>
      </c>
      <c r="C18" s="208">
        <v>42395</v>
      </c>
      <c r="D18" s="207">
        <v>172714.28599999999</v>
      </c>
      <c r="E18" s="207">
        <v>33986</v>
      </c>
      <c r="F18" s="206">
        <f t="shared" ref="F18:F47" si="0">SUM(D18:E18)</f>
        <v>206700.28599999999</v>
      </c>
      <c r="G18" s="205"/>
      <c r="H18" s="204"/>
      <c r="I18" s="195"/>
      <c r="O18" s="175"/>
      <c r="P18" s="175"/>
    </row>
    <row r="19" spans="2:16" s="194" customFormat="1" ht="15" thickBot="1">
      <c r="B19" s="203" t="s">
        <v>123</v>
      </c>
      <c r="C19" s="202">
        <v>42395</v>
      </c>
      <c r="D19" s="201">
        <v>106286</v>
      </c>
      <c r="E19" s="201">
        <v>21865</v>
      </c>
      <c r="F19" s="200">
        <f t="shared" si="0"/>
        <v>128151</v>
      </c>
      <c r="G19" s="199"/>
      <c r="H19" s="198"/>
      <c r="I19" s="195"/>
      <c r="K19" s="175"/>
      <c r="L19" s="175"/>
      <c r="M19" s="175"/>
    </row>
    <row r="20" spans="2:16" ht="15" thickBot="1">
      <c r="B20" s="644" t="s">
        <v>131</v>
      </c>
      <c r="C20" s="645"/>
      <c r="D20" s="181">
        <f>SUM(D18:D19)</f>
        <v>279000.28599999996</v>
      </c>
      <c r="E20" s="181">
        <f>SUM(E18:E19)</f>
        <v>55851</v>
      </c>
      <c r="F20" s="180">
        <f t="shared" si="0"/>
        <v>334851.28599999996</v>
      </c>
      <c r="G20" s="649"/>
      <c r="H20" s="650"/>
      <c r="O20" s="194"/>
      <c r="P20" s="194"/>
    </row>
    <row r="21" spans="2:16" s="194" customFormat="1">
      <c r="B21" s="209" t="s">
        <v>119</v>
      </c>
      <c r="C21" s="208">
        <v>42425</v>
      </c>
      <c r="D21" s="207">
        <v>28571</v>
      </c>
      <c r="E21" s="207">
        <v>3885</v>
      </c>
      <c r="F21" s="206">
        <f t="shared" si="0"/>
        <v>32456</v>
      </c>
      <c r="G21" s="205"/>
      <c r="H21" s="204"/>
      <c r="I21" s="195"/>
      <c r="K21" s="175"/>
      <c r="L21" s="175"/>
      <c r="M21" s="175"/>
    </row>
    <row r="22" spans="2:16" s="194" customFormat="1">
      <c r="B22" s="261" t="s">
        <v>128</v>
      </c>
      <c r="C22" s="262">
        <v>42428</v>
      </c>
      <c r="D22" s="263">
        <v>0</v>
      </c>
      <c r="E22" s="263">
        <v>1325</v>
      </c>
      <c r="F22" s="264">
        <f t="shared" si="0"/>
        <v>1325</v>
      </c>
      <c r="G22" s="265"/>
      <c r="H22" s="266"/>
      <c r="I22" s="195"/>
      <c r="K22" s="175"/>
      <c r="L22" s="175"/>
      <c r="M22" s="175"/>
      <c r="O22" s="175"/>
      <c r="P22" s="175"/>
    </row>
    <row r="23" spans="2:16" s="194" customFormat="1" ht="15" thickBot="1">
      <c r="B23" s="203" t="s">
        <v>127</v>
      </c>
      <c r="C23" s="202">
        <v>42428</v>
      </c>
      <c r="D23" s="201">
        <v>0</v>
      </c>
      <c r="E23" s="201">
        <v>329</v>
      </c>
      <c r="F23" s="200">
        <f t="shared" si="0"/>
        <v>329</v>
      </c>
      <c r="G23" s="199"/>
      <c r="H23" s="198"/>
      <c r="I23" s="195"/>
      <c r="K23" s="175"/>
      <c r="L23" s="175"/>
      <c r="M23" s="175"/>
    </row>
    <row r="24" spans="2:16" ht="15" thickBot="1">
      <c r="B24" s="644" t="s">
        <v>130</v>
      </c>
      <c r="C24" s="645"/>
      <c r="D24" s="181">
        <f>SUM(D21:D23)</f>
        <v>28571</v>
      </c>
      <c r="E24" s="181">
        <f>SUM(E21:E23)</f>
        <v>5539</v>
      </c>
      <c r="F24" s="180">
        <f t="shared" si="0"/>
        <v>34110</v>
      </c>
      <c r="G24" s="649"/>
      <c r="H24" s="650"/>
      <c r="O24" s="194"/>
      <c r="P24" s="194"/>
    </row>
    <row r="25" spans="2:16" s="194" customFormat="1">
      <c r="B25" s="209" t="s">
        <v>117</v>
      </c>
      <c r="C25" s="208">
        <v>42460</v>
      </c>
      <c r="D25" s="207">
        <v>10714</v>
      </c>
      <c r="E25" s="207">
        <v>1465</v>
      </c>
      <c r="F25" s="206">
        <f t="shared" si="0"/>
        <v>12179</v>
      </c>
      <c r="G25" s="205"/>
      <c r="H25" s="204"/>
      <c r="I25" s="195"/>
      <c r="K25" s="175"/>
      <c r="L25" s="175"/>
      <c r="M25" s="175"/>
      <c r="O25" s="175"/>
      <c r="P25" s="175"/>
    </row>
    <row r="26" spans="2:16" s="194" customFormat="1" ht="15" thickBot="1">
      <c r="B26" s="203" t="s">
        <v>116</v>
      </c>
      <c r="C26" s="202">
        <v>42460</v>
      </c>
      <c r="D26" s="201">
        <v>0</v>
      </c>
      <c r="E26" s="201">
        <v>6328</v>
      </c>
      <c r="F26" s="200">
        <f t="shared" si="0"/>
        <v>6328</v>
      </c>
      <c r="G26" s="199"/>
      <c r="H26" s="198"/>
      <c r="I26" s="195"/>
      <c r="K26" s="175"/>
      <c r="L26" s="175"/>
      <c r="M26" s="175"/>
    </row>
    <row r="27" spans="2:16" ht="15" thickBot="1">
      <c r="B27" s="644" t="s">
        <v>129</v>
      </c>
      <c r="C27" s="645"/>
      <c r="D27" s="181">
        <f>SUM(D25:D26)</f>
        <v>10714</v>
      </c>
      <c r="E27" s="181">
        <f>SUM(E25:E26)</f>
        <v>7793</v>
      </c>
      <c r="F27" s="180">
        <f t="shared" si="0"/>
        <v>18507</v>
      </c>
      <c r="G27" s="649"/>
      <c r="H27" s="650"/>
      <c r="J27" s="196"/>
      <c r="O27" s="194"/>
      <c r="P27" s="194"/>
    </row>
    <row r="28" spans="2:16" s="194" customFormat="1">
      <c r="B28" s="209" t="s">
        <v>119</v>
      </c>
      <c r="C28" s="208">
        <v>42515</v>
      </c>
      <c r="D28" s="207">
        <v>28571</v>
      </c>
      <c r="E28" s="207">
        <v>3330</v>
      </c>
      <c r="F28" s="206">
        <f t="shared" si="0"/>
        <v>31901</v>
      </c>
      <c r="G28" s="205"/>
      <c r="H28" s="204"/>
      <c r="I28" s="195"/>
      <c r="J28" s="196"/>
      <c r="K28" s="175"/>
      <c r="L28" s="175"/>
      <c r="M28" s="175"/>
      <c r="O28" s="175"/>
      <c r="P28" s="175"/>
    </row>
    <row r="29" spans="2:16" s="194" customFormat="1">
      <c r="B29" s="261" t="s">
        <v>128</v>
      </c>
      <c r="C29" s="262">
        <v>42521</v>
      </c>
      <c r="D29" s="263">
        <v>80000</v>
      </c>
      <c r="E29" s="263">
        <v>1339</v>
      </c>
      <c r="F29" s="264">
        <f t="shared" si="0"/>
        <v>81339</v>
      </c>
      <c r="G29" s="265"/>
      <c r="H29" s="266"/>
      <c r="I29" s="195"/>
      <c r="J29" s="196"/>
      <c r="K29" s="175"/>
      <c r="L29" s="175"/>
      <c r="M29" s="175"/>
    </row>
    <row r="30" spans="2:16" s="194" customFormat="1" ht="15" thickBot="1">
      <c r="B30" s="203" t="s">
        <v>127</v>
      </c>
      <c r="C30" s="202">
        <v>42521</v>
      </c>
      <c r="D30" s="201">
        <v>20000</v>
      </c>
      <c r="E30" s="201">
        <v>332</v>
      </c>
      <c r="F30" s="200">
        <f t="shared" si="0"/>
        <v>20332</v>
      </c>
      <c r="G30" s="199"/>
      <c r="H30" s="198"/>
      <c r="I30" s="195"/>
      <c r="J30" s="196"/>
      <c r="K30" s="175"/>
      <c r="L30" s="175"/>
      <c r="M30" s="175"/>
    </row>
    <row r="31" spans="2:16" ht="15" thickBot="1">
      <c r="B31" s="644" t="s">
        <v>126</v>
      </c>
      <c r="C31" s="645"/>
      <c r="D31" s="181">
        <f>SUM(D28:D30)</f>
        <v>128571</v>
      </c>
      <c r="E31" s="181">
        <f>SUM(E28:E30)</f>
        <v>5001</v>
      </c>
      <c r="F31" s="180">
        <f t="shared" si="0"/>
        <v>133572</v>
      </c>
      <c r="G31" s="649"/>
      <c r="H31" s="650"/>
      <c r="J31" s="196"/>
      <c r="O31" s="194"/>
      <c r="P31" s="194"/>
    </row>
    <row r="32" spans="2:16" s="194" customFormat="1">
      <c r="B32" s="209" t="s">
        <v>117</v>
      </c>
      <c r="C32" s="208">
        <v>42551</v>
      </c>
      <c r="D32" s="207">
        <v>10714</v>
      </c>
      <c r="E32" s="207">
        <v>1282</v>
      </c>
      <c r="F32" s="206">
        <f t="shared" si="0"/>
        <v>11996</v>
      </c>
      <c r="G32" s="205"/>
      <c r="H32" s="204"/>
      <c r="I32" s="195"/>
      <c r="J32" s="196"/>
      <c r="K32" s="197"/>
      <c r="L32" s="175"/>
      <c r="M32" s="175"/>
      <c r="N32" s="175"/>
      <c r="O32" s="175"/>
      <c r="P32" s="175"/>
    </row>
    <row r="33" spans="2:16" s="194" customFormat="1" ht="15" thickBot="1">
      <c r="B33" s="203" t="s">
        <v>116</v>
      </c>
      <c r="C33" s="202">
        <v>42551</v>
      </c>
      <c r="D33" s="201">
        <v>71429</v>
      </c>
      <c r="E33" s="201">
        <v>6328</v>
      </c>
      <c r="F33" s="200">
        <f t="shared" si="0"/>
        <v>77757</v>
      </c>
      <c r="G33" s="199"/>
      <c r="H33" s="198"/>
      <c r="I33" s="195"/>
      <c r="J33" s="196"/>
      <c r="K33" s="175"/>
      <c r="L33" s="175"/>
      <c r="M33" s="175"/>
      <c r="N33" s="175"/>
    </row>
    <row r="34" spans="2:16" ht="15" thickBot="1">
      <c r="B34" s="644" t="s">
        <v>125</v>
      </c>
      <c r="C34" s="645"/>
      <c r="D34" s="181">
        <f>SUM(D32:D33)</f>
        <v>82143</v>
      </c>
      <c r="E34" s="181">
        <f>SUM(E32:E33)</f>
        <v>7610</v>
      </c>
      <c r="F34" s="180">
        <f t="shared" si="0"/>
        <v>89753</v>
      </c>
      <c r="G34" s="649"/>
      <c r="H34" s="650"/>
      <c r="J34" s="196"/>
      <c r="O34" s="194"/>
      <c r="P34" s="194"/>
    </row>
    <row r="35" spans="2:16" s="194" customFormat="1">
      <c r="B35" s="209" t="s">
        <v>124</v>
      </c>
      <c r="C35" s="208">
        <v>42577</v>
      </c>
      <c r="D35" s="207">
        <v>172714</v>
      </c>
      <c r="E35" s="207">
        <v>28815</v>
      </c>
      <c r="F35" s="206">
        <f t="shared" si="0"/>
        <v>201529</v>
      </c>
      <c r="G35" s="205"/>
      <c r="H35" s="204"/>
      <c r="I35" s="195"/>
      <c r="J35" s="196"/>
      <c r="K35" s="175"/>
      <c r="L35" s="175"/>
      <c r="M35" s="175"/>
      <c r="N35" s="175"/>
      <c r="O35" s="175"/>
      <c r="P35" s="175"/>
    </row>
    <row r="36" spans="2:16" s="194" customFormat="1" ht="15" thickBot="1">
      <c r="B36" s="203" t="s">
        <v>123</v>
      </c>
      <c r="C36" s="202">
        <v>42577</v>
      </c>
      <c r="D36" s="201">
        <v>106286</v>
      </c>
      <c r="E36" s="201">
        <v>18538</v>
      </c>
      <c r="F36" s="200">
        <f t="shared" si="0"/>
        <v>124824</v>
      </c>
      <c r="G36" s="199"/>
      <c r="H36" s="198"/>
      <c r="I36" s="195"/>
      <c r="J36" s="175"/>
      <c r="K36" s="175"/>
      <c r="L36" s="175"/>
      <c r="M36" s="175"/>
      <c r="N36" s="175"/>
    </row>
    <row r="37" spans="2:16" ht="15" thickBot="1">
      <c r="B37" s="644" t="s">
        <v>122</v>
      </c>
      <c r="C37" s="645"/>
      <c r="D37" s="181">
        <f>SUM(D35:D36)</f>
        <v>279000</v>
      </c>
      <c r="E37" s="181">
        <f>SUM(E35:E36)</f>
        <v>47353</v>
      </c>
      <c r="F37" s="180">
        <f t="shared" si="0"/>
        <v>326353</v>
      </c>
      <c r="G37" s="649"/>
      <c r="H37" s="650"/>
      <c r="O37" s="194"/>
      <c r="P37" s="194"/>
    </row>
    <row r="38" spans="2:16" s="194" customFormat="1" ht="15" thickBot="1">
      <c r="B38" s="209" t="s">
        <v>119</v>
      </c>
      <c r="C38" s="208">
        <v>42607</v>
      </c>
      <c r="D38" s="207">
        <v>28571</v>
      </c>
      <c r="E38" s="207">
        <v>2775</v>
      </c>
      <c r="F38" s="206">
        <f t="shared" si="0"/>
        <v>31346</v>
      </c>
      <c r="G38" s="205"/>
      <c r="H38" s="204"/>
      <c r="I38" s="195"/>
      <c r="J38" s="175"/>
      <c r="K38" s="175"/>
      <c r="L38" s="175"/>
      <c r="M38" s="175"/>
      <c r="N38" s="175"/>
    </row>
    <row r="39" spans="2:16" ht="15" thickBot="1">
      <c r="B39" s="644" t="s">
        <v>121</v>
      </c>
      <c r="C39" s="645"/>
      <c r="D39" s="181">
        <f>SUM(D38:D38)</f>
        <v>28571</v>
      </c>
      <c r="E39" s="181">
        <f>SUM(E38:E38)</f>
        <v>2775</v>
      </c>
      <c r="F39" s="180">
        <f t="shared" si="0"/>
        <v>31346</v>
      </c>
      <c r="G39" s="649"/>
      <c r="H39" s="650"/>
    </row>
    <row r="40" spans="2:16" s="194" customFormat="1">
      <c r="B40" s="209" t="s">
        <v>117</v>
      </c>
      <c r="C40" s="208">
        <v>42643</v>
      </c>
      <c r="D40" s="207">
        <v>10714</v>
      </c>
      <c r="E40" s="207">
        <v>1111</v>
      </c>
      <c r="F40" s="206">
        <f t="shared" si="0"/>
        <v>11825</v>
      </c>
      <c r="G40" s="205"/>
      <c r="H40" s="204"/>
      <c r="I40" s="195"/>
      <c r="J40" s="175"/>
      <c r="K40" s="175"/>
      <c r="L40" s="175"/>
      <c r="M40" s="175"/>
      <c r="N40" s="175"/>
      <c r="O40" s="175"/>
      <c r="P40" s="175"/>
    </row>
    <row r="41" spans="2:16" s="194" customFormat="1" ht="15" thickBot="1">
      <c r="B41" s="203" t="s">
        <v>116</v>
      </c>
      <c r="C41" s="202">
        <v>42643</v>
      </c>
      <c r="D41" s="201">
        <v>0</v>
      </c>
      <c r="E41" s="201">
        <v>5118</v>
      </c>
      <c r="F41" s="200">
        <f t="shared" si="0"/>
        <v>5118</v>
      </c>
      <c r="G41" s="199"/>
      <c r="H41" s="198"/>
      <c r="I41" s="195"/>
      <c r="J41" s="175"/>
      <c r="K41" s="175"/>
      <c r="L41" s="175"/>
      <c r="M41" s="175"/>
      <c r="N41" s="175"/>
      <c r="O41" s="175"/>
      <c r="P41" s="175"/>
    </row>
    <row r="42" spans="2:16" ht="15" thickBot="1">
      <c r="B42" s="644" t="s">
        <v>120</v>
      </c>
      <c r="C42" s="645"/>
      <c r="D42" s="181">
        <f>SUM(D40:D41)</f>
        <v>10714</v>
      </c>
      <c r="E42" s="181">
        <f>SUM(E40:E41)</f>
        <v>6229</v>
      </c>
      <c r="F42" s="180">
        <f t="shared" si="0"/>
        <v>16943</v>
      </c>
      <c r="G42" s="649"/>
      <c r="H42" s="650"/>
    </row>
    <row r="43" spans="2:16" s="194" customFormat="1" ht="15" thickBot="1">
      <c r="B43" s="209" t="s">
        <v>119</v>
      </c>
      <c r="C43" s="208">
        <v>42699</v>
      </c>
      <c r="D43" s="207">
        <v>28571</v>
      </c>
      <c r="E43" s="207">
        <v>2220</v>
      </c>
      <c r="F43" s="206">
        <f t="shared" si="0"/>
        <v>30791</v>
      </c>
      <c r="G43" s="205"/>
      <c r="H43" s="204"/>
      <c r="I43" s="195"/>
      <c r="J43" s="175"/>
      <c r="K43" s="175"/>
      <c r="L43" s="175"/>
      <c r="M43" s="175"/>
      <c r="N43" s="175"/>
      <c r="O43" s="175"/>
      <c r="P43" s="175"/>
    </row>
    <row r="44" spans="2:16" ht="15" thickBot="1">
      <c r="B44" s="644" t="s">
        <v>118</v>
      </c>
      <c r="C44" s="645"/>
      <c r="D44" s="181">
        <f>SUM(D43:D43)</f>
        <v>28571</v>
      </c>
      <c r="E44" s="181">
        <f>SUM(E43:E43)</f>
        <v>2220</v>
      </c>
      <c r="F44" s="180">
        <f t="shared" si="0"/>
        <v>30791</v>
      </c>
      <c r="G44" s="649"/>
      <c r="H44" s="650"/>
      <c r="I44" s="175"/>
    </row>
    <row r="45" spans="2:16">
      <c r="B45" s="193" t="s">
        <v>117</v>
      </c>
      <c r="C45" s="192">
        <v>42735</v>
      </c>
      <c r="D45" s="191">
        <v>10714</v>
      </c>
      <c r="E45" s="191">
        <v>926</v>
      </c>
      <c r="F45" s="190">
        <f t="shared" si="0"/>
        <v>11640</v>
      </c>
      <c r="G45" s="189"/>
      <c r="H45" s="188"/>
      <c r="I45" s="175"/>
    </row>
    <row r="46" spans="2:16" ht="15" thickBot="1">
      <c r="B46" s="187" t="s">
        <v>116</v>
      </c>
      <c r="C46" s="186">
        <v>42735</v>
      </c>
      <c r="D46" s="185">
        <v>71429</v>
      </c>
      <c r="E46" s="185">
        <v>5118</v>
      </c>
      <c r="F46" s="184">
        <f t="shared" si="0"/>
        <v>76547</v>
      </c>
      <c r="G46" s="183"/>
      <c r="H46" s="182"/>
      <c r="I46" s="175"/>
    </row>
    <row r="47" spans="2:16" ht="15" thickBot="1">
      <c r="B47" s="644" t="s">
        <v>115</v>
      </c>
      <c r="C47" s="645"/>
      <c r="D47" s="181">
        <f>SUM(D45:D46)</f>
        <v>82143</v>
      </c>
      <c r="E47" s="181">
        <f>SUM(E45:E46)</f>
        <v>6044</v>
      </c>
      <c r="F47" s="180">
        <f t="shared" si="0"/>
        <v>88187</v>
      </c>
      <c r="G47" s="651"/>
      <c r="H47" s="652"/>
      <c r="I47" s="175"/>
    </row>
    <row r="48" spans="2:16" ht="15" thickBot="1">
      <c r="I48" s="175"/>
    </row>
    <row r="49" spans="2:9" ht="15" thickBot="1">
      <c r="B49" s="653" t="s">
        <v>114</v>
      </c>
      <c r="C49" s="654"/>
      <c r="D49" s="179">
        <f>+D47+D44+D42+D39+D37+D34+D31+D27+D24+D20</f>
        <v>957998.28599999996</v>
      </c>
      <c r="E49" s="179">
        <f>+E47+E44+E42+E39+E37+E34+E31+E27+E24+E20</f>
        <v>146415</v>
      </c>
      <c r="F49" s="178">
        <f>+F47+F44+F42+F39+F37+F34+F31+F27+F24+F20</f>
        <v>1104413.2859999998</v>
      </c>
      <c r="I49" s="175"/>
    </row>
  </sheetData>
  <mergeCells count="32">
    <mergeCell ref="B49:C49"/>
    <mergeCell ref="B42:C42"/>
    <mergeCell ref="G42:H42"/>
    <mergeCell ref="B44:C44"/>
    <mergeCell ref="G44:H44"/>
    <mergeCell ref="B47:C47"/>
    <mergeCell ref="G47:H47"/>
    <mergeCell ref="B34:C34"/>
    <mergeCell ref="G34:H34"/>
    <mergeCell ref="B37:C37"/>
    <mergeCell ref="G37:H37"/>
    <mergeCell ref="B39:C39"/>
    <mergeCell ref="G39:H39"/>
    <mergeCell ref="B10:C10"/>
    <mergeCell ref="B12:F12"/>
    <mergeCell ref="B13:F13"/>
    <mergeCell ref="B24:C24"/>
    <mergeCell ref="G24:H24"/>
    <mergeCell ref="B31:C31"/>
    <mergeCell ref="G31:H31"/>
    <mergeCell ref="B27:C27"/>
    <mergeCell ref="G27:H27"/>
    <mergeCell ref="B17:C17"/>
    <mergeCell ref="G17:H17"/>
    <mergeCell ref="B20:C20"/>
    <mergeCell ref="G20:H20"/>
    <mergeCell ref="B1:F1"/>
    <mergeCell ref="B2:F2"/>
    <mergeCell ref="B6:C6"/>
    <mergeCell ref="G6:H6"/>
    <mergeCell ref="B8:C8"/>
    <mergeCell ref="G8:H8"/>
  </mergeCells>
  <pageMargins left="0.70866141732283472" right="0.70866141732283472" top="0.31496062992125984" bottom="0.74803149606299213" header="0.31496062992125984" footer="0.31496062992125984"/>
  <pageSetup paperSize="9" scale="85" orientation="portrait" horizontalDpi="180" verticalDpi="180" r:id="rId1"/>
  <ignoredErrors>
    <ignoredError sqref="F16:F47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P85"/>
  <sheetViews>
    <sheetView workbookViewId="0">
      <selection activeCell="O79" sqref="O79"/>
    </sheetView>
  </sheetViews>
  <sheetFormatPr baseColWidth="10" defaultRowHeight="12.75"/>
  <cols>
    <col min="1" max="1" width="14.4257812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4" bestFit="1" customWidth="1"/>
    <col min="15" max="15" width="13.7109375" style="32" bestFit="1" customWidth="1"/>
    <col min="16" max="17" width="12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5" ht="13.5" thickBot="1"/>
    <row r="2" spans="1:15" ht="13.5" thickBot="1">
      <c r="A2" s="671" t="s">
        <v>0</v>
      </c>
      <c r="B2" s="669" t="s">
        <v>1</v>
      </c>
      <c r="C2" s="669"/>
      <c r="D2" s="669"/>
      <c r="E2" s="669"/>
      <c r="F2" s="669"/>
      <c r="G2" s="669"/>
      <c r="H2" s="670" t="s">
        <v>2</v>
      </c>
      <c r="I2" s="670"/>
      <c r="J2" s="670"/>
      <c r="K2" s="670" t="s">
        <v>3</v>
      </c>
      <c r="L2" s="670"/>
      <c r="M2" s="671" t="s">
        <v>4</v>
      </c>
    </row>
    <row r="3" spans="1:15" ht="13.5" thickBot="1">
      <c r="A3" s="671"/>
      <c r="B3" s="55" t="s">
        <v>5</v>
      </c>
      <c r="C3" s="55" t="s">
        <v>6</v>
      </c>
      <c r="D3" s="55" t="s">
        <v>7</v>
      </c>
      <c r="E3" s="57" t="s">
        <v>8</v>
      </c>
      <c r="F3" s="54" t="s">
        <v>9</v>
      </c>
      <c r="G3" s="56" t="s">
        <v>10</v>
      </c>
      <c r="H3" s="54" t="s">
        <v>11</v>
      </c>
      <c r="I3" s="55" t="s">
        <v>12</v>
      </c>
      <c r="J3" s="56" t="s">
        <v>13</v>
      </c>
      <c r="K3" s="57" t="s">
        <v>11</v>
      </c>
      <c r="L3" s="56" t="s">
        <v>14</v>
      </c>
      <c r="M3" s="671"/>
    </row>
    <row r="4" spans="1:15" s="30" customFormat="1" ht="13.5" hidden="1" thickBot="1">
      <c r="A4" s="334" t="s">
        <v>17</v>
      </c>
      <c r="B4" s="335" t="s">
        <v>18</v>
      </c>
      <c r="C4" s="336">
        <v>42338</v>
      </c>
      <c r="D4" s="337" t="s">
        <v>19</v>
      </c>
      <c r="E4" s="338">
        <v>185713.44</v>
      </c>
      <c r="F4" s="339">
        <f>+E4*2.0433</f>
        <v>379468.27195199998</v>
      </c>
      <c r="G4" s="340">
        <v>42459</v>
      </c>
      <c r="H4" s="341">
        <v>305000</v>
      </c>
      <c r="I4" s="336"/>
      <c r="J4" s="340">
        <f>+C4+90</f>
        <v>42428</v>
      </c>
      <c r="K4" s="342">
        <f>90414.1+83300*1.12825</f>
        <v>184397.32500000001</v>
      </c>
      <c r="L4" s="343"/>
      <c r="M4" s="344">
        <f t="shared" ref="M4:M17" si="0">E4-K4</f>
        <v>1316.1149999999907</v>
      </c>
      <c r="N4" s="29"/>
      <c r="O4" s="32"/>
    </row>
    <row r="5" spans="1:15" s="30" customFormat="1" hidden="1">
      <c r="A5" s="345" t="s">
        <v>21</v>
      </c>
      <c r="B5" s="346" t="s">
        <v>22</v>
      </c>
      <c r="C5" s="347">
        <v>42389</v>
      </c>
      <c r="D5" s="348" t="s">
        <v>19</v>
      </c>
      <c r="E5" s="349">
        <v>57547.5</v>
      </c>
      <c r="F5" s="350">
        <f>E5*2.0365</f>
        <v>117195.48375000001</v>
      </c>
      <c r="G5" s="351">
        <v>42479</v>
      </c>
      <c r="H5" s="352"/>
      <c r="I5" s="347"/>
      <c r="J5" s="351"/>
      <c r="K5" s="353">
        <v>57547.5</v>
      </c>
      <c r="L5" s="354"/>
      <c r="M5" s="355">
        <f t="shared" si="0"/>
        <v>0</v>
      </c>
      <c r="N5" s="29"/>
      <c r="O5" s="32"/>
    </row>
    <row r="6" spans="1:15" s="30" customFormat="1" hidden="1">
      <c r="A6" s="297" t="s">
        <v>15</v>
      </c>
      <c r="B6" s="298" t="s">
        <v>23</v>
      </c>
      <c r="C6" s="299">
        <v>42394</v>
      </c>
      <c r="D6" s="300" t="s">
        <v>19</v>
      </c>
      <c r="E6" s="301">
        <v>61973.64</v>
      </c>
      <c r="F6" s="302">
        <f>E6*2.03285</f>
        <v>125983.11407399998</v>
      </c>
      <c r="G6" s="303">
        <v>42484</v>
      </c>
      <c r="H6" s="304"/>
      <c r="I6" s="299"/>
      <c r="J6" s="303"/>
      <c r="K6" s="306">
        <v>61973.64</v>
      </c>
      <c r="L6" s="305"/>
      <c r="M6" s="307">
        <f t="shared" si="0"/>
        <v>0</v>
      </c>
      <c r="N6" s="29"/>
      <c r="O6" s="32"/>
    </row>
    <row r="7" spans="1:15" s="30" customFormat="1" hidden="1">
      <c r="A7" s="297" t="s">
        <v>15</v>
      </c>
      <c r="B7" s="298" t="s">
        <v>24</v>
      </c>
      <c r="C7" s="299">
        <v>42422</v>
      </c>
      <c r="D7" s="300" t="s">
        <v>19</v>
      </c>
      <c r="E7" s="301">
        <v>31260.71</v>
      </c>
      <c r="F7" s="302">
        <f>+E7*2.0168</f>
        <v>63046.599927999996</v>
      </c>
      <c r="G7" s="303">
        <f>+C7+90</f>
        <v>42512</v>
      </c>
      <c r="H7" s="304"/>
      <c r="I7" s="299"/>
      <c r="J7" s="303"/>
      <c r="K7" s="306">
        <v>31182.71</v>
      </c>
      <c r="L7" s="305"/>
      <c r="M7" s="307">
        <f t="shared" si="0"/>
        <v>78</v>
      </c>
      <c r="N7" s="29"/>
      <c r="O7" s="32"/>
    </row>
    <row r="8" spans="1:15" s="30" customFormat="1" hidden="1">
      <c r="A8" s="297" t="s">
        <v>17</v>
      </c>
      <c r="B8" s="298" t="s">
        <v>25</v>
      </c>
      <c r="C8" s="299">
        <v>42432</v>
      </c>
      <c r="D8" s="300" t="s">
        <v>19</v>
      </c>
      <c r="E8" s="301">
        <v>97110.5</v>
      </c>
      <c r="F8" s="302">
        <f>E8*2.02425</f>
        <v>196575.92962499999</v>
      </c>
      <c r="G8" s="303">
        <v>42567</v>
      </c>
      <c r="H8" s="304"/>
      <c r="I8" s="299"/>
      <c r="J8" s="303"/>
      <c r="K8" s="306">
        <f>12997+84054</f>
        <v>97051</v>
      </c>
      <c r="L8" s="305"/>
      <c r="M8" s="307">
        <f t="shared" si="0"/>
        <v>59.5</v>
      </c>
      <c r="N8" s="29"/>
      <c r="O8" s="32"/>
    </row>
    <row r="9" spans="1:15" s="29" customFormat="1" hidden="1">
      <c r="A9" s="297" t="s">
        <v>15</v>
      </c>
      <c r="B9" s="298" t="s">
        <v>39</v>
      </c>
      <c r="C9" s="299">
        <v>42445</v>
      </c>
      <c r="D9" s="300" t="s">
        <v>19</v>
      </c>
      <c r="E9" s="301">
        <v>17500.78</v>
      </c>
      <c r="F9" s="302">
        <f>+E9*2.01395</f>
        <v>35245.695881</v>
      </c>
      <c r="G9" s="303">
        <f>C9+90</f>
        <v>42535</v>
      </c>
      <c r="H9" s="304"/>
      <c r="I9" s="299"/>
      <c r="J9" s="303"/>
      <c r="K9" s="306">
        <v>17437.78</v>
      </c>
      <c r="L9" s="305"/>
      <c r="M9" s="307">
        <f t="shared" si="0"/>
        <v>63</v>
      </c>
      <c r="O9" s="81"/>
    </row>
    <row r="10" spans="1:15" s="29" customFormat="1" hidden="1">
      <c r="A10" s="297" t="s">
        <v>17</v>
      </c>
      <c r="B10" s="298" t="s">
        <v>44</v>
      </c>
      <c r="C10" s="299">
        <v>42461</v>
      </c>
      <c r="D10" s="300" t="s">
        <v>19</v>
      </c>
      <c r="E10" s="301">
        <v>15887.8</v>
      </c>
      <c r="F10" s="302">
        <f>E10*1.98505</f>
        <v>31538.077389999999</v>
      </c>
      <c r="G10" s="303">
        <v>42585</v>
      </c>
      <c r="H10" s="304"/>
      <c r="I10" s="299"/>
      <c r="J10" s="303"/>
      <c r="K10" s="306">
        <f>2196.38+13625</f>
        <v>15821.380000000001</v>
      </c>
      <c r="L10" s="305"/>
      <c r="M10" s="307">
        <f t="shared" si="0"/>
        <v>66.419999999998254</v>
      </c>
      <c r="O10" s="81"/>
    </row>
    <row r="11" spans="1:15" s="29" customFormat="1">
      <c r="A11" s="18" t="s">
        <v>15</v>
      </c>
      <c r="B11" s="19" t="s">
        <v>87</v>
      </c>
      <c r="C11" s="20">
        <v>42495</v>
      </c>
      <c r="D11" s="21" t="s">
        <v>19</v>
      </c>
      <c r="E11" s="22">
        <v>13784.67</v>
      </c>
      <c r="F11" s="23">
        <f>+E11*1.98675</f>
        <v>27386.693122500001</v>
      </c>
      <c r="G11" s="24">
        <f>+C11+90</f>
        <v>42585</v>
      </c>
      <c r="H11" s="25"/>
      <c r="I11" s="20"/>
      <c r="J11" s="24"/>
      <c r="K11" s="26"/>
      <c r="L11" s="27"/>
      <c r="M11" s="28">
        <f t="shared" si="0"/>
        <v>13784.67</v>
      </c>
      <c r="O11" s="81"/>
    </row>
    <row r="12" spans="1:15" s="4" customFormat="1" hidden="1">
      <c r="A12" s="400" t="s">
        <v>15</v>
      </c>
      <c r="B12" s="401" t="s">
        <v>88</v>
      </c>
      <c r="C12" s="402">
        <v>42495</v>
      </c>
      <c r="D12" s="403" t="s">
        <v>16</v>
      </c>
      <c r="E12" s="404">
        <v>58790.64</v>
      </c>
      <c r="F12" s="405">
        <f>+E12*2.2687</f>
        <v>133378.324968</v>
      </c>
      <c r="G12" s="408">
        <f>+C12+90</f>
        <v>42585</v>
      </c>
      <c r="H12" s="407"/>
      <c r="I12" s="402"/>
      <c r="J12" s="408"/>
      <c r="K12" s="409">
        <f>46740.64+11960</f>
        <v>58700.639999999999</v>
      </c>
      <c r="L12" s="410"/>
      <c r="M12" s="411">
        <f t="shared" si="0"/>
        <v>90</v>
      </c>
      <c r="O12" s="81"/>
    </row>
    <row r="13" spans="1:15" s="30" customFormat="1" hidden="1">
      <c r="A13" s="297" t="s">
        <v>17</v>
      </c>
      <c r="B13" s="298" t="s">
        <v>92</v>
      </c>
      <c r="C13" s="299">
        <v>42506</v>
      </c>
      <c r="D13" s="300" t="s">
        <v>19</v>
      </c>
      <c r="E13" s="301">
        <v>38827.5</v>
      </c>
      <c r="F13" s="302">
        <f>+E13*2.0226</f>
        <v>78532.501500000013</v>
      </c>
      <c r="G13" s="303">
        <v>42630</v>
      </c>
      <c r="H13" s="304"/>
      <c r="I13" s="299"/>
      <c r="J13" s="303"/>
      <c r="K13" s="306">
        <f>5188.54+33549.74</f>
        <v>38738.28</v>
      </c>
      <c r="L13" s="305"/>
      <c r="M13" s="307">
        <f t="shared" si="0"/>
        <v>89.220000000001164</v>
      </c>
      <c r="N13" s="29"/>
      <c r="O13" s="32"/>
    </row>
    <row r="14" spans="1:15" s="29" customFormat="1">
      <c r="A14" s="449" t="s">
        <v>17</v>
      </c>
      <c r="B14" s="450" t="s">
        <v>537</v>
      </c>
      <c r="C14" s="451">
        <v>42542</v>
      </c>
      <c r="D14" s="452" t="s">
        <v>19</v>
      </c>
      <c r="E14" s="453">
        <v>37074</v>
      </c>
      <c r="F14" s="454">
        <f>+E14*2.14625</f>
        <v>79570.072500000009</v>
      </c>
      <c r="G14" s="455">
        <v>42669</v>
      </c>
      <c r="H14" s="456"/>
      <c r="I14" s="451"/>
      <c r="J14" s="455"/>
      <c r="K14" s="457">
        <f>13578+5163.9</f>
        <v>18741.900000000001</v>
      </c>
      <c r="L14" s="458"/>
      <c r="M14" s="459">
        <f t="shared" si="0"/>
        <v>18332.099999999999</v>
      </c>
      <c r="O14" s="81"/>
    </row>
    <row r="15" spans="1:15" s="29" customFormat="1" hidden="1">
      <c r="A15" s="334" t="s">
        <v>17</v>
      </c>
      <c r="B15" s="335" t="s">
        <v>538</v>
      </c>
      <c r="C15" s="336">
        <v>42542</v>
      </c>
      <c r="D15" s="337" t="s">
        <v>19</v>
      </c>
      <c r="E15" s="338">
        <v>3480</v>
      </c>
      <c r="F15" s="339">
        <f>+E15*2.14625</f>
        <v>7468.9500000000007</v>
      </c>
      <c r="G15" s="340">
        <v>42669</v>
      </c>
      <c r="H15" s="341"/>
      <c r="I15" s="336"/>
      <c r="J15" s="340"/>
      <c r="K15" s="342">
        <v>3455</v>
      </c>
      <c r="L15" s="343"/>
      <c r="M15" s="344">
        <f t="shared" si="0"/>
        <v>25</v>
      </c>
      <c r="O15" s="81"/>
    </row>
    <row r="16" spans="1:15">
      <c r="A16" s="415" t="s">
        <v>20</v>
      </c>
      <c r="B16" s="416" t="s">
        <v>784</v>
      </c>
      <c r="C16" s="417">
        <v>42695</v>
      </c>
      <c r="D16" s="418" t="s">
        <v>16</v>
      </c>
      <c r="E16" s="419">
        <v>284382.2</v>
      </c>
      <c r="F16" s="420">
        <f>+E16*2.42505</f>
        <v>689641.05411000003</v>
      </c>
      <c r="G16" s="482">
        <f>+C16+60</f>
        <v>42755</v>
      </c>
      <c r="H16" s="481"/>
      <c r="I16" s="417"/>
      <c r="J16" s="482"/>
      <c r="K16" s="424">
        <f>49950+100950+101950+31500</f>
        <v>284350</v>
      </c>
      <c r="L16" s="423"/>
      <c r="M16" s="487">
        <f t="shared" si="0"/>
        <v>32.200000000011642</v>
      </c>
    </row>
    <row r="17" spans="1:16">
      <c r="A17" s="123" t="s">
        <v>20</v>
      </c>
      <c r="B17" s="124" t="s">
        <v>971</v>
      </c>
      <c r="C17" s="125">
        <v>42704</v>
      </c>
      <c r="D17" s="126" t="s">
        <v>16</v>
      </c>
      <c r="E17" s="127">
        <v>187097.52</v>
      </c>
      <c r="F17" s="128">
        <f>+E17*2.42625</f>
        <v>453945.3579</v>
      </c>
      <c r="G17" s="129">
        <f>+C17+60</f>
        <v>42764</v>
      </c>
      <c r="H17" s="130"/>
      <c r="I17" s="125"/>
      <c r="J17" s="129"/>
      <c r="K17" s="131">
        <f>102950-31500</f>
        <v>71450</v>
      </c>
      <c r="L17" s="132"/>
      <c r="M17" s="133">
        <f t="shared" si="0"/>
        <v>115647.51999999999</v>
      </c>
    </row>
    <row r="18" spans="1:16">
      <c r="A18" s="123"/>
      <c r="B18" s="124"/>
      <c r="C18" s="125"/>
      <c r="D18" s="126"/>
      <c r="E18" s="127"/>
      <c r="F18" s="128"/>
      <c r="G18" s="129"/>
      <c r="H18" s="130"/>
      <c r="I18" s="125"/>
      <c r="J18" s="129"/>
      <c r="K18" s="131"/>
      <c r="L18" s="132"/>
      <c r="M18" s="133"/>
    </row>
    <row r="19" spans="1:16" s="30" customFormat="1" ht="13.5" thickBot="1">
      <c r="A19" s="34"/>
      <c r="B19" s="35"/>
      <c r="C19" s="36"/>
      <c r="D19" s="37"/>
      <c r="E19" s="38"/>
      <c r="F19" s="39"/>
      <c r="G19" s="40"/>
      <c r="H19" s="41"/>
      <c r="I19" s="36"/>
      <c r="J19" s="40"/>
      <c r="K19" s="42"/>
      <c r="L19" s="43"/>
      <c r="M19" s="44"/>
      <c r="N19" s="29"/>
      <c r="O19" s="32"/>
    </row>
    <row r="20" spans="1:16" s="51" customFormat="1" ht="13.5" thickBot="1">
      <c r="A20" s="45"/>
      <c r="B20" s="45"/>
      <c r="C20" s="46"/>
      <c r="D20" s="45"/>
      <c r="E20" s="47"/>
      <c r="F20" s="48"/>
      <c r="G20" s="46"/>
      <c r="H20" s="48"/>
      <c r="I20" s="46"/>
      <c r="J20" s="46"/>
      <c r="K20" s="47"/>
      <c r="L20" s="45"/>
      <c r="M20" s="49"/>
      <c r="N20" s="50"/>
      <c r="O20" s="32"/>
    </row>
    <row r="21" spans="1:16" ht="13.5" thickBot="1">
      <c r="A21" s="667" t="s">
        <v>0</v>
      </c>
      <c r="B21" s="669" t="s">
        <v>1</v>
      </c>
      <c r="C21" s="669"/>
      <c r="D21" s="669"/>
      <c r="E21" s="669"/>
      <c r="F21" s="669"/>
      <c r="G21" s="669"/>
      <c r="H21" s="670" t="s">
        <v>2</v>
      </c>
      <c r="I21" s="670"/>
      <c r="J21" s="670"/>
      <c r="K21" s="670" t="s">
        <v>3</v>
      </c>
      <c r="L21" s="670"/>
      <c r="M21" s="667" t="s">
        <v>4</v>
      </c>
    </row>
    <row r="22" spans="1:16" ht="13.5" thickBot="1">
      <c r="A22" s="668"/>
      <c r="B22" s="55" t="s">
        <v>5</v>
      </c>
      <c r="C22" s="55" t="s">
        <v>6</v>
      </c>
      <c r="D22" s="55" t="s">
        <v>7</v>
      </c>
      <c r="E22" s="57" t="s">
        <v>8</v>
      </c>
      <c r="F22" s="54" t="s">
        <v>9</v>
      </c>
      <c r="G22" s="56" t="s">
        <v>10</v>
      </c>
      <c r="H22" s="54" t="s">
        <v>11</v>
      </c>
      <c r="I22" s="55" t="s">
        <v>12</v>
      </c>
      <c r="J22" s="56" t="s">
        <v>13</v>
      </c>
      <c r="K22" s="57" t="s">
        <v>11</v>
      </c>
      <c r="L22" s="58" t="s">
        <v>14</v>
      </c>
      <c r="M22" s="668"/>
    </row>
    <row r="23" spans="1:16" s="76" customFormat="1">
      <c r="A23" s="82" t="s">
        <v>17</v>
      </c>
      <c r="B23" s="83" t="s">
        <v>26</v>
      </c>
      <c r="C23" s="84">
        <v>40680</v>
      </c>
      <c r="D23" s="85" t="s">
        <v>16</v>
      </c>
      <c r="E23" s="86">
        <v>5190.95</v>
      </c>
      <c r="F23" s="87">
        <f>+E23*1.95835</f>
        <v>10165.696932499999</v>
      </c>
      <c r="G23" s="88">
        <f>+C23+90</f>
        <v>40770</v>
      </c>
      <c r="H23" s="89"/>
      <c r="I23" s="86"/>
      <c r="J23" s="88"/>
      <c r="K23" s="90"/>
      <c r="L23" s="91"/>
      <c r="M23" s="92">
        <f>+E23-K23</f>
        <v>5190.95</v>
      </c>
      <c r="O23" s="93"/>
    </row>
    <row r="24" spans="1:16" s="30" customFormat="1" hidden="1">
      <c r="A24" s="297" t="s">
        <v>17</v>
      </c>
      <c r="B24" s="298" t="s">
        <v>27</v>
      </c>
      <c r="C24" s="299">
        <v>42356</v>
      </c>
      <c r="D24" s="300" t="s">
        <v>19</v>
      </c>
      <c r="E24" s="301">
        <v>217912.86</v>
      </c>
      <c r="F24" s="302">
        <f>E24*2.01185</f>
        <v>438407.98739099997</v>
      </c>
      <c r="G24" s="303">
        <v>42485</v>
      </c>
      <c r="H24" s="304"/>
      <c r="I24" s="300"/>
      <c r="J24" s="305"/>
      <c r="K24" s="306">
        <f>113564.6+104348.26</f>
        <v>217912.86</v>
      </c>
      <c r="L24" s="305"/>
      <c r="M24" s="307">
        <f t="shared" ref="M24:M56" si="1">E24-K24</f>
        <v>0</v>
      </c>
      <c r="N24" s="29"/>
      <c r="O24" s="32"/>
      <c r="P24" s="147"/>
    </row>
    <row r="25" spans="1:16" s="52" customFormat="1">
      <c r="A25" s="7" t="s">
        <v>20</v>
      </c>
      <c r="B25" s="8" t="s">
        <v>28</v>
      </c>
      <c r="C25" s="9">
        <v>42359</v>
      </c>
      <c r="D25" s="10" t="s">
        <v>16</v>
      </c>
      <c r="E25" s="11">
        <v>694484.64</v>
      </c>
      <c r="F25" s="12">
        <f>E25*2.19375</f>
        <v>1523525.679</v>
      </c>
      <c r="G25" s="13">
        <v>42456</v>
      </c>
      <c r="H25" s="14"/>
      <c r="I25" s="10"/>
      <c r="J25" s="16"/>
      <c r="K25" s="15"/>
      <c r="L25" s="16"/>
      <c r="M25" s="17">
        <f t="shared" si="1"/>
        <v>694484.64</v>
      </c>
      <c r="O25" s="32"/>
    </row>
    <row r="26" spans="1:16" ht="13.5" hidden="1" thickBot="1">
      <c r="A26" s="323" t="s">
        <v>17</v>
      </c>
      <c r="B26" s="324" t="s">
        <v>29</v>
      </c>
      <c r="C26" s="325">
        <v>42363</v>
      </c>
      <c r="D26" s="326" t="s">
        <v>16</v>
      </c>
      <c r="E26" s="327">
        <v>2590.8000000000002</v>
      </c>
      <c r="F26" s="328">
        <f>+E26*2.19995</f>
        <v>5699.6304600000003</v>
      </c>
      <c r="G26" s="329">
        <v>42485</v>
      </c>
      <c r="H26" s="330"/>
      <c r="I26" s="326"/>
      <c r="J26" s="331"/>
      <c r="K26" s="332">
        <v>2783.74</v>
      </c>
      <c r="L26" s="331"/>
      <c r="M26" s="333">
        <f t="shared" si="1"/>
        <v>-192.9399999999996</v>
      </c>
      <c r="P26" s="2"/>
    </row>
    <row r="27" spans="1:16" hidden="1">
      <c r="A27" s="390" t="s">
        <v>15</v>
      </c>
      <c r="B27" s="391" t="s">
        <v>30</v>
      </c>
      <c r="C27" s="392">
        <v>42388</v>
      </c>
      <c r="D27" s="393" t="s">
        <v>16</v>
      </c>
      <c r="E27" s="394">
        <v>70769.149999999994</v>
      </c>
      <c r="F27" s="395">
        <f>E27*2.21425</f>
        <v>156700.59038749998</v>
      </c>
      <c r="G27" s="396">
        <v>42478</v>
      </c>
      <c r="H27" s="397"/>
      <c r="I27" s="392"/>
      <c r="J27" s="396"/>
      <c r="K27" s="398">
        <f>20719.15+24950+24950</f>
        <v>70619.149999999994</v>
      </c>
      <c r="L27" s="396"/>
      <c r="M27" s="399">
        <f t="shared" si="1"/>
        <v>150</v>
      </c>
      <c r="N27" s="1"/>
    </row>
    <row r="28" spans="1:16" s="29" customFormat="1" hidden="1">
      <c r="A28" s="297" t="s">
        <v>17</v>
      </c>
      <c r="B28" s="298" t="s">
        <v>31</v>
      </c>
      <c r="C28" s="299">
        <v>42394</v>
      </c>
      <c r="D28" s="300" t="s">
        <v>19</v>
      </c>
      <c r="E28" s="301">
        <v>120772.23</v>
      </c>
      <c r="F28" s="302">
        <f>+E28*2.0293</f>
        <v>245083.086339</v>
      </c>
      <c r="G28" s="303">
        <v>42522</v>
      </c>
      <c r="H28" s="304"/>
      <c r="I28" s="300"/>
      <c r="J28" s="305"/>
      <c r="K28" s="306">
        <f>61633.4-K29+60440.56</f>
        <v>120729.95999999999</v>
      </c>
      <c r="L28" s="305"/>
      <c r="M28" s="307">
        <f t="shared" si="1"/>
        <v>42.270000000004075</v>
      </c>
      <c r="O28" s="81"/>
      <c r="P28" s="322"/>
    </row>
    <row r="29" spans="1:16" s="29" customFormat="1" hidden="1">
      <c r="A29" s="297" t="s">
        <v>17</v>
      </c>
      <c r="B29" s="298" t="s">
        <v>32</v>
      </c>
      <c r="C29" s="299">
        <v>42396</v>
      </c>
      <c r="D29" s="300" t="s">
        <v>19</v>
      </c>
      <c r="E29" s="301">
        <v>1344</v>
      </c>
      <c r="F29" s="302">
        <f>+E29*2.0293</f>
        <v>2727.3792000000003</v>
      </c>
      <c r="G29" s="303">
        <v>42522</v>
      </c>
      <c r="H29" s="304"/>
      <c r="I29" s="300"/>
      <c r="J29" s="305"/>
      <c r="K29" s="306">
        <v>1344</v>
      </c>
      <c r="L29" s="305"/>
      <c r="M29" s="307">
        <f t="shared" si="1"/>
        <v>0</v>
      </c>
      <c r="O29" s="81"/>
      <c r="P29" s="322"/>
    </row>
    <row r="30" spans="1:16" s="4" customFormat="1" hidden="1">
      <c r="A30" s="400" t="s">
        <v>20</v>
      </c>
      <c r="B30" s="401" t="s">
        <v>33</v>
      </c>
      <c r="C30" s="402">
        <v>42405</v>
      </c>
      <c r="D30" s="403" t="s">
        <v>16</v>
      </c>
      <c r="E30" s="404">
        <v>354482.12</v>
      </c>
      <c r="F30" s="405">
        <f>E30*2.232</f>
        <v>791204.09184000001</v>
      </c>
      <c r="G30" s="408">
        <v>42502</v>
      </c>
      <c r="H30" s="407"/>
      <c r="I30" s="403"/>
      <c r="J30" s="410"/>
      <c r="K30" s="409">
        <f>54480+50000+100000+100000+5000+40000+5002.12</f>
        <v>354482.12</v>
      </c>
      <c r="L30" s="410"/>
      <c r="M30" s="411">
        <f>E30-K30</f>
        <v>0</v>
      </c>
      <c r="O30" s="81"/>
    </row>
    <row r="31" spans="1:16" s="30" customFormat="1" hidden="1">
      <c r="A31" s="297" t="s">
        <v>17</v>
      </c>
      <c r="B31" s="298" t="s">
        <v>34</v>
      </c>
      <c r="C31" s="299">
        <v>42412</v>
      </c>
      <c r="D31" s="300" t="s">
        <v>19</v>
      </c>
      <c r="E31" s="301">
        <v>110497.38</v>
      </c>
      <c r="F31" s="302">
        <f>E31*2.00195</f>
        <v>221210.229891</v>
      </c>
      <c r="G31" s="303">
        <v>42543</v>
      </c>
      <c r="H31" s="304"/>
      <c r="I31" s="300"/>
      <c r="J31" s="305"/>
      <c r="K31" s="306">
        <f>58678.54-3945.6+55714.44</f>
        <v>110447.38</v>
      </c>
      <c r="L31" s="305"/>
      <c r="M31" s="307">
        <f t="shared" si="1"/>
        <v>50</v>
      </c>
      <c r="N31" s="29"/>
      <c r="O31" s="32"/>
    </row>
    <row r="32" spans="1:16" s="4" customFormat="1" hidden="1">
      <c r="A32" s="400" t="s">
        <v>15</v>
      </c>
      <c r="B32" s="401" t="s">
        <v>35</v>
      </c>
      <c r="C32" s="402">
        <v>42412</v>
      </c>
      <c r="D32" s="403" t="s">
        <v>16</v>
      </c>
      <c r="E32" s="404">
        <v>52613.599999999999</v>
      </c>
      <c r="F32" s="405">
        <f>E32*2.24105</f>
        <v>117909.70827999999</v>
      </c>
      <c r="G32" s="406">
        <v>42502</v>
      </c>
      <c r="H32" s="407"/>
      <c r="I32" s="403"/>
      <c r="J32" s="410"/>
      <c r="K32" s="409">
        <v>52563.6</v>
      </c>
      <c r="L32" s="410"/>
      <c r="M32" s="411">
        <f t="shared" si="1"/>
        <v>50</v>
      </c>
      <c r="O32" s="81"/>
    </row>
    <row r="33" spans="1:16" s="30" customFormat="1" hidden="1">
      <c r="A33" s="297" t="s">
        <v>17</v>
      </c>
      <c r="B33" s="298" t="s">
        <v>36</v>
      </c>
      <c r="C33" s="299">
        <v>42416</v>
      </c>
      <c r="D33" s="300" t="s">
        <v>19</v>
      </c>
      <c r="E33" s="301">
        <v>3945.6</v>
      </c>
      <c r="F33" s="302">
        <f>E33*2.00195</f>
        <v>7898.8939199999995</v>
      </c>
      <c r="G33" s="318">
        <v>42543</v>
      </c>
      <c r="H33" s="304"/>
      <c r="I33" s="300"/>
      <c r="J33" s="305"/>
      <c r="K33" s="306">
        <v>3945.6</v>
      </c>
      <c r="L33" s="305"/>
      <c r="M33" s="307">
        <f t="shared" si="1"/>
        <v>0</v>
      </c>
      <c r="N33" s="29"/>
      <c r="O33" s="32"/>
    </row>
    <row r="34" spans="1:16" s="4" customFormat="1" hidden="1">
      <c r="A34" s="400" t="s">
        <v>15</v>
      </c>
      <c r="B34" s="401" t="s">
        <v>37</v>
      </c>
      <c r="C34" s="402">
        <v>42422</v>
      </c>
      <c r="D34" s="403" t="s">
        <v>16</v>
      </c>
      <c r="E34" s="404">
        <v>36924.26</v>
      </c>
      <c r="F34" s="405">
        <f>+E34*2.2214</f>
        <v>82023.551164000004</v>
      </c>
      <c r="G34" s="406">
        <f>+C34+90</f>
        <v>42512</v>
      </c>
      <c r="H34" s="407"/>
      <c r="I34" s="403"/>
      <c r="J34" s="410"/>
      <c r="K34" s="409">
        <v>36874.26</v>
      </c>
      <c r="L34" s="410"/>
      <c r="M34" s="411">
        <f t="shared" si="1"/>
        <v>50</v>
      </c>
      <c r="O34" s="81"/>
    </row>
    <row r="35" spans="1:16" s="29" customFormat="1" hidden="1">
      <c r="A35" s="297" t="s">
        <v>21</v>
      </c>
      <c r="B35" s="298" t="s">
        <v>38</v>
      </c>
      <c r="C35" s="299">
        <v>42423</v>
      </c>
      <c r="D35" s="300" t="s">
        <v>19</v>
      </c>
      <c r="E35" s="301">
        <v>58754.1</v>
      </c>
      <c r="F35" s="302">
        <f>+E35*2.01295</f>
        <v>118269.06559499999</v>
      </c>
      <c r="G35" s="318">
        <f>+C35+90</f>
        <v>42513</v>
      </c>
      <c r="H35" s="304"/>
      <c r="I35" s="300"/>
      <c r="J35" s="305"/>
      <c r="K35" s="306">
        <v>58754.1</v>
      </c>
      <c r="L35" s="305"/>
      <c r="M35" s="307">
        <f t="shared" si="1"/>
        <v>0</v>
      </c>
      <c r="O35" s="81"/>
      <c r="P35" s="492"/>
    </row>
    <row r="36" spans="1:16" hidden="1">
      <c r="A36" s="400" t="s">
        <v>20</v>
      </c>
      <c r="B36" s="401" t="s">
        <v>40</v>
      </c>
      <c r="C36" s="402">
        <v>42436</v>
      </c>
      <c r="D36" s="403" t="s">
        <v>16</v>
      </c>
      <c r="E36" s="404">
        <v>346818.74</v>
      </c>
      <c r="F36" s="405">
        <f>+E36*2.2428</f>
        <v>777845.07007199991</v>
      </c>
      <c r="G36" s="406">
        <f>+C36+90</f>
        <v>42526</v>
      </c>
      <c r="H36" s="407">
        <v>620000</v>
      </c>
      <c r="I36" s="403"/>
      <c r="J36" s="408">
        <v>42521</v>
      </c>
      <c r="K36" s="409">
        <f>79900-5002.12+25000+25000+25000+15000+80000+40000+31840+9950+20000</f>
        <v>346687.88</v>
      </c>
      <c r="L36" s="410"/>
      <c r="M36" s="411">
        <f t="shared" si="1"/>
        <v>130.85999999998603</v>
      </c>
    </row>
    <row r="37" spans="1:16" s="4" customFormat="1" hidden="1">
      <c r="A37" s="400" t="s">
        <v>15</v>
      </c>
      <c r="B37" s="401" t="s">
        <v>41</v>
      </c>
      <c r="C37" s="402">
        <v>42445</v>
      </c>
      <c r="D37" s="403" t="s">
        <v>16</v>
      </c>
      <c r="E37" s="404">
        <v>56915.18</v>
      </c>
      <c r="F37" s="405">
        <f>+E37*2.2342</f>
        <v>127159.895156</v>
      </c>
      <c r="G37" s="406">
        <f>+C37+90</f>
        <v>42535</v>
      </c>
      <c r="H37" s="407"/>
      <c r="I37" s="403"/>
      <c r="J37" s="410"/>
      <c r="K37" s="409">
        <f>20865.18+36000</f>
        <v>56865.18</v>
      </c>
      <c r="L37" s="410"/>
      <c r="M37" s="411">
        <f t="shared" si="1"/>
        <v>50</v>
      </c>
      <c r="O37" s="81"/>
    </row>
    <row r="38" spans="1:16" s="4" customFormat="1">
      <c r="A38" s="7" t="s">
        <v>15</v>
      </c>
      <c r="B38" s="8" t="s">
        <v>42</v>
      </c>
      <c r="C38" s="9">
        <v>42460</v>
      </c>
      <c r="D38" s="10" t="s">
        <v>16</v>
      </c>
      <c r="E38" s="11">
        <v>55894.19</v>
      </c>
      <c r="F38" s="12">
        <f>E38*2.25995</f>
        <v>126318.0746905</v>
      </c>
      <c r="G38" s="80">
        <f>+C38+90</f>
        <v>42550</v>
      </c>
      <c r="H38" s="14"/>
      <c r="I38" s="10"/>
      <c r="J38" s="16"/>
      <c r="K38" s="15">
        <f>46844.19-36000+22950</f>
        <v>33794.19</v>
      </c>
      <c r="L38" s="16"/>
      <c r="M38" s="17">
        <f t="shared" si="1"/>
        <v>22100</v>
      </c>
      <c r="O38" s="81"/>
    </row>
    <row r="39" spans="1:16" s="29" customFormat="1" hidden="1">
      <c r="A39" s="297" t="s">
        <v>17</v>
      </c>
      <c r="B39" s="298" t="s">
        <v>43</v>
      </c>
      <c r="C39" s="299">
        <v>42461</v>
      </c>
      <c r="D39" s="300" t="s">
        <v>19</v>
      </c>
      <c r="E39" s="301">
        <v>124293.26</v>
      </c>
      <c r="F39" s="302">
        <f>E39*1.98505</f>
        <v>246728.33576299998</v>
      </c>
      <c r="G39" s="318">
        <v>42585</v>
      </c>
      <c r="H39" s="304"/>
      <c r="I39" s="300"/>
      <c r="J39" s="305"/>
      <c r="K39" s="306">
        <f>60173.9+64059.36</f>
        <v>124233.26000000001</v>
      </c>
      <c r="L39" s="305"/>
      <c r="M39" s="307">
        <f t="shared" si="1"/>
        <v>59.999999999985448</v>
      </c>
      <c r="O39" s="367"/>
    </row>
    <row r="40" spans="1:16" s="4" customFormat="1" hidden="1">
      <c r="A40" s="400" t="s">
        <v>15</v>
      </c>
      <c r="B40" s="401" t="s">
        <v>83</v>
      </c>
      <c r="C40" s="402">
        <v>42471</v>
      </c>
      <c r="D40" s="403" t="s">
        <v>16</v>
      </c>
      <c r="E40" s="404">
        <v>71366.58</v>
      </c>
      <c r="F40" s="405">
        <f>E40*2.2645</f>
        <v>161609.62041</v>
      </c>
      <c r="G40" s="406">
        <f>+C40+90</f>
        <v>42561</v>
      </c>
      <c r="H40" s="407"/>
      <c r="I40" s="403"/>
      <c r="J40" s="410"/>
      <c r="K40" s="409">
        <v>71316.58</v>
      </c>
      <c r="L40" s="410"/>
      <c r="M40" s="411">
        <f t="shared" si="1"/>
        <v>50</v>
      </c>
      <c r="O40" s="81"/>
    </row>
    <row r="41" spans="1:16" s="29" customFormat="1" hidden="1">
      <c r="A41" s="297" t="s">
        <v>17</v>
      </c>
      <c r="B41" s="298" t="s">
        <v>86</v>
      </c>
      <c r="C41" s="299">
        <v>42480</v>
      </c>
      <c r="D41" s="300" t="s">
        <v>19</v>
      </c>
      <c r="E41" s="301">
        <v>3720</v>
      </c>
      <c r="F41" s="302">
        <f>+E41*1.99715</f>
        <v>7429.3980000000001</v>
      </c>
      <c r="G41" s="318">
        <v>42603</v>
      </c>
      <c r="H41" s="304"/>
      <c r="I41" s="300"/>
      <c r="J41" s="305"/>
      <c r="K41" s="306">
        <v>3662</v>
      </c>
      <c r="L41" s="305"/>
      <c r="M41" s="307">
        <f t="shared" si="1"/>
        <v>58</v>
      </c>
      <c r="O41" s="367"/>
      <c r="P41" s="478"/>
    </row>
    <row r="42" spans="1:16" s="29" customFormat="1" hidden="1">
      <c r="A42" s="297" t="s">
        <v>21</v>
      </c>
      <c r="B42" s="298" t="s">
        <v>84</v>
      </c>
      <c r="C42" s="299">
        <v>42480</v>
      </c>
      <c r="D42" s="300" t="s">
        <v>19</v>
      </c>
      <c r="E42" s="301">
        <v>59734.6</v>
      </c>
      <c r="F42" s="302">
        <f>+E42*1.99715</f>
        <v>119298.95638999999</v>
      </c>
      <c r="G42" s="318">
        <v>42580</v>
      </c>
      <c r="H42" s="304"/>
      <c r="I42" s="300"/>
      <c r="J42" s="305"/>
      <c r="K42" s="306">
        <v>59734.6</v>
      </c>
      <c r="L42" s="305"/>
      <c r="M42" s="307">
        <f t="shared" si="1"/>
        <v>0</v>
      </c>
      <c r="O42" s="367"/>
      <c r="P42" s="478"/>
    </row>
    <row r="43" spans="1:16" s="29" customFormat="1" hidden="1">
      <c r="A43" s="297" t="s">
        <v>17</v>
      </c>
      <c r="B43" s="298" t="s">
        <v>85</v>
      </c>
      <c r="C43" s="299">
        <v>42485</v>
      </c>
      <c r="D43" s="300" t="s">
        <v>19</v>
      </c>
      <c r="E43" s="301">
        <v>190231.2</v>
      </c>
      <c r="F43" s="302">
        <f>+E43*1.99715</f>
        <v>379920.24108000001</v>
      </c>
      <c r="G43" s="318">
        <v>42603</v>
      </c>
      <c r="H43" s="304">
        <v>305000</v>
      </c>
      <c r="I43" s="300"/>
      <c r="J43" s="303">
        <v>42607</v>
      </c>
      <c r="K43" s="306">
        <f>163674-64059.36+90538.6</f>
        <v>190153.24</v>
      </c>
      <c r="L43" s="305"/>
      <c r="M43" s="307">
        <f t="shared" si="1"/>
        <v>77.960000000020955</v>
      </c>
      <c r="O43" s="367"/>
      <c r="P43" s="478"/>
    </row>
    <row r="44" spans="1:16" s="144" customFormat="1" hidden="1">
      <c r="A44" s="334" t="s">
        <v>21</v>
      </c>
      <c r="B44" s="335" t="s">
        <v>89</v>
      </c>
      <c r="C44" s="336">
        <v>42503</v>
      </c>
      <c r="D44" s="300" t="s">
        <v>19</v>
      </c>
      <c r="E44" s="338">
        <v>60309.599999999999</v>
      </c>
      <c r="F44" s="339">
        <f>E44*2.02365</f>
        <v>122045.52204</v>
      </c>
      <c r="G44" s="491">
        <v>42601</v>
      </c>
      <c r="H44" s="341"/>
      <c r="I44" s="337"/>
      <c r="J44" s="340"/>
      <c r="K44" s="342">
        <v>60309.599999999999</v>
      </c>
      <c r="L44" s="343"/>
      <c r="M44" s="344">
        <f t="shared" si="1"/>
        <v>0</v>
      </c>
      <c r="O44" s="378"/>
      <c r="P44" s="479"/>
    </row>
    <row r="45" spans="1:16" s="146" customFormat="1" hidden="1">
      <c r="A45" s="334" t="s">
        <v>17</v>
      </c>
      <c r="B45" s="335" t="s">
        <v>90</v>
      </c>
      <c r="C45" s="336">
        <v>42513</v>
      </c>
      <c r="D45" s="300" t="s">
        <v>19</v>
      </c>
      <c r="E45" s="338">
        <v>243352.73</v>
      </c>
      <c r="F45" s="339">
        <f>E45*2.02365</f>
        <v>492460.7520645</v>
      </c>
      <c r="G45" s="491">
        <v>42630</v>
      </c>
      <c r="H45" s="341">
        <v>395000</v>
      </c>
      <c r="I45" s="337"/>
      <c r="J45" s="340">
        <v>42638</v>
      </c>
      <c r="K45" s="342">
        <f>123502.1-2842.8+122644.67</f>
        <v>243303.97</v>
      </c>
      <c r="L45" s="343"/>
      <c r="M45" s="344">
        <f t="shared" si="1"/>
        <v>48.760000000009313</v>
      </c>
      <c r="N45" s="144"/>
      <c r="O45" s="145"/>
      <c r="P45" s="480"/>
    </row>
    <row r="46" spans="1:16" s="146" customFormat="1" hidden="1">
      <c r="A46" s="425" t="s">
        <v>17</v>
      </c>
      <c r="B46" s="426" t="s">
        <v>91</v>
      </c>
      <c r="C46" s="427">
        <v>42506</v>
      </c>
      <c r="D46" s="428" t="s">
        <v>19</v>
      </c>
      <c r="E46" s="429">
        <v>2902.8</v>
      </c>
      <c r="F46" s="430">
        <f>+E46*2.02365</f>
        <v>5874.2512200000001</v>
      </c>
      <c r="G46" s="431">
        <v>42630</v>
      </c>
      <c r="H46" s="422"/>
      <c r="I46" s="432"/>
      <c r="J46" s="433"/>
      <c r="K46" s="434">
        <f>2902.8-60</f>
        <v>2842.8</v>
      </c>
      <c r="L46" s="433"/>
      <c r="M46" s="485">
        <f t="shared" si="1"/>
        <v>60</v>
      </c>
      <c r="N46" s="144"/>
      <c r="O46" s="145"/>
    </row>
    <row r="47" spans="1:16" s="112" customFormat="1">
      <c r="A47" s="379" t="s">
        <v>15</v>
      </c>
      <c r="B47" s="380" t="s">
        <v>154</v>
      </c>
      <c r="C47" s="381">
        <v>42515</v>
      </c>
      <c r="D47" s="382" t="s">
        <v>16</v>
      </c>
      <c r="E47" s="383">
        <v>58025.49</v>
      </c>
      <c r="F47" s="384">
        <f>E47*2.28935</f>
        <v>132840.6555315</v>
      </c>
      <c r="G47" s="385">
        <f>+C47+90</f>
        <v>42605</v>
      </c>
      <c r="H47" s="386"/>
      <c r="I47" s="382"/>
      <c r="J47" s="387"/>
      <c r="K47" s="388"/>
      <c r="L47" s="387"/>
      <c r="M47" s="486">
        <f t="shared" si="1"/>
        <v>58025.49</v>
      </c>
      <c r="O47" s="389"/>
    </row>
    <row r="48" spans="1:16" s="144" customFormat="1" hidden="1">
      <c r="A48" s="334" t="s">
        <v>17</v>
      </c>
      <c r="B48" s="335" t="s">
        <v>539</v>
      </c>
      <c r="C48" s="336">
        <v>42522</v>
      </c>
      <c r="D48" s="337" t="s">
        <v>19</v>
      </c>
      <c r="E48" s="338">
        <v>181444.41</v>
      </c>
      <c r="F48" s="339">
        <f>+E48*2.0914</f>
        <v>379472.83907400002</v>
      </c>
      <c r="G48" s="491">
        <v>42647</v>
      </c>
      <c r="H48" s="341"/>
      <c r="I48" s="337"/>
      <c r="J48" s="340"/>
      <c r="K48" s="342">
        <f>90963.81+91051.3-637.2</f>
        <v>181377.90999999997</v>
      </c>
      <c r="L48" s="343"/>
      <c r="M48" s="344">
        <f t="shared" si="1"/>
        <v>66.500000000029104</v>
      </c>
      <c r="O48" s="378"/>
    </row>
    <row r="49" spans="1:15" s="144" customFormat="1" hidden="1">
      <c r="A49" s="334" t="s">
        <v>17</v>
      </c>
      <c r="B49" s="335" t="s">
        <v>540</v>
      </c>
      <c r="C49" s="336">
        <v>42522</v>
      </c>
      <c r="D49" s="337" t="s">
        <v>19</v>
      </c>
      <c r="E49" s="338">
        <v>637.20000000000005</v>
      </c>
      <c r="F49" s="339">
        <f>+E49*2.0914</f>
        <v>1332.6400800000001</v>
      </c>
      <c r="G49" s="491">
        <v>42647</v>
      </c>
      <c r="H49" s="341"/>
      <c r="I49" s="337"/>
      <c r="J49" s="343"/>
      <c r="K49" s="342">
        <v>637.20000000000005</v>
      </c>
      <c r="L49" s="343"/>
      <c r="M49" s="344">
        <f t="shared" si="1"/>
        <v>0</v>
      </c>
      <c r="O49" s="378"/>
    </row>
    <row r="50" spans="1:15" s="144" customFormat="1">
      <c r="A50" s="368" t="s">
        <v>15</v>
      </c>
      <c r="B50" s="369" t="s">
        <v>541</v>
      </c>
      <c r="C50" s="370">
        <v>42523</v>
      </c>
      <c r="D50" s="375" t="s">
        <v>19</v>
      </c>
      <c r="E50" s="371">
        <v>32695.26</v>
      </c>
      <c r="F50" s="372">
        <f>+E50*2.1062</f>
        <v>68862.756611999997</v>
      </c>
      <c r="G50" s="373">
        <f>+C50+90</f>
        <v>42613</v>
      </c>
      <c r="H50" s="140"/>
      <c r="I50" s="375"/>
      <c r="J50" s="377"/>
      <c r="K50" s="376"/>
      <c r="L50" s="377"/>
      <c r="M50" s="484">
        <f t="shared" si="1"/>
        <v>32695.26</v>
      </c>
      <c r="O50" s="378"/>
    </row>
    <row r="51" spans="1:15" s="112" customFormat="1">
      <c r="A51" s="379" t="s">
        <v>15</v>
      </c>
      <c r="B51" s="380" t="s">
        <v>542</v>
      </c>
      <c r="C51" s="381">
        <v>42527</v>
      </c>
      <c r="D51" s="382" t="s">
        <v>16</v>
      </c>
      <c r="E51" s="383">
        <v>33241.94</v>
      </c>
      <c r="F51" s="384">
        <f>+E51*2.34895</f>
        <v>78083.654963000008</v>
      </c>
      <c r="G51" s="385">
        <f>+C51+90</f>
        <v>42617</v>
      </c>
      <c r="H51" s="374"/>
      <c r="I51" s="382"/>
      <c r="J51" s="387"/>
      <c r="K51" s="388"/>
      <c r="L51" s="387"/>
      <c r="M51" s="486">
        <f t="shared" si="1"/>
        <v>33241.94</v>
      </c>
      <c r="O51" s="389"/>
    </row>
    <row r="52" spans="1:15" s="113" customFormat="1" hidden="1">
      <c r="A52" s="415" t="s">
        <v>20</v>
      </c>
      <c r="B52" s="416" t="s">
        <v>536</v>
      </c>
      <c r="C52" s="417">
        <v>42528</v>
      </c>
      <c r="D52" s="418" t="s">
        <v>16</v>
      </c>
      <c r="E52" s="419">
        <v>249442.34</v>
      </c>
      <c r="F52" s="420">
        <f>+E52*2.3642</f>
        <v>589731.58022799995</v>
      </c>
      <c r="G52" s="421">
        <f>+C52+90</f>
        <v>42618</v>
      </c>
      <c r="H52" s="422"/>
      <c r="I52" s="418"/>
      <c r="J52" s="423"/>
      <c r="K52" s="424">
        <f>60000+39960+39950+25000+10000+25000+49500</f>
        <v>249410</v>
      </c>
      <c r="L52" s="423"/>
      <c r="M52" s="487">
        <f t="shared" si="1"/>
        <v>32.339999999996508</v>
      </c>
      <c r="N52" s="112"/>
      <c r="O52" s="93"/>
    </row>
    <row r="53" spans="1:15" s="113" customFormat="1" hidden="1">
      <c r="A53" s="415" t="s">
        <v>20</v>
      </c>
      <c r="B53" s="416" t="s">
        <v>600</v>
      </c>
      <c r="C53" s="417">
        <v>42552</v>
      </c>
      <c r="D53" s="418" t="s">
        <v>16</v>
      </c>
      <c r="E53" s="419">
        <v>247327.72</v>
      </c>
      <c r="F53" s="420">
        <f>+E53*2.43635</f>
        <v>602576.89062199998</v>
      </c>
      <c r="G53" s="421">
        <f>+C53+90</f>
        <v>42642</v>
      </c>
      <c r="H53" s="481">
        <v>485000</v>
      </c>
      <c r="I53" s="418"/>
      <c r="J53" s="482">
        <v>42648</v>
      </c>
      <c r="K53" s="424">
        <f>64922.5-49500+85000+59957+79548.68+7399.54</f>
        <v>247327.72</v>
      </c>
      <c r="L53" s="423"/>
      <c r="M53" s="487">
        <f t="shared" si="1"/>
        <v>0</v>
      </c>
      <c r="N53" s="112"/>
      <c r="O53" s="93"/>
    </row>
    <row r="54" spans="1:15" s="146" customFormat="1">
      <c r="A54" s="368" t="s">
        <v>17</v>
      </c>
      <c r="B54" s="369" t="s">
        <v>562</v>
      </c>
      <c r="C54" s="370">
        <v>42565</v>
      </c>
      <c r="D54" s="375" t="s">
        <v>19</v>
      </c>
      <c r="E54" s="371">
        <v>182006.54</v>
      </c>
      <c r="F54" s="372">
        <f>E54*2.20895</f>
        <v>402043.34653300006</v>
      </c>
      <c r="G54" s="373">
        <v>42698</v>
      </c>
      <c r="H54" s="341">
        <v>320000</v>
      </c>
      <c r="I54" s="337"/>
      <c r="J54" s="340">
        <v>42689</v>
      </c>
      <c r="K54" s="376">
        <f>72601.19+90445.6</f>
        <v>163046.79</v>
      </c>
      <c r="L54" s="377"/>
      <c r="M54" s="484">
        <f t="shared" si="1"/>
        <v>18959.75</v>
      </c>
      <c r="N54" s="144"/>
      <c r="O54" s="145"/>
    </row>
    <row r="55" spans="1:15" s="112" customFormat="1">
      <c r="A55" s="379" t="s">
        <v>15</v>
      </c>
      <c r="B55" s="380" t="s">
        <v>563</v>
      </c>
      <c r="C55" s="381">
        <v>42583</v>
      </c>
      <c r="D55" s="382" t="s">
        <v>16</v>
      </c>
      <c r="E55" s="383">
        <v>47822.32</v>
      </c>
      <c r="F55" s="384">
        <f>+E55*2.45605</f>
        <v>117454.00903599999</v>
      </c>
      <c r="G55" s="385">
        <f>+C55+90</f>
        <v>42673</v>
      </c>
      <c r="H55" s="386"/>
      <c r="I55" s="382"/>
      <c r="J55" s="387"/>
      <c r="K55" s="388"/>
      <c r="L55" s="387"/>
      <c r="M55" s="486">
        <f t="shared" si="1"/>
        <v>47822.32</v>
      </c>
      <c r="O55" s="389"/>
    </row>
    <row r="56" spans="1:15" s="113" customFormat="1" hidden="1">
      <c r="A56" s="415" t="s">
        <v>20</v>
      </c>
      <c r="B56" s="416" t="s">
        <v>564</v>
      </c>
      <c r="C56" s="417">
        <v>42585</v>
      </c>
      <c r="D56" s="418" t="s">
        <v>16</v>
      </c>
      <c r="E56" s="419">
        <v>256710.39999999999</v>
      </c>
      <c r="F56" s="420">
        <f>+E56*2.45645</f>
        <v>630596.2620799999</v>
      </c>
      <c r="G56" s="421">
        <f>+C56+90</f>
        <v>42675</v>
      </c>
      <c r="H56" s="481"/>
      <c r="I56" s="418"/>
      <c r="J56" s="423"/>
      <c r="K56" s="424">
        <f>39965-7399.54+99975+99955+24214.94</f>
        <v>256710.39999999999</v>
      </c>
      <c r="L56" s="423"/>
      <c r="M56" s="487">
        <f t="shared" si="1"/>
        <v>0</v>
      </c>
      <c r="N56" s="112"/>
      <c r="O56" s="93"/>
    </row>
    <row r="57" spans="1:15" s="101" customFormat="1" hidden="1">
      <c r="A57" s="334" t="s">
        <v>21</v>
      </c>
      <c r="B57" s="335" t="s">
        <v>604</v>
      </c>
      <c r="C57" s="336">
        <v>42594</v>
      </c>
      <c r="D57" s="300" t="s">
        <v>19</v>
      </c>
      <c r="E57" s="338">
        <v>61609.599999999999</v>
      </c>
      <c r="F57" s="339">
        <f>+E57*2.20485</f>
        <v>135839.92655999999</v>
      </c>
      <c r="G57" s="491">
        <v>42692</v>
      </c>
      <c r="H57" s="521"/>
      <c r="I57" s="522"/>
      <c r="J57" s="523"/>
      <c r="K57" s="342">
        <v>61609.599999999999</v>
      </c>
      <c r="L57" s="343"/>
      <c r="M57" s="344">
        <f t="shared" ref="M57:M74" si="2">E57-K57</f>
        <v>0</v>
      </c>
      <c r="O57" s="414"/>
    </row>
    <row r="58" spans="1:15" s="146" customFormat="1">
      <c r="A58" s="134" t="s">
        <v>17</v>
      </c>
      <c r="B58" s="135" t="s">
        <v>602</v>
      </c>
      <c r="C58" s="136">
        <v>42599</v>
      </c>
      <c r="D58" s="141" t="s">
        <v>19</v>
      </c>
      <c r="E58" s="137">
        <v>201518.23</v>
      </c>
      <c r="F58" s="138">
        <f>E58*2.18885</f>
        <v>441093.17773550004</v>
      </c>
      <c r="G58" s="139">
        <v>42722</v>
      </c>
      <c r="H58" s="413"/>
      <c r="I58" s="108"/>
      <c r="J58" s="109"/>
      <c r="K58" s="143">
        <v>90429.6</v>
      </c>
      <c r="L58" s="142"/>
      <c r="M58" s="488">
        <f t="shared" si="2"/>
        <v>111088.63</v>
      </c>
      <c r="N58" s="144"/>
      <c r="O58" s="145"/>
    </row>
    <row r="59" spans="1:15" s="113" customFormat="1" hidden="1">
      <c r="A59" s="415" t="s">
        <v>20</v>
      </c>
      <c r="B59" s="416" t="s">
        <v>601</v>
      </c>
      <c r="C59" s="417">
        <v>42599</v>
      </c>
      <c r="D59" s="418" t="s">
        <v>16</v>
      </c>
      <c r="E59" s="419">
        <v>176779.1</v>
      </c>
      <c r="F59" s="420">
        <f>E59*2.4649</f>
        <v>435742.80359000002</v>
      </c>
      <c r="G59" s="421">
        <f>+C59+90</f>
        <v>42689</v>
      </c>
      <c r="H59" s="481"/>
      <c r="I59" s="418"/>
      <c r="J59" s="423"/>
      <c r="K59" s="424">
        <f>50000-24214.94+59950+24965+66079.04</f>
        <v>176779.09999999998</v>
      </c>
      <c r="L59" s="423"/>
      <c r="M59" s="487">
        <f t="shared" si="2"/>
        <v>0</v>
      </c>
      <c r="N59" s="112"/>
      <c r="O59" s="93"/>
    </row>
    <row r="60" spans="1:15" s="113" customFormat="1" hidden="1">
      <c r="A60" s="415" t="s">
        <v>20</v>
      </c>
      <c r="B60" s="416" t="s">
        <v>603</v>
      </c>
      <c r="C60" s="417">
        <v>42606</v>
      </c>
      <c r="D60" s="418" t="s">
        <v>16</v>
      </c>
      <c r="E60" s="419">
        <v>182078.8</v>
      </c>
      <c r="F60" s="420">
        <f>+E60*2.4651</f>
        <v>448842.44987999997</v>
      </c>
      <c r="G60" s="421">
        <f>+C60+90</f>
        <v>42696</v>
      </c>
      <c r="H60" s="481"/>
      <c r="I60" s="418"/>
      <c r="J60" s="423"/>
      <c r="K60" s="424">
        <f>86970-66079.04+44970+99975+16242.84</f>
        <v>182078.80000000002</v>
      </c>
      <c r="L60" s="423"/>
      <c r="M60" s="487">
        <f t="shared" si="2"/>
        <v>0</v>
      </c>
      <c r="N60" s="112"/>
      <c r="O60" s="93"/>
    </row>
    <row r="61" spans="1:15" s="146" customFormat="1">
      <c r="A61" s="134" t="s">
        <v>17</v>
      </c>
      <c r="B61" s="135" t="s">
        <v>605</v>
      </c>
      <c r="C61" s="136">
        <v>42619</v>
      </c>
      <c r="D61" s="141" t="s">
        <v>19</v>
      </c>
      <c r="E61" s="137">
        <v>201819.58</v>
      </c>
      <c r="F61" s="138">
        <f>+E61*2.19925</f>
        <v>443851.71131500002</v>
      </c>
      <c r="G61" s="139">
        <f>+C61+120</f>
        <v>42739</v>
      </c>
      <c r="H61" s="413"/>
      <c r="I61" s="108"/>
      <c r="J61" s="109"/>
      <c r="K61" s="143">
        <v>90445.6</v>
      </c>
      <c r="L61" s="142"/>
      <c r="M61" s="488">
        <f t="shared" si="2"/>
        <v>111373.97999999998</v>
      </c>
      <c r="N61" s="144"/>
      <c r="O61" s="145"/>
    </row>
    <row r="62" spans="1:15" s="113" customFormat="1" hidden="1">
      <c r="A62" s="415" t="s">
        <v>20</v>
      </c>
      <c r="B62" s="416" t="s">
        <v>606</v>
      </c>
      <c r="C62" s="417">
        <v>42619</v>
      </c>
      <c r="D62" s="418" t="s">
        <v>16</v>
      </c>
      <c r="E62" s="419">
        <v>93763.1</v>
      </c>
      <c r="F62" s="420">
        <f>+E62*2.45675</f>
        <v>230352.49592500002</v>
      </c>
      <c r="G62" s="421">
        <f>+C62+90</f>
        <v>42709</v>
      </c>
      <c r="H62" s="481"/>
      <c r="I62" s="418"/>
      <c r="J62" s="423"/>
      <c r="K62" s="424">
        <f>49970-16242.84+60035.94</f>
        <v>93763.1</v>
      </c>
      <c r="L62" s="423"/>
      <c r="M62" s="487">
        <f t="shared" si="2"/>
        <v>0</v>
      </c>
      <c r="N62" s="112"/>
      <c r="O62" s="93"/>
    </row>
    <row r="63" spans="1:15" s="113" customFormat="1" hidden="1">
      <c r="A63" s="415" t="s">
        <v>20</v>
      </c>
      <c r="B63" s="416" t="s">
        <v>684</v>
      </c>
      <c r="C63" s="417">
        <v>42634</v>
      </c>
      <c r="D63" s="418" t="s">
        <v>9</v>
      </c>
      <c r="E63" s="419">
        <v>490473.728</v>
      </c>
      <c r="F63" s="420">
        <f>+E63</f>
        <v>490473.728</v>
      </c>
      <c r="G63" s="421">
        <f>+C63+90</f>
        <v>42724</v>
      </c>
      <c r="H63" s="481">
        <v>390000</v>
      </c>
      <c r="I63" s="418"/>
      <c r="J63" s="482">
        <v>42719</v>
      </c>
      <c r="K63" s="424">
        <v>483301.39899999998</v>
      </c>
      <c r="L63" s="423"/>
      <c r="M63" s="579">
        <f t="shared" si="2"/>
        <v>7172.329000000027</v>
      </c>
      <c r="N63" s="112"/>
      <c r="O63" s="93"/>
    </row>
    <row r="64" spans="1:15" s="146" customFormat="1">
      <c r="A64" s="134" t="s">
        <v>17</v>
      </c>
      <c r="B64" s="135" t="s">
        <v>690</v>
      </c>
      <c r="C64" s="136">
        <v>42646</v>
      </c>
      <c r="D64" s="141" t="s">
        <v>19</v>
      </c>
      <c r="E64" s="137">
        <v>206062.8</v>
      </c>
      <c r="F64" s="138">
        <f>+E64*2.1936</f>
        <v>452019.35807999998</v>
      </c>
      <c r="G64" s="139">
        <f>+C64+120</f>
        <v>42766</v>
      </c>
      <c r="H64" s="140"/>
      <c r="I64" s="141"/>
      <c r="J64" s="483"/>
      <c r="K64" s="143">
        <v>90445.6</v>
      </c>
      <c r="L64" s="142"/>
      <c r="M64" s="489">
        <f t="shared" si="2"/>
        <v>115617.19999999998</v>
      </c>
      <c r="N64" s="144"/>
      <c r="O64" s="145"/>
    </row>
    <row r="65" spans="1:15" s="113" customFormat="1" hidden="1">
      <c r="A65" s="415" t="s">
        <v>20</v>
      </c>
      <c r="B65" s="416" t="s">
        <v>689</v>
      </c>
      <c r="C65" s="417">
        <v>42647</v>
      </c>
      <c r="D65" s="418" t="s">
        <v>16</v>
      </c>
      <c r="E65" s="419">
        <v>90619.199999999997</v>
      </c>
      <c r="F65" s="420">
        <f>+E65*2.4659</f>
        <v>223457.88527999999</v>
      </c>
      <c r="G65" s="421">
        <f>+C65+90</f>
        <v>42737</v>
      </c>
      <c r="H65" s="481"/>
      <c r="I65" s="418"/>
      <c r="J65" s="482"/>
      <c r="K65" s="424">
        <f>99832.71-60035.94+50800</f>
        <v>90596.77</v>
      </c>
      <c r="L65" s="423"/>
      <c r="M65" s="579">
        <f t="shared" si="2"/>
        <v>22.429999999993015</v>
      </c>
      <c r="N65" s="112"/>
      <c r="O65" s="93"/>
    </row>
    <row r="66" spans="1:15" s="146" customFormat="1">
      <c r="A66" s="134" t="s">
        <v>17</v>
      </c>
      <c r="B66" s="135" t="s">
        <v>691</v>
      </c>
      <c r="C66" s="136">
        <v>42661</v>
      </c>
      <c r="D66" s="141" t="s">
        <v>19</v>
      </c>
      <c r="E66" s="137">
        <v>137375.20000000001</v>
      </c>
      <c r="F66" s="138">
        <f>E66*2.23355</f>
        <v>306834.37796000007</v>
      </c>
      <c r="G66" s="139">
        <f>+C66+120</f>
        <v>42781</v>
      </c>
      <c r="H66" s="140"/>
      <c r="I66" s="141"/>
      <c r="J66" s="483"/>
      <c r="K66" s="143">
        <v>60289.4</v>
      </c>
      <c r="L66" s="142"/>
      <c r="M66" s="489">
        <f t="shared" si="2"/>
        <v>77085.800000000017</v>
      </c>
      <c r="N66" s="144"/>
      <c r="O66" s="145"/>
    </row>
    <row r="67" spans="1:15" s="113" customFormat="1">
      <c r="A67" s="102" t="s">
        <v>20</v>
      </c>
      <c r="B67" s="103" t="s">
        <v>692</v>
      </c>
      <c r="C67" s="104">
        <v>42667</v>
      </c>
      <c r="D67" s="108" t="s">
        <v>16</v>
      </c>
      <c r="E67" s="105">
        <v>275267.21999999997</v>
      </c>
      <c r="F67" s="106">
        <f>E67*2.4408</f>
        <v>671872.23057599994</v>
      </c>
      <c r="G67" s="107">
        <f>+C67+90</f>
        <v>42757</v>
      </c>
      <c r="H67" s="413"/>
      <c r="I67" s="108"/>
      <c r="J67" s="412"/>
      <c r="K67" s="110">
        <f>86880.37-50800+49880.54+99832.65</f>
        <v>185793.56</v>
      </c>
      <c r="L67" s="109"/>
      <c r="M67" s="111">
        <f t="shared" si="2"/>
        <v>89473.659999999974</v>
      </c>
      <c r="N67" s="112"/>
      <c r="O67" s="93"/>
    </row>
    <row r="68" spans="1:15" s="113" customFormat="1">
      <c r="A68" s="102" t="s">
        <v>20</v>
      </c>
      <c r="B68" s="103" t="s">
        <v>780</v>
      </c>
      <c r="C68" s="104">
        <v>42674</v>
      </c>
      <c r="D68" s="108" t="s">
        <v>16</v>
      </c>
      <c r="E68" s="105">
        <v>267067.84999999998</v>
      </c>
      <c r="F68" s="106">
        <f>E68*2.45085</f>
        <v>654543.24017249991</v>
      </c>
      <c r="G68" s="107">
        <f>C68+90</f>
        <v>42764</v>
      </c>
      <c r="H68" s="413"/>
      <c r="I68" s="108"/>
      <c r="J68" s="412"/>
      <c r="K68" s="110"/>
      <c r="L68" s="109"/>
      <c r="M68" s="111">
        <f t="shared" si="2"/>
        <v>267067.84999999998</v>
      </c>
      <c r="N68" s="112"/>
      <c r="O68" s="93"/>
    </row>
    <row r="69" spans="1:15" s="146" customFormat="1">
      <c r="A69" s="134" t="s">
        <v>21</v>
      </c>
      <c r="B69" s="135" t="s">
        <v>781</v>
      </c>
      <c r="C69" s="136">
        <v>42682</v>
      </c>
      <c r="D69" s="141" t="s">
        <v>19</v>
      </c>
      <c r="E69" s="137">
        <v>61851.199999999997</v>
      </c>
      <c r="F69" s="138">
        <f>+E69*2.22055</f>
        <v>137343.68215999997</v>
      </c>
      <c r="G69" s="139">
        <f>+C69+90</f>
        <v>42772</v>
      </c>
      <c r="H69" s="140"/>
      <c r="I69" s="141"/>
      <c r="J69" s="483"/>
      <c r="K69" s="143"/>
      <c r="L69" s="142"/>
      <c r="M69" s="489">
        <f t="shared" si="2"/>
        <v>61851.199999999997</v>
      </c>
      <c r="N69" s="144"/>
      <c r="O69" s="145"/>
    </row>
    <row r="70" spans="1:15" s="113" customFormat="1">
      <c r="A70" s="102" t="s">
        <v>15</v>
      </c>
      <c r="B70" s="103" t="s">
        <v>782</v>
      </c>
      <c r="C70" s="104">
        <v>42688</v>
      </c>
      <c r="D70" s="108" t="s">
        <v>16</v>
      </c>
      <c r="E70" s="105">
        <v>63212.1</v>
      </c>
      <c r="F70" s="106">
        <f>+E70*2.43455</f>
        <v>153893.01805500002</v>
      </c>
      <c r="G70" s="107">
        <f>+C70+60</f>
        <v>42748</v>
      </c>
      <c r="H70" s="413"/>
      <c r="I70" s="108"/>
      <c r="J70" s="412"/>
      <c r="K70" s="110"/>
      <c r="L70" s="109"/>
      <c r="M70" s="111">
        <f t="shared" si="2"/>
        <v>63212.1</v>
      </c>
      <c r="N70" s="112"/>
      <c r="O70" s="93"/>
    </row>
    <row r="71" spans="1:15" s="146" customFormat="1">
      <c r="A71" s="134" t="s">
        <v>17</v>
      </c>
      <c r="B71" s="135" t="s">
        <v>783</v>
      </c>
      <c r="C71" s="136">
        <v>42695</v>
      </c>
      <c r="D71" s="141" t="s">
        <v>19</v>
      </c>
      <c r="E71" s="137">
        <v>218812.7</v>
      </c>
      <c r="F71" s="138">
        <f>+E71*2.2844</f>
        <v>499855.73188000009</v>
      </c>
      <c r="G71" s="139">
        <f>+C71+120</f>
        <v>42815</v>
      </c>
      <c r="H71" s="140">
        <v>400000</v>
      </c>
      <c r="I71" s="141"/>
      <c r="J71" s="483"/>
      <c r="K71" s="143">
        <v>90505.8</v>
      </c>
      <c r="L71" s="142"/>
      <c r="M71" s="489">
        <f t="shared" si="2"/>
        <v>128306.90000000001</v>
      </c>
      <c r="N71" s="144"/>
      <c r="O71" s="145"/>
    </row>
    <row r="72" spans="1:15" s="146" customFormat="1">
      <c r="A72" s="134" t="s">
        <v>21</v>
      </c>
      <c r="B72" s="135" t="s">
        <v>954</v>
      </c>
      <c r="C72" s="136">
        <v>42703</v>
      </c>
      <c r="D72" s="141" t="s">
        <v>19</v>
      </c>
      <c r="E72" s="137">
        <v>60082</v>
      </c>
      <c r="F72" s="138">
        <f>+E72*2.2879</f>
        <v>137461.6078</v>
      </c>
      <c r="G72" s="139">
        <f>+C72+90</f>
        <v>42793</v>
      </c>
      <c r="H72" s="140"/>
      <c r="I72" s="141"/>
      <c r="J72" s="483"/>
      <c r="K72" s="143"/>
      <c r="L72" s="142"/>
      <c r="M72" s="489">
        <f t="shared" si="2"/>
        <v>60082</v>
      </c>
      <c r="N72" s="144"/>
      <c r="O72" s="145"/>
    </row>
    <row r="73" spans="1:15" s="113" customFormat="1">
      <c r="A73" s="102" t="s">
        <v>20</v>
      </c>
      <c r="B73" s="103" t="s">
        <v>983</v>
      </c>
      <c r="C73" s="104">
        <v>42714</v>
      </c>
      <c r="D73" s="108" t="s">
        <v>16</v>
      </c>
      <c r="E73" s="105">
        <v>189405.85</v>
      </c>
      <c r="F73" s="106">
        <f>+E73*2.42685</f>
        <v>459659.58707250003</v>
      </c>
      <c r="G73" s="107">
        <f>+C73+90</f>
        <v>42804</v>
      </c>
      <c r="H73" s="413"/>
      <c r="I73" s="108"/>
      <c r="J73" s="412"/>
      <c r="K73" s="110"/>
      <c r="L73" s="109"/>
      <c r="M73" s="111">
        <f t="shared" si="2"/>
        <v>189405.85</v>
      </c>
      <c r="N73" s="112"/>
      <c r="O73" s="93"/>
    </row>
    <row r="74" spans="1:15" s="113" customFormat="1">
      <c r="A74" s="102" t="s">
        <v>20</v>
      </c>
      <c r="B74" s="103" t="s">
        <v>984</v>
      </c>
      <c r="C74" s="104">
        <v>42731</v>
      </c>
      <c r="D74" s="108" t="s">
        <v>16</v>
      </c>
      <c r="E74" s="105">
        <v>288116.08</v>
      </c>
      <c r="F74" s="106">
        <f>+E74*2.41755</f>
        <v>696535.02920400002</v>
      </c>
      <c r="G74" s="107">
        <f>+C74+60</f>
        <v>42791</v>
      </c>
      <c r="H74" s="413"/>
      <c r="I74" s="108"/>
      <c r="J74" s="412"/>
      <c r="K74" s="110"/>
      <c r="L74" s="109"/>
      <c r="M74" s="111">
        <f t="shared" si="2"/>
        <v>288116.08</v>
      </c>
      <c r="N74" s="112"/>
      <c r="O74" s="93"/>
    </row>
    <row r="75" spans="1:15" s="113" customFormat="1" ht="13.5" thickBot="1">
      <c r="A75" s="114"/>
      <c r="B75" s="115"/>
      <c r="C75" s="116"/>
      <c r="D75" s="116"/>
      <c r="E75" s="117"/>
      <c r="F75" s="118"/>
      <c r="G75" s="119"/>
      <c r="H75" s="120"/>
      <c r="I75" s="116"/>
      <c r="J75" s="121"/>
      <c r="K75" s="122"/>
      <c r="L75" s="121"/>
      <c r="M75" s="114"/>
      <c r="N75" s="112"/>
      <c r="O75" s="93"/>
    </row>
    <row r="76" spans="1:15">
      <c r="G76" s="578"/>
    </row>
    <row r="77" spans="1:15" ht="13.5" thickBot="1">
      <c r="G77" s="577"/>
    </row>
    <row r="78" spans="1:15" ht="13.5" thickBot="1">
      <c r="B78" s="472" t="s">
        <v>47</v>
      </c>
      <c r="C78" s="473" t="s">
        <v>48</v>
      </c>
      <c r="D78" s="661" t="s">
        <v>9</v>
      </c>
      <c r="E78" s="662"/>
    </row>
    <row r="79" spans="1:15">
      <c r="A79" s="465" t="s">
        <v>20</v>
      </c>
      <c r="B79" s="470"/>
      <c r="C79" s="471"/>
      <c r="D79" s="665"/>
      <c r="E79" s="666"/>
    </row>
    <row r="80" spans="1:15">
      <c r="A80" s="466">
        <v>2015</v>
      </c>
      <c r="B80" s="460">
        <f>M25</f>
        <v>694484.64</v>
      </c>
      <c r="C80" s="461"/>
      <c r="D80" s="655"/>
      <c r="E80" s="656"/>
    </row>
    <row r="81" spans="1:5">
      <c r="A81" s="467">
        <v>2016</v>
      </c>
      <c r="B81" s="460">
        <f>M17+M67+M68+M73+M74</f>
        <v>949710.96</v>
      </c>
      <c r="C81" s="461"/>
      <c r="D81" s="663">
        <v>0</v>
      </c>
      <c r="E81" s="664"/>
    </row>
    <row r="82" spans="1:5">
      <c r="A82" s="33" t="s">
        <v>15</v>
      </c>
      <c r="B82" s="460">
        <f>M38+M47+M51+M55+M70</f>
        <v>224401.85</v>
      </c>
      <c r="C82" s="462">
        <f>M11+M50</f>
        <v>46479.93</v>
      </c>
      <c r="D82" s="655"/>
      <c r="E82" s="656"/>
    </row>
    <row r="83" spans="1:5">
      <c r="A83" s="33" t="s">
        <v>17</v>
      </c>
      <c r="B83" s="463"/>
      <c r="C83" s="464">
        <f>M14+M54+M58+M61+M64+M66+M71</f>
        <v>580764.36</v>
      </c>
      <c r="D83" s="655"/>
      <c r="E83" s="656"/>
    </row>
    <row r="84" spans="1:5" ht="13.5" thickBot="1">
      <c r="A84" s="34" t="s">
        <v>685</v>
      </c>
      <c r="B84" s="35"/>
      <c r="C84" s="38">
        <f>M69+M72</f>
        <v>121933.2</v>
      </c>
      <c r="D84" s="657"/>
      <c r="E84" s="658"/>
    </row>
    <row r="85" spans="1:5" ht="13.5" thickBot="1">
      <c r="B85" s="468">
        <f>SUM(B79:B84)</f>
        <v>1868597.4500000002</v>
      </c>
      <c r="C85" s="469">
        <f>SUM(C79:C84)</f>
        <v>749177.49</v>
      </c>
      <c r="D85" s="659">
        <f>SUM(D79:D84)</f>
        <v>0</v>
      </c>
      <c r="E85" s="660"/>
    </row>
  </sheetData>
  <autoFilter ref="A1:A85"/>
  <mergeCells count="18">
    <mergeCell ref="A2:A3"/>
    <mergeCell ref="B2:G2"/>
    <mergeCell ref="H2:J2"/>
    <mergeCell ref="K2:L2"/>
    <mergeCell ref="M2:M3"/>
    <mergeCell ref="A21:A22"/>
    <mergeCell ref="B21:G21"/>
    <mergeCell ref="H21:J21"/>
    <mergeCell ref="K21:L21"/>
    <mergeCell ref="M21:M22"/>
    <mergeCell ref="D83:E83"/>
    <mergeCell ref="D84:E84"/>
    <mergeCell ref="D85:E85"/>
    <mergeCell ref="D78:E78"/>
    <mergeCell ref="D81:E81"/>
    <mergeCell ref="D79:E79"/>
    <mergeCell ref="D80:E80"/>
    <mergeCell ref="D82:E82"/>
  </mergeCells>
  <pageMargins left="0.70866141732283472" right="0.70866141732283472" top="0.74803149606299213" bottom="0.74803149606299213" header="0.31496062992125984" footer="0.31496062992125984"/>
  <pageSetup paperSize="9" scale="93" orientation="landscape" horizontalDpi="180" verticalDpi="180" r:id="rId1"/>
  <ignoredErrors>
    <ignoredError sqref="F32 G36 G61 G64:G66 G6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E10" sqref="E10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672" t="s">
        <v>150</v>
      </c>
      <c r="B3" s="672"/>
      <c r="C3" s="672"/>
      <c r="D3" s="672"/>
      <c r="E3" s="672"/>
      <c r="F3" s="672"/>
      <c r="G3" s="672"/>
      <c r="H3" s="672"/>
    </row>
    <row r="4" spans="1:9" ht="15.75">
      <c r="A4" s="673" t="s">
        <v>777</v>
      </c>
      <c r="B4" s="673"/>
      <c r="C4" s="673"/>
      <c r="D4" s="673"/>
      <c r="E4" s="673"/>
      <c r="F4" s="673"/>
      <c r="G4" s="673"/>
      <c r="H4" s="673"/>
    </row>
    <row r="5" spans="1:9" ht="15.75" thickBot="1"/>
    <row r="6" spans="1:9" ht="15.75" thickBot="1">
      <c r="B6" s="259" t="s">
        <v>149</v>
      </c>
      <c r="C6" s="258" t="s">
        <v>148</v>
      </c>
      <c r="D6" s="257" t="s">
        <v>147</v>
      </c>
      <c r="E6" s="256" t="s">
        <v>146</v>
      </c>
      <c r="F6" s="255" t="s">
        <v>145</v>
      </c>
      <c r="G6" s="255" t="s">
        <v>10</v>
      </c>
      <c r="H6" s="254" t="s">
        <v>144</v>
      </c>
    </row>
    <row r="7" spans="1:9" s="241" customFormat="1" ht="15.75" thickBot="1">
      <c r="A7" s="253" t="s">
        <v>143</v>
      </c>
      <c r="B7" s="249" t="s">
        <v>59</v>
      </c>
      <c r="C7" s="248">
        <v>108049.32</v>
      </c>
      <c r="D7" s="252">
        <v>2.4615499999999999</v>
      </c>
      <c r="E7" s="251">
        <f>+C7*D7</f>
        <v>265968.80364599999</v>
      </c>
      <c r="F7" s="245">
        <v>42702</v>
      </c>
      <c r="G7" s="244">
        <v>42794</v>
      </c>
      <c r="H7" s="243"/>
    </row>
    <row r="8" spans="1:9" ht="15.75" thickBot="1">
      <c r="A8" s="674" t="s">
        <v>134</v>
      </c>
      <c r="B8" s="675"/>
      <c r="C8" s="675"/>
      <c r="D8" s="676"/>
      <c r="E8" s="250">
        <f>SUM(E7)</f>
        <v>265968.80364599999</v>
      </c>
      <c r="G8" s="236"/>
    </row>
    <row r="9" spans="1:9" ht="15.75" thickBot="1">
      <c r="C9" s="239"/>
    </row>
    <row r="10" spans="1:9" s="241" customFormat="1" ht="15.75" thickBot="1">
      <c r="A10" s="260" t="s">
        <v>45</v>
      </c>
      <c r="B10" s="249" t="s">
        <v>59</v>
      </c>
      <c r="C10" s="248">
        <v>164041.97</v>
      </c>
      <c r="D10" s="247">
        <v>2.4255499999999999</v>
      </c>
      <c r="E10" s="246">
        <f>C10*D10</f>
        <v>397892.00033349998</v>
      </c>
      <c r="F10" s="245">
        <v>42548</v>
      </c>
      <c r="G10" s="244">
        <v>42744</v>
      </c>
      <c r="H10" s="243"/>
      <c r="I10" s="242"/>
    </row>
    <row r="11" spans="1:9" ht="15.75" thickBot="1">
      <c r="A11" s="674" t="s">
        <v>134</v>
      </c>
      <c r="B11" s="675"/>
      <c r="C11" s="675"/>
      <c r="D11" s="676"/>
      <c r="E11" s="240">
        <f>SUM(E10:E10)</f>
        <v>397892.00033349998</v>
      </c>
      <c r="G11" s="236"/>
    </row>
    <row r="12" spans="1:9">
      <c r="G12" s="236"/>
    </row>
    <row r="13" spans="1:9">
      <c r="B13" s="239"/>
      <c r="C13" s="239"/>
      <c r="E13" s="237"/>
      <c r="F13" s="236"/>
      <c r="G13" s="236"/>
    </row>
    <row r="14" spans="1:9">
      <c r="C14" s="237"/>
      <c r="D14" s="79"/>
      <c r="F14" s="236"/>
      <c r="G14" s="236"/>
    </row>
    <row r="15" spans="1:9">
      <c r="B15" s="237"/>
      <c r="C15" s="237"/>
      <c r="D15" s="79"/>
      <c r="E15" s="79"/>
      <c r="F15" s="236"/>
      <c r="G15" s="236"/>
    </row>
    <row r="16" spans="1:9">
      <c r="C16" s="237"/>
      <c r="F16" s="238"/>
      <c r="G16" s="238"/>
      <c r="H16" s="238"/>
    </row>
    <row r="17" spans="1:12">
      <c r="C17" s="79"/>
      <c r="E17" s="238"/>
      <c r="F17" s="238"/>
      <c r="G17" s="238"/>
      <c r="H17" s="238"/>
    </row>
    <row r="18" spans="1:12">
      <c r="C18" s="237"/>
    </row>
    <row r="19" spans="1:12">
      <c r="A19" s="237"/>
      <c r="C19" s="490"/>
    </row>
    <row r="20" spans="1:12">
      <c r="C20" s="490"/>
      <c r="L20" s="236"/>
    </row>
    <row r="21" spans="1:12">
      <c r="C21" s="524"/>
      <c r="F21" s="236"/>
      <c r="L21" s="236"/>
    </row>
    <row r="22" spans="1:12">
      <c r="C22" s="237"/>
      <c r="F22" s="236"/>
    </row>
    <row r="23" spans="1:12">
      <c r="C23" s="79"/>
      <c r="D23" s="493"/>
      <c r="F23" s="236"/>
    </row>
    <row r="24" spans="1:12">
      <c r="F24" s="236"/>
    </row>
    <row r="25" spans="1:12">
      <c r="F25" s="236"/>
    </row>
    <row r="26" spans="1:12">
      <c r="C26" s="79"/>
      <c r="F26" s="236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N1012"/>
  <sheetViews>
    <sheetView topLeftCell="A877" workbookViewId="0">
      <selection activeCell="D906" sqref="D906"/>
    </sheetView>
  </sheetViews>
  <sheetFormatPr baseColWidth="10" defaultRowHeight="15"/>
  <cols>
    <col min="1" max="1" width="9.28515625" style="525" bestFit="1" customWidth="1"/>
    <col min="2" max="2" width="34.85546875" style="525" bestFit="1" customWidth="1"/>
    <col min="3" max="3" width="10.7109375" style="525" bestFit="1" customWidth="1"/>
    <col min="4" max="4" width="13.85546875" style="526" bestFit="1" customWidth="1"/>
    <col min="5" max="16384" width="11.42578125" style="525"/>
  </cols>
  <sheetData>
    <row r="1" spans="1:14" s="550" customFormat="1" ht="15.75" thickBot="1">
      <c r="A1" s="553" t="s">
        <v>177</v>
      </c>
      <c r="B1" s="552" t="s">
        <v>176</v>
      </c>
      <c r="C1" s="552" t="s">
        <v>175</v>
      </c>
      <c r="D1" s="551" t="s">
        <v>11</v>
      </c>
    </row>
    <row r="2" spans="1:14">
      <c r="A2" s="545" t="s">
        <v>257</v>
      </c>
      <c r="B2" s="544" t="s">
        <v>256</v>
      </c>
      <c r="C2" s="543">
        <v>42694</v>
      </c>
      <c r="D2" s="542">
        <v>1500</v>
      </c>
    </row>
    <row r="3" spans="1:14">
      <c r="A3" s="545" t="s">
        <v>166</v>
      </c>
      <c r="B3" s="544" t="s">
        <v>165</v>
      </c>
      <c r="C3" s="543">
        <v>42701</v>
      </c>
      <c r="D3" s="542">
        <v>845</v>
      </c>
    </row>
    <row r="4" spans="1:14">
      <c r="A4" s="545" t="s">
        <v>189</v>
      </c>
      <c r="B4" s="544" t="s">
        <v>188</v>
      </c>
      <c r="C4" s="543">
        <v>42704</v>
      </c>
      <c r="D4" s="542">
        <v>1200</v>
      </c>
    </row>
    <row r="5" spans="1:14">
      <c r="A5" s="545" t="s">
        <v>546</v>
      </c>
      <c r="B5" s="544" t="s">
        <v>547</v>
      </c>
      <c r="C5" s="543">
        <v>42704</v>
      </c>
      <c r="D5" s="542">
        <v>400</v>
      </c>
    </row>
    <row r="6" spans="1:14">
      <c r="A6" s="545" t="s">
        <v>575</v>
      </c>
      <c r="B6" s="544" t="s">
        <v>576</v>
      </c>
      <c r="C6" s="543">
        <v>42704</v>
      </c>
      <c r="D6" s="542">
        <v>645</v>
      </c>
    </row>
    <row r="7" spans="1:14">
      <c r="A7" s="545" t="s">
        <v>733</v>
      </c>
      <c r="B7" s="544" t="s">
        <v>734</v>
      </c>
      <c r="C7" s="543">
        <v>42704</v>
      </c>
      <c r="D7" s="542">
        <v>500</v>
      </c>
    </row>
    <row r="8" spans="1:14">
      <c r="A8" s="545" t="s">
        <v>388</v>
      </c>
      <c r="B8" s="544" t="s">
        <v>387</v>
      </c>
      <c r="C8" s="543">
        <v>42704</v>
      </c>
      <c r="D8" s="542">
        <v>4591.2420000000002</v>
      </c>
    </row>
    <row r="9" spans="1:14">
      <c r="A9" s="545" t="s">
        <v>625</v>
      </c>
      <c r="B9" s="544" t="s">
        <v>626</v>
      </c>
      <c r="C9" s="543">
        <v>42704</v>
      </c>
      <c r="D9" s="542">
        <v>1286.7719999999999</v>
      </c>
    </row>
    <row r="10" spans="1:14">
      <c r="A10" s="545" t="s">
        <v>382</v>
      </c>
      <c r="B10" s="544" t="s">
        <v>381</v>
      </c>
      <c r="C10" s="543">
        <v>42704</v>
      </c>
      <c r="D10" s="542">
        <v>4483.7950000000001</v>
      </c>
    </row>
    <row r="11" spans="1:14">
      <c r="A11" s="545" t="s">
        <v>867</v>
      </c>
      <c r="B11" s="544" t="s">
        <v>866</v>
      </c>
      <c r="C11" s="543">
        <v>42704</v>
      </c>
      <c r="D11" s="542">
        <v>1642.579</v>
      </c>
    </row>
    <row r="12" spans="1:14">
      <c r="A12" s="545" t="s">
        <v>472</v>
      </c>
      <c r="B12" s="544" t="s">
        <v>471</v>
      </c>
      <c r="C12" s="543">
        <v>42704</v>
      </c>
      <c r="D12" s="542">
        <v>4307.6859999999997</v>
      </c>
    </row>
    <row r="13" spans="1:14">
      <c r="A13" s="545" t="s">
        <v>865</v>
      </c>
      <c r="B13" s="544" t="s">
        <v>864</v>
      </c>
      <c r="C13" s="543">
        <v>42705</v>
      </c>
      <c r="D13" s="542">
        <v>1834.259</v>
      </c>
    </row>
    <row r="14" spans="1:14">
      <c r="A14" s="545" t="s">
        <v>333</v>
      </c>
      <c r="B14" s="544" t="s">
        <v>332</v>
      </c>
      <c r="C14" s="543">
        <v>42705</v>
      </c>
      <c r="D14" s="542">
        <v>1360.1859999999999</v>
      </c>
    </row>
    <row r="15" spans="1:14" s="529" customFormat="1">
      <c r="A15" s="545" t="s">
        <v>575</v>
      </c>
      <c r="B15" s="544" t="s">
        <v>576</v>
      </c>
      <c r="C15" s="543">
        <v>42705</v>
      </c>
      <c r="D15" s="542">
        <v>250</v>
      </c>
    </row>
    <row r="16" spans="1:14" s="529" customFormat="1">
      <c r="A16" s="545" t="s">
        <v>863</v>
      </c>
      <c r="B16" s="544" t="s">
        <v>862</v>
      </c>
      <c r="C16" s="543">
        <v>42706</v>
      </c>
      <c r="D16" s="542">
        <v>130</v>
      </c>
      <c r="E16" s="525"/>
      <c r="F16" s="525"/>
      <c r="G16" s="525"/>
      <c r="H16" s="525"/>
      <c r="I16" s="525"/>
      <c r="J16" s="525"/>
      <c r="K16" s="525"/>
      <c r="L16" s="525"/>
      <c r="M16" s="525"/>
      <c r="N16" s="525"/>
    </row>
    <row r="17" spans="1:14" s="529" customFormat="1">
      <c r="A17" s="545" t="s">
        <v>201</v>
      </c>
      <c r="B17" s="544" t="s">
        <v>200</v>
      </c>
      <c r="C17" s="543">
        <v>42706</v>
      </c>
      <c r="D17" s="542">
        <v>750</v>
      </c>
      <c r="E17" s="525"/>
      <c r="F17" s="525"/>
      <c r="G17" s="525"/>
      <c r="H17" s="525"/>
      <c r="I17" s="525"/>
      <c r="J17" s="525"/>
      <c r="K17" s="525"/>
      <c r="L17" s="525"/>
      <c r="M17" s="525"/>
      <c r="N17" s="525"/>
    </row>
    <row r="18" spans="1:14">
      <c r="A18" s="545" t="s">
        <v>452</v>
      </c>
      <c r="B18" s="544" t="s">
        <v>451</v>
      </c>
      <c r="C18" s="543">
        <v>42706</v>
      </c>
      <c r="D18" s="542">
        <v>5625.0060000000003</v>
      </c>
    </row>
    <row r="19" spans="1:14">
      <c r="A19" s="545" t="s">
        <v>861</v>
      </c>
      <c r="B19" s="544" t="s">
        <v>860</v>
      </c>
      <c r="C19" s="543">
        <v>42707</v>
      </c>
      <c r="D19" s="542">
        <v>300</v>
      </c>
    </row>
    <row r="20" spans="1:14">
      <c r="A20" s="545" t="s">
        <v>528</v>
      </c>
      <c r="B20" s="544" t="s">
        <v>529</v>
      </c>
      <c r="C20" s="543">
        <v>42707</v>
      </c>
      <c r="D20" s="542">
        <v>243.084</v>
      </c>
    </row>
    <row r="21" spans="1:14">
      <c r="A21" s="545" t="s">
        <v>364</v>
      </c>
      <c r="B21" s="544" t="s">
        <v>363</v>
      </c>
      <c r="C21" s="543">
        <v>42707</v>
      </c>
      <c r="D21" s="542">
        <v>1235.953</v>
      </c>
    </row>
    <row r="22" spans="1:14">
      <c r="A22" s="545" t="s">
        <v>402</v>
      </c>
      <c r="B22" s="544" t="s">
        <v>401</v>
      </c>
      <c r="C22" s="543">
        <v>42707</v>
      </c>
      <c r="D22" s="542">
        <v>1219.7909999999999</v>
      </c>
    </row>
    <row r="23" spans="1:14">
      <c r="A23" s="545" t="s">
        <v>394</v>
      </c>
      <c r="B23" s="544" t="s">
        <v>393</v>
      </c>
      <c r="C23" s="543">
        <v>42707</v>
      </c>
      <c r="D23" s="542">
        <v>531.625</v>
      </c>
    </row>
    <row r="24" spans="1:14">
      <c r="A24" s="545" t="s">
        <v>514</v>
      </c>
      <c r="B24" s="544" t="s">
        <v>513</v>
      </c>
      <c r="C24" s="543">
        <v>42707</v>
      </c>
      <c r="D24" s="542">
        <v>3615.6790000000001</v>
      </c>
    </row>
    <row r="25" spans="1:14">
      <c r="A25" s="545" t="s">
        <v>723</v>
      </c>
      <c r="B25" s="544" t="s">
        <v>724</v>
      </c>
      <c r="C25" s="543">
        <v>42707</v>
      </c>
      <c r="D25" s="542">
        <v>280</v>
      </c>
    </row>
    <row r="26" spans="1:14">
      <c r="A26" s="545" t="s">
        <v>464</v>
      </c>
      <c r="B26" s="544" t="s">
        <v>463</v>
      </c>
      <c r="C26" s="543">
        <v>42707</v>
      </c>
      <c r="D26" s="542">
        <v>1100</v>
      </c>
    </row>
    <row r="27" spans="1:14">
      <c r="A27" s="545" t="s">
        <v>265</v>
      </c>
      <c r="B27" s="544" t="s">
        <v>264</v>
      </c>
      <c r="C27" s="543">
        <v>42708</v>
      </c>
      <c r="D27" s="542">
        <v>529.10400000000004</v>
      </c>
    </row>
    <row r="28" spans="1:14">
      <c r="A28" s="545" t="s">
        <v>607</v>
      </c>
      <c r="B28" s="544" t="s">
        <v>608</v>
      </c>
      <c r="C28" s="543">
        <v>42709</v>
      </c>
      <c r="D28" s="542">
        <v>180</v>
      </c>
    </row>
    <row r="29" spans="1:14">
      <c r="A29" s="545" t="s">
        <v>362</v>
      </c>
      <c r="B29" s="544" t="s">
        <v>361</v>
      </c>
      <c r="C29" s="543">
        <v>42709</v>
      </c>
      <c r="D29" s="542">
        <v>1080.8</v>
      </c>
    </row>
    <row r="30" spans="1:14">
      <c r="A30" s="545" t="s">
        <v>174</v>
      </c>
      <c r="B30" s="544" t="s">
        <v>173</v>
      </c>
      <c r="C30" s="543">
        <v>42709</v>
      </c>
      <c r="D30" s="542">
        <v>688.64300000000003</v>
      </c>
    </row>
    <row r="31" spans="1:14">
      <c r="A31" s="545" t="s">
        <v>215</v>
      </c>
      <c r="B31" s="544" t="s">
        <v>214</v>
      </c>
      <c r="C31" s="543">
        <v>42709</v>
      </c>
      <c r="D31" s="542">
        <v>352.38200000000001</v>
      </c>
    </row>
    <row r="32" spans="1:14">
      <c r="A32" s="545" t="s">
        <v>496</v>
      </c>
      <c r="B32" s="544" t="s">
        <v>495</v>
      </c>
      <c r="C32" s="543">
        <v>42709</v>
      </c>
      <c r="D32" s="542">
        <v>670.20899999999995</v>
      </c>
    </row>
    <row r="33" spans="1:4">
      <c r="A33" s="545" t="s">
        <v>550</v>
      </c>
      <c r="B33" s="544" t="s">
        <v>551</v>
      </c>
      <c r="C33" s="543">
        <v>42709</v>
      </c>
      <c r="D33" s="542">
        <v>3000</v>
      </c>
    </row>
    <row r="34" spans="1:4">
      <c r="A34" s="545" t="s">
        <v>162</v>
      </c>
      <c r="B34" s="544" t="s">
        <v>161</v>
      </c>
      <c r="C34" s="543">
        <v>42709</v>
      </c>
      <c r="D34" s="542">
        <v>1583.463</v>
      </c>
    </row>
    <row r="35" spans="1:4">
      <c r="A35" s="545" t="s">
        <v>640</v>
      </c>
      <c r="B35" s="544" t="s">
        <v>641</v>
      </c>
      <c r="C35" s="543">
        <v>42709</v>
      </c>
      <c r="D35" s="542">
        <v>800</v>
      </c>
    </row>
    <row r="36" spans="1:4">
      <c r="A36" s="545" t="s">
        <v>283</v>
      </c>
      <c r="B36" s="544" t="s">
        <v>282</v>
      </c>
      <c r="C36" s="543">
        <v>42709</v>
      </c>
      <c r="D36" s="542">
        <v>2302.9450000000002</v>
      </c>
    </row>
    <row r="37" spans="1:4">
      <c r="A37" s="545" t="s">
        <v>172</v>
      </c>
      <c r="B37" s="544" t="s">
        <v>171</v>
      </c>
      <c r="C37" s="543">
        <v>42709</v>
      </c>
      <c r="D37" s="542">
        <v>3735.8960000000002</v>
      </c>
    </row>
    <row r="38" spans="1:4">
      <c r="A38" s="545" t="s">
        <v>323</v>
      </c>
      <c r="B38" s="544" t="s">
        <v>322</v>
      </c>
      <c r="C38" s="543">
        <v>42709</v>
      </c>
      <c r="D38" s="542">
        <v>1924.7560000000001</v>
      </c>
    </row>
    <row r="39" spans="1:4">
      <c r="A39" s="545" t="s">
        <v>394</v>
      </c>
      <c r="B39" s="544" t="s">
        <v>393</v>
      </c>
      <c r="C39" s="543">
        <v>42709</v>
      </c>
      <c r="D39" s="542">
        <v>570</v>
      </c>
    </row>
    <row r="40" spans="1:4">
      <c r="A40" s="545" t="s">
        <v>207</v>
      </c>
      <c r="B40" s="544" t="s">
        <v>206</v>
      </c>
      <c r="C40" s="543">
        <v>42709</v>
      </c>
      <c r="D40" s="542">
        <v>2300</v>
      </c>
    </row>
    <row r="41" spans="1:4">
      <c r="A41" s="545" t="s">
        <v>428</v>
      </c>
      <c r="B41" s="544" t="s">
        <v>427</v>
      </c>
      <c r="C41" s="543">
        <v>42709</v>
      </c>
      <c r="D41" s="542">
        <v>1088.8320000000001</v>
      </c>
    </row>
    <row r="42" spans="1:4">
      <c r="A42" s="545" t="s">
        <v>279</v>
      </c>
      <c r="B42" s="544" t="s">
        <v>278</v>
      </c>
      <c r="C42" s="543">
        <v>42709</v>
      </c>
      <c r="D42" s="542">
        <v>1148.0730000000001</v>
      </c>
    </row>
    <row r="43" spans="1:4">
      <c r="A43" s="545" t="s">
        <v>859</v>
      </c>
      <c r="B43" s="544" t="s">
        <v>858</v>
      </c>
      <c r="C43" s="543">
        <v>42709</v>
      </c>
      <c r="D43" s="542">
        <v>260</v>
      </c>
    </row>
    <row r="44" spans="1:4">
      <c r="A44" s="545" t="s">
        <v>480</v>
      </c>
      <c r="B44" s="544" t="s">
        <v>479</v>
      </c>
      <c r="C44" s="543">
        <v>42709</v>
      </c>
      <c r="D44" s="542">
        <v>300</v>
      </c>
    </row>
    <row r="45" spans="1:4">
      <c r="A45" s="545" t="s">
        <v>735</v>
      </c>
      <c r="B45" s="544" t="s">
        <v>736</v>
      </c>
      <c r="C45" s="543">
        <v>42709</v>
      </c>
      <c r="D45" s="542">
        <v>362.58300000000003</v>
      </c>
    </row>
    <row r="46" spans="1:4">
      <c r="A46" s="545" t="s">
        <v>648</v>
      </c>
      <c r="B46" s="544" t="s">
        <v>649</v>
      </c>
      <c r="C46" s="543">
        <v>42709</v>
      </c>
      <c r="D46" s="542">
        <v>2400</v>
      </c>
    </row>
    <row r="47" spans="1:4">
      <c r="A47" s="545" t="s">
        <v>291</v>
      </c>
      <c r="B47" s="544" t="s">
        <v>290</v>
      </c>
      <c r="C47" s="543">
        <v>42709</v>
      </c>
      <c r="D47" s="542">
        <v>2083.0830000000001</v>
      </c>
    </row>
    <row r="48" spans="1:4">
      <c r="A48" s="545" t="s">
        <v>727</v>
      </c>
      <c r="B48" s="544" t="s">
        <v>728</v>
      </c>
      <c r="C48" s="543">
        <v>42709</v>
      </c>
      <c r="D48" s="542">
        <v>4195.0860000000002</v>
      </c>
    </row>
    <row r="49" spans="1:4">
      <c r="A49" s="545" t="s">
        <v>466</v>
      </c>
      <c r="B49" s="544" t="s">
        <v>465</v>
      </c>
      <c r="C49" s="543">
        <v>42709</v>
      </c>
      <c r="D49" s="542">
        <v>3328.63</v>
      </c>
    </row>
    <row r="50" spans="1:4">
      <c r="A50" s="545" t="s">
        <v>470</v>
      </c>
      <c r="B50" s="544" t="s">
        <v>469</v>
      </c>
      <c r="C50" s="543">
        <v>42709</v>
      </c>
      <c r="D50" s="542">
        <v>1170.069</v>
      </c>
    </row>
    <row r="51" spans="1:4">
      <c r="A51" s="545" t="s">
        <v>476</v>
      </c>
      <c r="B51" s="544" t="s">
        <v>475</v>
      </c>
      <c r="C51" s="543">
        <v>42709</v>
      </c>
      <c r="D51" s="542">
        <v>746.173</v>
      </c>
    </row>
    <row r="52" spans="1:4">
      <c r="A52" s="545" t="s">
        <v>221</v>
      </c>
      <c r="B52" s="544" t="s">
        <v>220</v>
      </c>
      <c r="C52" s="543">
        <v>42709</v>
      </c>
      <c r="D52" s="542">
        <v>1517.655</v>
      </c>
    </row>
    <row r="53" spans="1:4">
      <c r="A53" s="545" t="s">
        <v>502</v>
      </c>
      <c r="B53" s="544" t="s">
        <v>501</v>
      </c>
      <c r="C53" s="543">
        <v>42710</v>
      </c>
      <c r="D53" s="542">
        <v>3255.7260000000001</v>
      </c>
    </row>
    <row r="54" spans="1:4">
      <c r="A54" s="545" t="s">
        <v>201</v>
      </c>
      <c r="B54" s="544" t="s">
        <v>200</v>
      </c>
      <c r="C54" s="543">
        <v>42710</v>
      </c>
      <c r="D54" s="542">
        <v>1464.03</v>
      </c>
    </row>
    <row r="55" spans="1:4">
      <c r="A55" s="545" t="s">
        <v>490</v>
      </c>
      <c r="B55" s="544" t="s">
        <v>489</v>
      </c>
      <c r="C55" s="543">
        <v>42710</v>
      </c>
      <c r="D55" s="542">
        <v>4000</v>
      </c>
    </row>
    <row r="56" spans="1:4">
      <c r="A56" s="545" t="s">
        <v>327</v>
      </c>
      <c r="B56" s="544" t="s">
        <v>326</v>
      </c>
      <c r="C56" s="543">
        <v>42710</v>
      </c>
      <c r="D56" s="542">
        <v>2993.9270000000001</v>
      </c>
    </row>
    <row r="57" spans="1:4">
      <c r="A57" s="545" t="s">
        <v>857</v>
      </c>
      <c r="B57" s="544" t="s">
        <v>856</v>
      </c>
      <c r="C57" s="543">
        <v>42711</v>
      </c>
      <c r="D57" s="542">
        <v>2686.7730000000001</v>
      </c>
    </row>
    <row r="58" spans="1:4">
      <c r="A58" s="545" t="s">
        <v>211</v>
      </c>
      <c r="B58" s="544" t="s">
        <v>210</v>
      </c>
      <c r="C58" s="543">
        <v>42711</v>
      </c>
      <c r="D58" s="542">
        <v>6443.5720000000001</v>
      </c>
    </row>
    <row r="59" spans="1:4">
      <c r="A59" s="545" t="s">
        <v>179</v>
      </c>
      <c r="B59" s="544" t="s">
        <v>178</v>
      </c>
      <c r="C59" s="543">
        <v>42711</v>
      </c>
      <c r="D59" s="542">
        <v>3500</v>
      </c>
    </row>
    <row r="60" spans="1:4">
      <c r="A60" s="545" t="s">
        <v>241</v>
      </c>
      <c r="B60" s="544" t="s">
        <v>240</v>
      </c>
      <c r="C60" s="543">
        <v>42711</v>
      </c>
      <c r="D60" s="542">
        <v>500</v>
      </c>
    </row>
    <row r="61" spans="1:4">
      <c r="A61" s="545" t="s">
        <v>197</v>
      </c>
      <c r="B61" s="544" t="s">
        <v>196</v>
      </c>
      <c r="C61" s="543">
        <v>42712</v>
      </c>
      <c r="D61" s="542">
        <v>2733.0419999999999</v>
      </c>
    </row>
    <row r="62" spans="1:4">
      <c r="A62" s="545" t="s">
        <v>557</v>
      </c>
      <c r="B62" s="544" t="s">
        <v>556</v>
      </c>
      <c r="C62" s="543">
        <v>42712</v>
      </c>
      <c r="D62" s="542">
        <v>1000</v>
      </c>
    </row>
    <row r="63" spans="1:4">
      <c r="A63" s="545" t="s">
        <v>170</v>
      </c>
      <c r="B63" s="544" t="s">
        <v>169</v>
      </c>
      <c r="C63" s="543">
        <v>42712</v>
      </c>
      <c r="D63" s="542">
        <v>1339.902</v>
      </c>
    </row>
    <row r="64" spans="1:4">
      <c r="A64" s="545" t="s">
        <v>195</v>
      </c>
      <c r="B64" s="544" t="s">
        <v>194</v>
      </c>
      <c r="C64" s="543">
        <v>42712</v>
      </c>
      <c r="D64" s="542">
        <v>2000</v>
      </c>
    </row>
    <row r="65" spans="1:14">
      <c r="A65" s="537" t="s">
        <v>717</v>
      </c>
      <c r="B65" s="536" t="s">
        <v>718</v>
      </c>
      <c r="C65" s="535">
        <v>42712</v>
      </c>
      <c r="D65" s="534">
        <v>2000</v>
      </c>
    </row>
    <row r="66" spans="1:14">
      <c r="A66" s="545" t="s">
        <v>201</v>
      </c>
      <c r="B66" s="544" t="s">
        <v>200</v>
      </c>
      <c r="C66" s="543">
        <v>42713</v>
      </c>
      <c r="D66" s="542">
        <v>750</v>
      </c>
    </row>
    <row r="67" spans="1:14">
      <c r="A67" s="545" t="s">
        <v>585</v>
      </c>
      <c r="B67" s="544" t="s">
        <v>586</v>
      </c>
      <c r="C67" s="543">
        <v>42713</v>
      </c>
      <c r="D67" s="542">
        <v>1473</v>
      </c>
      <c r="E67" s="529"/>
      <c r="F67" s="529"/>
      <c r="G67" s="529"/>
      <c r="H67" s="529"/>
      <c r="I67" s="529"/>
      <c r="J67" s="529"/>
      <c r="K67" s="529"/>
      <c r="L67" s="529"/>
      <c r="M67" s="529"/>
      <c r="N67" s="529"/>
    </row>
    <row r="68" spans="1:14">
      <c r="A68" s="545" t="s">
        <v>825</v>
      </c>
      <c r="B68" s="544" t="s">
        <v>824</v>
      </c>
      <c r="C68" s="543">
        <v>42714</v>
      </c>
      <c r="D68" s="542">
        <v>464.92200000000003</v>
      </c>
    </row>
    <row r="69" spans="1:14">
      <c r="A69" s="545" t="s">
        <v>803</v>
      </c>
      <c r="B69" s="544" t="s">
        <v>802</v>
      </c>
      <c r="C69" s="543">
        <v>42714</v>
      </c>
      <c r="D69" s="542">
        <v>780</v>
      </c>
    </row>
    <row r="70" spans="1:14">
      <c r="A70" s="545" t="s">
        <v>617</v>
      </c>
      <c r="B70" s="544" t="s">
        <v>618</v>
      </c>
      <c r="C70" s="543">
        <v>42714</v>
      </c>
      <c r="D70" s="542">
        <v>1257.6659999999999</v>
      </c>
    </row>
    <row r="71" spans="1:14">
      <c r="A71" s="545" t="s">
        <v>577</v>
      </c>
      <c r="B71" s="544" t="s">
        <v>578</v>
      </c>
      <c r="C71" s="543">
        <v>42714</v>
      </c>
      <c r="D71" s="542">
        <v>2216.2220000000002</v>
      </c>
    </row>
    <row r="72" spans="1:14">
      <c r="A72" s="545" t="s">
        <v>737</v>
      </c>
      <c r="B72" s="544" t="s">
        <v>738</v>
      </c>
      <c r="C72" s="543">
        <v>42714</v>
      </c>
      <c r="D72" s="542">
        <v>201.149</v>
      </c>
    </row>
    <row r="73" spans="1:14">
      <c r="A73" s="545" t="s">
        <v>251</v>
      </c>
      <c r="B73" s="544" t="s">
        <v>250</v>
      </c>
      <c r="C73" s="543">
        <v>42714</v>
      </c>
      <c r="D73" s="542">
        <v>331.22699999999998</v>
      </c>
    </row>
    <row r="74" spans="1:14">
      <c r="A74" s="545" t="s">
        <v>394</v>
      </c>
      <c r="B74" s="544" t="s">
        <v>393</v>
      </c>
      <c r="C74" s="543">
        <v>42714</v>
      </c>
      <c r="D74" s="542">
        <v>531.625</v>
      </c>
    </row>
    <row r="75" spans="1:14">
      <c r="A75" s="545" t="s">
        <v>519</v>
      </c>
      <c r="B75" s="544" t="s">
        <v>518</v>
      </c>
      <c r="C75" s="543">
        <v>42714</v>
      </c>
      <c r="D75" s="542">
        <v>1308</v>
      </c>
    </row>
    <row r="76" spans="1:14">
      <c r="A76" s="545" t="s">
        <v>350</v>
      </c>
      <c r="B76" s="544" t="s">
        <v>349</v>
      </c>
      <c r="C76" s="543">
        <v>42714</v>
      </c>
      <c r="D76" s="542">
        <v>1641.8620000000001</v>
      </c>
    </row>
    <row r="77" spans="1:14">
      <c r="A77" s="545" t="s">
        <v>432</v>
      </c>
      <c r="B77" s="544" t="s">
        <v>431</v>
      </c>
      <c r="C77" s="543">
        <v>42714</v>
      </c>
      <c r="D77" s="542">
        <v>1806.655</v>
      </c>
    </row>
    <row r="78" spans="1:14">
      <c r="A78" s="545" t="s">
        <v>525</v>
      </c>
      <c r="B78" s="544" t="s">
        <v>524</v>
      </c>
      <c r="C78" s="543">
        <v>42714</v>
      </c>
      <c r="D78" s="542">
        <v>133.00200000000001</v>
      </c>
    </row>
    <row r="79" spans="1:14">
      <c r="A79" s="545" t="s">
        <v>311</v>
      </c>
      <c r="B79" s="544" t="s">
        <v>310</v>
      </c>
      <c r="C79" s="543">
        <v>42714</v>
      </c>
      <c r="D79" s="542">
        <v>2251.2939999999999</v>
      </c>
    </row>
    <row r="80" spans="1:14">
      <c r="A80" s="545" t="s">
        <v>573</v>
      </c>
      <c r="B80" s="544" t="s">
        <v>574</v>
      </c>
      <c r="C80" s="543">
        <v>42714</v>
      </c>
      <c r="D80" s="542">
        <v>500</v>
      </c>
    </row>
    <row r="81" spans="1:14">
      <c r="A81" s="545" t="s">
        <v>315</v>
      </c>
      <c r="B81" s="544" t="s">
        <v>314</v>
      </c>
      <c r="C81" s="543">
        <v>42714</v>
      </c>
      <c r="D81" s="542">
        <v>265.50400000000002</v>
      </c>
    </row>
    <row r="82" spans="1:14">
      <c r="A82" s="545" t="s">
        <v>855</v>
      </c>
      <c r="B82" s="544" t="s">
        <v>854</v>
      </c>
      <c r="C82" s="543">
        <v>42714</v>
      </c>
      <c r="D82" s="542">
        <v>1542.0940000000001</v>
      </c>
    </row>
    <row r="83" spans="1:14">
      <c r="A83" s="545" t="s">
        <v>269</v>
      </c>
      <c r="B83" s="544" t="s">
        <v>268</v>
      </c>
      <c r="C83" s="543">
        <v>42714</v>
      </c>
      <c r="D83" s="542">
        <v>2500</v>
      </c>
    </row>
    <row r="84" spans="1:14">
      <c r="A84" s="545" t="s">
        <v>277</v>
      </c>
      <c r="B84" s="544" t="s">
        <v>276</v>
      </c>
      <c r="C84" s="543">
        <v>42714</v>
      </c>
      <c r="D84" s="542">
        <v>705.44899999999996</v>
      </c>
    </row>
    <row r="85" spans="1:14">
      <c r="A85" s="545" t="s">
        <v>464</v>
      </c>
      <c r="B85" s="544" t="s">
        <v>463</v>
      </c>
      <c r="C85" s="543">
        <v>42714</v>
      </c>
      <c r="D85" s="542">
        <v>1460</v>
      </c>
    </row>
    <row r="86" spans="1:14">
      <c r="A86" s="545" t="s">
        <v>464</v>
      </c>
      <c r="B86" s="544" t="s">
        <v>463</v>
      </c>
      <c r="C86" s="543">
        <v>42714</v>
      </c>
      <c r="D86" s="542">
        <v>1800</v>
      </c>
    </row>
    <row r="87" spans="1:14">
      <c r="A87" s="545" t="s">
        <v>287</v>
      </c>
      <c r="B87" s="544" t="s">
        <v>286</v>
      </c>
      <c r="C87" s="543">
        <v>42714</v>
      </c>
      <c r="D87" s="542">
        <v>1500</v>
      </c>
    </row>
    <row r="88" spans="1:14">
      <c r="A88" s="545" t="s">
        <v>221</v>
      </c>
      <c r="B88" s="544" t="s">
        <v>220</v>
      </c>
      <c r="C88" s="543">
        <v>42714</v>
      </c>
      <c r="D88" s="542">
        <v>1140</v>
      </c>
    </row>
    <row r="89" spans="1:14">
      <c r="A89" s="545" t="s">
        <v>474</v>
      </c>
      <c r="B89" s="544" t="s">
        <v>473</v>
      </c>
      <c r="C89" s="543">
        <v>42714</v>
      </c>
      <c r="D89" s="542">
        <v>3813.6469999999999</v>
      </c>
    </row>
    <row r="90" spans="1:14">
      <c r="A90" s="537" t="s">
        <v>490</v>
      </c>
      <c r="B90" s="536" t="s">
        <v>489</v>
      </c>
      <c r="C90" s="535">
        <v>42714</v>
      </c>
      <c r="D90" s="534">
        <v>2598.886</v>
      </c>
    </row>
    <row r="91" spans="1:14">
      <c r="A91" s="545" t="s">
        <v>585</v>
      </c>
      <c r="B91" s="544" t="s">
        <v>586</v>
      </c>
      <c r="C91" s="543">
        <v>42715</v>
      </c>
      <c r="D91" s="542">
        <v>1275</v>
      </c>
    </row>
    <row r="92" spans="1:14">
      <c r="A92" s="545" t="s">
        <v>265</v>
      </c>
      <c r="B92" s="544" t="s">
        <v>264</v>
      </c>
      <c r="C92" s="543">
        <v>42715</v>
      </c>
      <c r="D92" s="542">
        <v>528</v>
      </c>
      <c r="E92" s="529"/>
      <c r="F92" s="529"/>
      <c r="G92" s="529"/>
      <c r="H92" s="529"/>
      <c r="I92" s="529"/>
      <c r="J92" s="529"/>
      <c r="K92" s="529"/>
      <c r="L92" s="529"/>
      <c r="M92" s="529"/>
      <c r="N92" s="529"/>
    </row>
    <row r="93" spans="1:14">
      <c r="A93" s="545" t="s">
        <v>191</v>
      </c>
      <c r="B93" s="544" t="s">
        <v>190</v>
      </c>
      <c r="C93" s="543">
        <v>42716</v>
      </c>
      <c r="D93" s="542">
        <v>1349.104</v>
      </c>
    </row>
    <row r="94" spans="1:14">
      <c r="A94" s="545" t="s">
        <v>530</v>
      </c>
      <c r="B94" s="544" t="s">
        <v>531</v>
      </c>
      <c r="C94" s="543">
        <v>42716</v>
      </c>
      <c r="D94" s="542">
        <v>1112.345</v>
      </c>
    </row>
    <row r="95" spans="1:14">
      <c r="A95" s="545" t="s">
        <v>189</v>
      </c>
      <c r="B95" s="544" t="s">
        <v>188</v>
      </c>
      <c r="C95" s="543">
        <v>42716</v>
      </c>
      <c r="D95" s="542">
        <v>500</v>
      </c>
    </row>
    <row r="96" spans="1:14">
      <c r="A96" s="545" t="s">
        <v>611</v>
      </c>
      <c r="B96" s="544" t="s">
        <v>612</v>
      </c>
      <c r="C96" s="543">
        <v>42716</v>
      </c>
      <c r="D96" s="542">
        <v>798.05100000000004</v>
      </c>
    </row>
    <row r="97" spans="1:4">
      <c r="A97" s="545" t="s">
        <v>853</v>
      </c>
      <c r="B97" s="544" t="s">
        <v>852</v>
      </c>
      <c r="C97" s="543">
        <v>42716</v>
      </c>
      <c r="D97" s="542">
        <v>878.13099999999997</v>
      </c>
    </row>
    <row r="98" spans="1:4">
      <c r="A98" s="545" t="s">
        <v>327</v>
      </c>
      <c r="B98" s="544" t="s">
        <v>326</v>
      </c>
      <c r="C98" s="543">
        <v>42716</v>
      </c>
      <c r="D98" s="542">
        <v>3000</v>
      </c>
    </row>
    <row r="99" spans="1:4">
      <c r="A99" s="545" t="s">
        <v>217</v>
      </c>
      <c r="B99" s="544" t="s">
        <v>216</v>
      </c>
      <c r="C99" s="543">
        <v>42717</v>
      </c>
      <c r="D99" s="542">
        <v>1731.1849999999999</v>
      </c>
    </row>
    <row r="100" spans="1:4">
      <c r="A100" s="545" t="s">
        <v>370</v>
      </c>
      <c r="B100" s="544" t="s">
        <v>369</v>
      </c>
      <c r="C100" s="543">
        <v>42717</v>
      </c>
      <c r="D100" s="542">
        <v>2736.4119999999998</v>
      </c>
    </row>
    <row r="101" spans="1:4">
      <c r="A101" s="545" t="s">
        <v>719</v>
      </c>
      <c r="B101" s="544" t="s">
        <v>720</v>
      </c>
      <c r="C101" s="543">
        <v>42717</v>
      </c>
      <c r="D101" s="542">
        <v>863.31600000000003</v>
      </c>
    </row>
    <row r="102" spans="1:4">
      <c r="A102" s="545" t="s">
        <v>428</v>
      </c>
      <c r="B102" s="544" t="s">
        <v>427</v>
      </c>
      <c r="C102" s="543">
        <v>42717</v>
      </c>
      <c r="D102" s="542">
        <v>700</v>
      </c>
    </row>
    <row r="103" spans="1:4">
      <c r="A103" s="545" t="s">
        <v>490</v>
      </c>
      <c r="B103" s="544" t="s">
        <v>489</v>
      </c>
      <c r="C103" s="543">
        <v>42717</v>
      </c>
      <c r="D103" s="542">
        <v>4000</v>
      </c>
    </row>
    <row r="104" spans="1:4">
      <c r="A104" s="545" t="s">
        <v>179</v>
      </c>
      <c r="B104" s="544" t="s">
        <v>178</v>
      </c>
      <c r="C104" s="543">
        <v>42717</v>
      </c>
      <c r="D104" s="542">
        <v>3650</v>
      </c>
    </row>
    <row r="105" spans="1:4">
      <c r="A105" s="545" t="s">
        <v>725</v>
      </c>
      <c r="B105" s="544" t="s">
        <v>726</v>
      </c>
      <c r="C105" s="543">
        <v>42718</v>
      </c>
      <c r="D105" s="542">
        <v>1173.077</v>
      </c>
    </row>
    <row r="106" spans="1:4">
      <c r="A106" s="545" t="s">
        <v>241</v>
      </c>
      <c r="B106" s="544" t="s">
        <v>240</v>
      </c>
      <c r="C106" s="543">
        <v>42718</v>
      </c>
      <c r="D106" s="542">
        <v>500</v>
      </c>
    </row>
    <row r="107" spans="1:4">
      <c r="A107" s="545" t="s">
        <v>297</v>
      </c>
      <c r="B107" s="544" t="s">
        <v>296</v>
      </c>
      <c r="C107" s="543">
        <v>42718</v>
      </c>
      <c r="D107" s="542">
        <v>1490.895</v>
      </c>
    </row>
    <row r="108" spans="1:4">
      <c r="A108" s="545" t="s">
        <v>739</v>
      </c>
      <c r="B108" s="544" t="s">
        <v>740</v>
      </c>
      <c r="C108" s="543">
        <v>42719</v>
      </c>
      <c r="D108" s="542">
        <v>1098.712</v>
      </c>
    </row>
    <row r="109" spans="1:4">
      <c r="A109" s="545" t="s">
        <v>456</v>
      </c>
      <c r="B109" s="544" t="s">
        <v>455</v>
      </c>
      <c r="C109" s="543">
        <v>42719</v>
      </c>
      <c r="D109" s="542">
        <v>902.08199999999999</v>
      </c>
    </row>
    <row r="110" spans="1:4">
      <c r="A110" s="545" t="s">
        <v>741</v>
      </c>
      <c r="B110" s="544" t="s">
        <v>742</v>
      </c>
      <c r="C110" s="543">
        <v>42719</v>
      </c>
      <c r="D110" s="542">
        <v>1318.482</v>
      </c>
    </row>
    <row r="111" spans="1:4">
      <c r="A111" s="545" t="s">
        <v>362</v>
      </c>
      <c r="B111" s="544" t="s">
        <v>361</v>
      </c>
      <c r="C111" s="543">
        <v>42719</v>
      </c>
      <c r="D111" s="542">
        <v>1050.3</v>
      </c>
    </row>
    <row r="112" spans="1:4">
      <c r="A112" s="545" t="s">
        <v>197</v>
      </c>
      <c r="B112" s="544" t="s">
        <v>196</v>
      </c>
      <c r="C112" s="543">
        <v>42719</v>
      </c>
      <c r="D112" s="542">
        <v>4000</v>
      </c>
    </row>
    <row r="113" spans="1:4">
      <c r="A113" s="545" t="s">
        <v>502</v>
      </c>
      <c r="B113" s="544" t="s">
        <v>501</v>
      </c>
      <c r="C113" s="543">
        <v>42719</v>
      </c>
      <c r="D113" s="542">
        <v>3000</v>
      </c>
    </row>
    <row r="114" spans="1:4">
      <c r="A114" s="545" t="s">
        <v>219</v>
      </c>
      <c r="B114" s="544" t="s">
        <v>218</v>
      </c>
      <c r="C114" s="543">
        <v>42719</v>
      </c>
      <c r="D114" s="542">
        <v>1048.55</v>
      </c>
    </row>
    <row r="115" spans="1:4">
      <c r="A115" s="545" t="s">
        <v>595</v>
      </c>
      <c r="B115" s="544" t="s">
        <v>596</v>
      </c>
      <c r="C115" s="543">
        <v>42719</v>
      </c>
      <c r="D115" s="542">
        <v>1448.08</v>
      </c>
    </row>
    <row r="116" spans="1:4">
      <c r="A116" s="545" t="s">
        <v>162</v>
      </c>
      <c r="B116" s="544" t="s">
        <v>161</v>
      </c>
      <c r="C116" s="543">
        <v>42719</v>
      </c>
      <c r="D116" s="542">
        <v>1583.463</v>
      </c>
    </row>
    <row r="117" spans="1:4">
      <c r="A117" s="545" t="s">
        <v>257</v>
      </c>
      <c r="B117" s="544" t="s">
        <v>256</v>
      </c>
      <c r="C117" s="543">
        <v>42719</v>
      </c>
      <c r="D117" s="542">
        <v>1000</v>
      </c>
    </row>
    <row r="118" spans="1:4">
      <c r="A118" s="545" t="s">
        <v>633</v>
      </c>
      <c r="B118" s="544" t="s">
        <v>634</v>
      </c>
      <c r="C118" s="543">
        <v>42719</v>
      </c>
      <c r="D118" s="542">
        <v>19711.857</v>
      </c>
    </row>
    <row r="119" spans="1:4">
      <c r="A119" s="545" t="s">
        <v>259</v>
      </c>
      <c r="B119" s="544" t="s">
        <v>258</v>
      </c>
      <c r="C119" s="543">
        <v>42719</v>
      </c>
      <c r="D119" s="542">
        <v>3379.096</v>
      </c>
    </row>
    <row r="120" spans="1:4">
      <c r="A120" s="545" t="s">
        <v>743</v>
      </c>
      <c r="B120" s="544" t="s">
        <v>744</v>
      </c>
      <c r="C120" s="543">
        <v>42719</v>
      </c>
      <c r="D120" s="542">
        <v>2984.1109999999999</v>
      </c>
    </row>
    <row r="121" spans="1:4">
      <c r="A121" s="545" t="s">
        <v>281</v>
      </c>
      <c r="B121" s="544" t="s">
        <v>280</v>
      </c>
      <c r="C121" s="543">
        <v>42719</v>
      </c>
      <c r="D121" s="542">
        <v>1192.77</v>
      </c>
    </row>
    <row r="122" spans="1:4">
      <c r="A122" s="545" t="s">
        <v>229</v>
      </c>
      <c r="B122" s="544" t="s">
        <v>228</v>
      </c>
      <c r="C122" s="543">
        <v>42719</v>
      </c>
      <c r="D122" s="542">
        <v>3000</v>
      </c>
    </row>
    <row r="123" spans="1:4">
      <c r="A123" s="545" t="s">
        <v>205</v>
      </c>
      <c r="B123" s="544" t="s">
        <v>204</v>
      </c>
      <c r="C123" s="543">
        <v>42719</v>
      </c>
      <c r="D123" s="542">
        <v>813.58900000000006</v>
      </c>
    </row>
    <row r="124" spans="1:4">
      <c r="A124" s="545" t="s">
        <v>486</v>
      </c>
      <c r="B124" s="544" t="s">
        <v>485</v>
      </c>
      <c r="C124" s="543">
        <v>42719</v>
      </c>
      <c r="D124" s="542">
        <v>585.74</v>
      </c>
    </row>
    <row r="125" spans="1:4">
      <c r="A125" s="545" t="s">
        <v>484</v>
      </c>
      <c r="B125" s="544" t="s">
        <v>483</v>
      </c>
      <c r="C125" s="543">
        <v>42719</v>
      </c>
      <c r="D125" s="542">
        <v>618.53700000000003</v>
      </c>
    </row>
    <row r="126" spans="1:4">
      <c r="A126" s="545" t="s">
        <v>480</v>
      </c>
      <c r="B126" s="544" t="s">
        <v>479</v>
      </c>
      <c r="C126" s="543">
        <v>42719</v>
      </c>
      <c r="D126" s="542">
        <v>600</v>
      </c>
    </row>
    <row r="127" spans="1:4">
      <c r="A127" s="545" t="s">
        <v>546</v>
      </c>
      <c r="B127" s="544" t="s">
        <v>547</v>
      </c>
      <c r="C127" s="543">
        <v>42719</v>
      </c>
      <c r="D127" s="542">
        <v>1600</v>
      </c>
    </row>
    <row r="128" spans="1:4">
      <c r="A128" s="545" t="s">
        <v>650</v>
      </c>
      <c r="B128" s="544" t="s">
        <v>651</v>
      </c>
      <c r="C128" s="543">
        <v>42719</v>
      </c>
      <c r="D128" s="542">
        <v>4034.9639999999999</v>
      </c>
    </row>
    <row r="129" spans="1:4">
      <c r="A129" s="545" t="s">
        <v>168</v>
      </c>
      <c r="B129" s="544" t="s">
        <v>167</v>
      </c>
      <c r="C129" s="543">
        <v>42719</v>
      </c>
      <c r="D129" s="542">
        <v>9163.0859999999993</v>
      </c>
    </row>
    <row r="130" spans="1:4">
      <c r="A130" s="545" t="s">
        <v>670</v>
      </c>
      <c r="B130" s="544" t="s">
        <v>671</v>
      </c>
      <c r="C130" s="543">
        <v>42719</v>
      </c>
      <c r="D130" s="542">
        <v>1148.182</v>
      </c>
    </row>
    <row r="131" spans="1:4">
      <c r="A131" s="545" t="s">
        <v>301</v>
      </c>
      <c r="B131" s="544" t="s">
        <v>300</v>
      </c>
      <c r="C131" s="543">
        <v>42719</v>
      </c>
      <c r="D131" s="542">
        <v>1922.84</v>
      </c>
    </row>
    <row r="132" spans="1:4">
      <c r="A132" s="545" t="s">
        <v>575</v>
      </c>
      <c r="B132" s="544" t="s">
        <v>576</v>
      </c>
      <c r="C132" s="543">
        <v>42719</v>
      </c>
      <c r="D132" s="542">
        <v>550</v>
      </c>
    </row>
    <row r="133" spans="1:4">
      <c r="A133" s="545" t="s">
        <v>575</v>
      </c>
      <c r="B133" s="544" t="s">
        <v>576</v>
      </c>
      <c r="C133" s="543">
        <v>42719</v>
      </c>
      <c r="D133" s="542">
        <v>350</v>
      </c>
    </row>
    <row r="134" spans="1:4">
      <c r="A134" s="545" t="s">
        <v>285</v>
      </c>
      <c r="B134" s="544" t="s">
        <v>284</v>
      </c>
      <c r="C134" s="543">
        <v>42719</v>
      </c>
      <c r="D134" s="542">
        <v>15685.916999999999</v>
      </c>
    </row>
    <row r="135" spans="1:4">
      <c r="A135" s="545" t="s">
        <v>615</v>
      </c>
      <c r="B135" s="544" t="s">
        <v>616</v>
      </c>
      <c r="C135" s="543">
        <v>42719</v>
      </c>
      <c r="D135" s="542">
        <v>546.70000000000005</v>
      </c>
    </row>
    <row r="136" spans="1:4">
      <c r="A136" s="545" t="s">
        <v>346</v>
      </c>
      <c r="B136" s="544" t="s">
        <v>637</v>
      </c>
      <c r="C136" s="543">
        <v>42719</v>
      </c>
      <c r="D136" s="542">
        <v>1631.8920000000001</v>
      </c>
    </row>
    <row r="137" spans="1:4">
      <c r="A137" s="545" t="s">
        <v>269</v>
      </c>
      <c r="B137" s="544" t="s">
        <v>268</v>
      </c>
      <c r="C137" s="543">
        <v>42719</v>
      </c>
      <c r="D137" s="542">
        <v>1500</v>
      </c>
    </row>
    <row r="138" spans="1:4">
      <c r="A138" s="545" t="s">
        <v>638</v>
      </c>
      <c r="B138" s="544" t="s">
        <v>639</v>
      </c>
      <c r="C138" s="543">
        <v>42719</v>
      </c>
      <c r="D138" s="542">
        <v>454.52100000000002</v>
      </c>
    </row>
    <row r="139" spans="1:4">
      <c r="A139" s="545" t="s">
        <v>426</v>
      </c>
      <c r="B139" s="544" t="s">
        <v>425</v>
      </c>
      <c r="C139" s="543">
        <v>42719</v>
      </c>
      <c r="D139" s="542">
        <v>1166.8330000000001</v>
      </c>
    </row>
    <row r="140" spans="1:4">
      <c r="A140" s="545" t="s">
        <v>271</v>
      </c>
      <c r="B140" s="544" t="s">
        <v>270</v>
      </c>
      <c r="C140" s="543">
        <v>42719</v>
      </c>
      <c r="D140" s="542">
        <v>615</v>
      </c>
    </row>
    <row r="141" spans="1:4">
      <c r="A141" s="545" t="s">
        <v>476</v>
      </c>
      <c r="B141" s="544" t="s">
        <v>475</v>
      </c>
      <c r="C141" s="543">
        <v>42719</v>
      </c>
      <c r="D141" s="542">
        <v>746.173</v>
      </c>
    </row>
    <row r="142" spans="1:4">
      <c r="A142" s="545" t="s">
        <v>287</v>
      </c>
      <c r="B142" s="544" t="s">
        <v>286</v>
      </c>
      <c r="C142" s="543">
        <v>42719</v>
      </c>
      <c r="D142" s="542">
        <v>1184.4549999999999</v>
      </c>
    </row>
    <row r="143" spans="1:4">
      <c r="A143" s="545" t="s">
        <v>179</v>
      </c>
      <c r="B143" s="544" t="s">
        <v>178</v>
      </c>
      <c r="C143" s="543">
        <v>42719</v>
      </c>
      <c r="D143" s="542">
        <v>3500</v>
      </c>
    </row>
    <row r="144" spans="1:4">
      <c r="A144" s="545" t="s">
        <v>851</v>
      </c>
      <c r="B144" s="544" t="s">
        <v>850</v>
      </c>
      <c r="C144" s="543">
        <v>42719</v>
      </c>
      <c r="D144" s="542">
        <v>1411.951</v>
      </c>
    </row>
    <row r="145" spans="1:14">
      <c r="A145" s="537" t="s">
        <v>358</v>
      </c>
      <c r="B145" s="536" t="s">
        <v>357</v>
      </c>
      <c r="C145" s="535">
        <v>42719</v>
      </c>
      <c r="D145" s="534">
        <v>900</v>
      </c>
    </row>
    <row r="146" spans="1:14">
      <c r="A146" s="545" t="s">
        <v>557</v>
      </c>
      <c r="B146" s="544" t="s">
        <v>556</v>
      </c>
      <c r="C146" s="543">
        <v>42720</v>
      </c>
      <c r="D146" s="542">
        <v>1000</v>
      </c>
    </row>
    <row r="147" spans="1:14">
      <c r="A147" s="545" t="s">
        <v>207</v>
      </c>
      <c r="B147" s="544" t="s">
        <v>206</v>
      </c>
      <c r="C147" s="543">
        <v>42720</v>
      </c>
      <c r="D147" s="542">
        <v>2219.8020000000001</v>
      </c>
      <c r="E147" s="529"/>
      <c r="F147" s="529"/>
      <c r="G147" s="529"/>
      <c r="H147" s="529"/>
      <c r="I147" s="529"/>
      <c r="J147" s="529"/>
      <c r="K147" s="529"/>
      <c r="L147" s="529"/>
      <c r="M147" s="529"/>
      <c r="N147" s="529"/>
    </row>
    <row r="148" spans="1:14">
      <c r="A148" s="545" t="s">
        <v>721</v>
      </c>
      <c r="B148" s="544" t="s">
        <v>722</v>
      </c>
      <c r="C148" s="543">
        <v>42720</v>
      </c>
      <c r="D148" s="542">
        <v>515.26300000000003</v>
      </c>
    </row>
    <row r="149" spans="1:14">
      <c r="A149" s="545" t="s">
        <v>723</v>
      </c>
      <c r="B149" s="544" t="s">
        <v>724</v>
      </c>
      <c r="C149" s="543">
        <v>42720</v>
      </c>
      <c r="D149" s="542">
        <v>280</v>
      </c>
    </row>
    <row r="150" spans="1:14">
      <c r="A150" s="545" t="s">
        <v>579</v>
      </c>
      <c r="B150" s="544" t="s">
        <v>580</v>
      </c>
      <c r="C150" s="543">
        <v>42720</v>
      </c>
      <c r="D150" s="542">
        <v>1943.854</v>
      </c>
    </row>
    <row r="151" spans="1:14">
      <c r="A151" s="545" t="s">
        <v>585</v>
      </c>
      <c r="B151" s="544" t="s">
        <v>586</v>
      </c>
      <c r="C151" s="543">
        <v>42720</v>
      </c>
      <c r="D151" s="542">
        <v>2621</v>
      </c>
    </row>
    <row r="152" spans="1:14">
      <c r="A152" s="545" t="s">
        <v>581</v>
      </c>
      <c r="B152" s="544" t="s">
        <v>582</v>
      </c>
      <c r="C152" s="543">
        <v>42721</v>
      </c>
      <c r="D152" s="542">
        <v>1538.5619999999999</v>
      </c>
    </row>
    <row r="153" spans="1:14">
      <c r="A153" s="545" t="s">
        <v>201</v>
      </c>
      <c r="B153" s="544" t="s">
        <v>200</v>
      </c>
      <c r="C153" s="543">
        <v>42721</v>
      </c>
      <c r="D153" s="542">
        <v>750</v>
      </c>
    </row>
    <row r="154" spans="1:14">
      <c r="A154" s="545" t="s">
        <v>408</v>
      </c>
      <c r="B154" s="544" t="s">
        <v>407</v>
      </c>
      <c r="C154" s="543">
        <v>42721</v>
      </c>
      <c r="D154" s="542">
        <v>251.60499999999999</v>
      </c>
    </row>
    <row r="155" spans="1:14">
      <c r="A155" s="545" t="s">
        <v>394</v>
      </c>
      <c r="B155" s="544" t="s">
        <v>393</v>
      </c>
      <c r="C155" s="543">
        <v>42721</v>
      </c>
      <c r="D155" s="542">
        <v>531.625</v>
      </c>
    </row>
    <row r="156" spans="1:14">
      <c r="A156" s="545" t="s">
        <v>187</v>
      </c>
      <c r="B156" s="544" t="s">
        <v>186</v>
      </c>
      <c r="C156" s="543">
        <v>42721</v>
      </c>
      <c r="D156" s="542">
        <v>778.16700000000003</v>
      </c>
    </row>
    <row r="157" spans="1:14">
      <c r="A157" s="545" t="s">
        <v>243</v>
      </c>
      <c r="B157" s="544" t="s">
        <v>242</v>
      </c>
      <c r="C157" s="543">
        <v>42721</v>
      </c>
      <c r="D157" s="542">
        <v>2378.8629999999998</v>
      </c>
    </row>
    <row r="158" spans="1:14">
      <c r="A158" s="545" t="s">
        <v>265</v>
      </c>
      <c r="B158" s="544" t="s">
        <v>264</v>
      </c>
      <c r="C158" s="543">
        <v>42721</v>
      </c>
      <c r="D158" s="542">
        <v>520</v>
      </c>
    </row>
    <row r="159" spans="1:14">
      <c r="A159" s="537" t="s">
        <v>408</v>
      </c>
      <c r="B159" s="536" t="s">
        <v>407</v>
      </c>
      <c r="C159" s="535">
        <v>42721</v>
      </c>
      <c r="D159" s="534">
        <v>251.60499999999999</v>
      </c>
    </row>
    <row r="160" spans="1:14">
      <c r="A160" s="545" t="s">
        <v>170</v>
      </c>
      <c r="B160" s="544" t="s">
        <v>169</v>
      </c>
      <c r="C160" s="543">
        <v>42722</v>
      </c>
      <c r="D160" s="542">
        <v>950</v>
      </c>
    </row>
    <row r="161" spans="1:14">
      <c r="A161" s="545" t="s">
        <v>309</v>
      </c>
      <c r="B161" s="544" t="s">
        <v>308</v>
      </c>
      <c r="C161" s="543">
        <v>42722</v>
      </c>
      <c r="D161" s="542">
        <v>2660.9250000000002</v>
      </c>
      <c r="E161" s="529"/>
      <c r="F161" s="529"/>
      <c r="G161" s="529"/>
      <c r="H161" s="529"/>
      <c r="I161" s="529"/>
      <c r="J161" s="529"/>
      <c r="K161" s="529"/>
      <c r="L161" s="529"/>
      <c r="M161" s="529"/>
      <c r="N161" s="529"/>
    </row>
    <row r="162" spans="1:14">
      <c r="A162" s="545" t="s">
        <v>458</v>
      </c>
      <c r="B162" s="544" t="s">
        <v>457</v>
      </c>
      <c r="C162" s="543">
        <v>42723</v>
      </c>
      <c r="D162" s="542">
        <v>817.70899999999995</v>
      </c>
    </row>
    <row r="163" spans="1:14">
      <c r="A163" s="545" t="s">
        <v>611</v>
      </c>
      <c r="B163" s="544" t="s">
        <v>612</v>
      </c>
      <c r="C163" s="543">
        <v>42723</v>
      </c>
      <c r="D163" s="542">
        <v>800</v>
      </c>
    </row>
    <row r="164" spans="1:14">
      <c r="A164" s="545" t="s">
        <v>510</v>
      </c>
      <c r="B164" s="544" t="s">
        <v>509</v>
      </c>
      <c r="C164" s="543">
        <v>42723</v>
      </c>
      <c r="D164" s="542">
        <v>1611.021</v>
      </c>
    </row>
    <row r="165" spans="1:14">
      <c r="A165" s="545" t="s">
        <v>583</v>
      </c>
      <c r="B165" s="544" t="s">
        <v>584</v>
      </c>
      <c r="C165" s="543">
        <v>42724</v>
      </c>
      <c r="D165" s="542">
        <v>1253.2180000000001</v>
      </c>
    </row>
    <row r="166" spans="1:14">
      <c r="A166" s="545" t="s">
        <v>745</v>
      </c>
      <c r="B166" s="544" t="s">
        <v>746</v>
      </c>
      <c r="C166" s="543">
        <v>42724</v>
      </c>
      <c r="D166" s="542">
        <v>283.88900000000001</v>
      </c>
    </row>
    <row r="167" spans="1:14">
      <c r="A167" s="545" t="s">
        <v>803</v>
      </c>
      <c r="B167" s="544" t="s">
        <v>802</v>
      </c>
      <c r="C167" s="543">
        <v>42724</v>
      </c>
      <c r="D167" s="542">
        <v>780</v>
      </c>
    </row>
    <row r="168" spans="1:14">
      <c r="A168" s="545" t="s">
        <v>617</v>
      </c>
      <c r="B168" s="544" t="s">
        <v>618</v>
      </c>
      <c r="C168" s="543">
        <v>42724</v>
      </c>
      <c r="D168" s="542">
        <v>1257.6659999999999</v>
      </c>
    </row>
    <row r="169" spans="1:14">
      <c r="A169" s="545" t="s">
        <v>607</v>
      </c>
      <c r="B169" s="544" t="s">
        <v>608</v>
      </c>
      <c r="C169" s="543">
        <v>42724</v>
      </c>
      <c r="D169" s="542">
        <v>1000</v>
      </c>
    </row>
    <row r="170" spans="1:14">
      <c r="A170" s="545" t="s">
        <v>174</v>
      </c>
      <c r="B170" s="544" t="s">
        <v>173</v>
      </c>
      <c r="C170" s="543">
        <v>42724</v>
      </c>
      <c r="D170" s="542">
        <v>693.64300000000003</v>
      </c>
    </row>
    <row r="171" spans="1:14">
      <c r="A171" s="545" t="s">
        <v>255</v>
      </c>
      <c r="B171" s="544" t="s">
        <v>254</v>
      </c>
      <c r="C171" s="543">
        <v>42724</v>
      </c>
      <c r="D171" s="542">
        <v>2300</v>
      </c>
    </row>
    <row r="172" spans="1:14">
      <c r="A172" s="545" t="s">
        <v>550</v>
      </c>
      <c r="B172" s="544" t="s">
        <v>551</v>
      </c>
      <c r="C172" s="543">
        <v>42724</v>
      </c>
      <c r="D172" s="542">
        <v>3000</v>
      </c>
    </row>
    <row r="173" spans="1:14">
      <c r="A173" s="545" t="s">
        <v>446</v>
      </c>
      <c r="B173" s="544" t="s">
        <v>445</v>
      </c>
      <c r="C173" s="543">
        <v>42724</v>
      </c>
      <c r="D173" s="542">
        <v>1913.8240000000001</v>
      </c>
    </row>
    <row r="174" spans="1:14">
      <c r="A174" s="545" t="s">
        <v>257</v>
      </c>
      <c r="B174" s="544" t="s">
        <v>256</v>
      </c>
      <c r="C174" s="543">
        <v>42724</v>
      </c>
      <c r="D174" s="542">
        <v>1500</v>
      </c>
    </row>
    <row r="175" spans="1:14">
      <c r="A175" s="545" t="s">
        <v>514</v>
      </c>
      <c r="B175" s="544" t="s">
        <v>513</v>
      </c>
      <c r="C175" s="543">
        <v>42724</v>
      </c>
      <c r="D175" s="542">
        <v>3240.91</v>
      </c>
    </row>
    <row r="176" spans="1:14">
      <c r="A176" s="545" t="s">
        <v>199</v>
      </c>
      <c r="B176" s="544" t="s">
        <v>198</v>
      </c>
      <c r="C176" s="543">
        <v>42724</v>
      </c>
      <c r="D176" s="542">
        <v>1955.5630000000001</v>
      </c>
    </row>
    <row r="177" spans="1:4">
      <c r="A177" s="545" t="s">
        <v>492</v>
      </c>
      <c r="B177" s="544" t="s">
        <v>491</v>
      </c>
      <c r="C177" s="543">
        <v>42724</v>
      </c>
      <c r="D177" s="542">
        <v>879.56299999999999</v>
      </c>
    </row>
    <row r="178" spans="1:4">
      <c r="A178" s="545" t="s">
        <v>480</v>
      </c>
      <c r="B178" s="544" t="s">
        <v>479</v>
      </c>
      <c r="C178" s="543">
        <v>42724</v>
      </c>
      <c r="D178" s="542">
        <v>300</v>
      </c>
    </row>
    <row r="179" spans="1:4">
      <c r="A179" s="545" t="s">
        <v>589</v>
      </c>
      <c r="B179" s="544" t="s">
        <v>590</v>
      </c>
      <c r="C179" s="543">
        <v>42724</v>
      </c>
      <c r="D179" s="542">
        <v>545.75400000000002</v>
      </c>
    </row>
    <row r="180" spans="1:4">
      <c r="A180" s="545" t="s">
        <v>301</v>
      </c>
      <c r="B180" s="544" t="s">
        <v>300</v>
      </c>
      <c r="C180" s="543">
        <v>42724</v>
      </c>
      <c r="D180" s="542">
        <v>2002.4280000000001</v>
      </c>
    </row>
    <row r="181" spans="1:4">
      <c r="A181" s="545" t="s">
        <v>575</v>
      </c>
      <c r="B181" s="544" t="s">
        <v>576</v>
      </c>
      <c r="C181" s="543">
        <v>42724</v>
      </c>
      <c r="D181" s="542">
        <v>200</v>
      </c>
    </row>
    <row r="182" spans="1:4">
      <c r="A182" s="545" t="s">
        <v>291</v>
      </c>
      <c r="B182" s="544" t="s">
        <v>290</v>
      </c>
      <c r="C182" s="543">
        <v>42724</v>
      </c>
      <c r="D182" s="542">
        <v>821.73900000000003</v>
      </c>
    </row>
    <row r="183" spans="1:4">
      <c r="A183" s="545" t="s">
        <v>183</v>
      </c>
      <c r="B183" s="544" t="s">
        <v>182</v>
      </c>
      <c r="C183" s="543">
        <v>42724</v>
      </c>
      <c r="D183" s="542">
        <v>1800</v>
      </c>
    </row>
    <row r="184" spans="1:4">
      <c r="A184" s="545" t="s">
        <v>454</v>
      </c>
      <c r="B184" s="544" t="s">
        <v>453</v>
      </c>
      <c r="C184" s="543">
        <v>42724</v>
      </c>
      <c r="D184" s="542">
        <v>731.00800000000004</v>
      </c>
    </row>
    <row r="185" spans="1:4">
      <c r="A185" s="545" t="s">
        <v>277</v>
      </c>
      <c r="B185" s="544" t="s">
        <v>276</v>
      </c>
      <c r="C185" s="543">
        <v>42724</v>
      </c>
      <c r="D185" s="542">
        <v>700</v>
      </c>
    </row>
    <row r="186" spans="1:4">
      <c r="A186" s="545" t="s">
        <v>638</v>
      </c>
      <c r="B186" s="544" t="s">
        <v>639</v>
      </c>
      <c r="C186" s="543">
        <v>42724</v>
      </c>
      <c r="D186" s="542">
        <v>439.81900000000002</v>
      </c>
    </row>
    <row r="187" spans="1:4">
      <c r="A187" s="545" t="s">
        <v>317</v>
      </c>
      <c r="B187" s="544" t="s">
        <v>316</v>
      </c>
      <c r="C187" s="543">
        <v>42724</v>
      </c>
      <c r="D187" s="542">
        <v>2528.8029999999999</v>
      </c>
    </row>
    <row r="188" spans="1:4">
      <c r="A188" s="545" t="s">
        <v>181</v>
      </c>
      <c r="B188" s="544" t="s">
        <v>180</v>
      </c>
      <c r="C188" s="543">
        <v>42724</v>
      </c>
      <c r="D188" s="542">
        <v>2310</v>
      </c>
    </row>
    <row r="189" spans="1:4">
      <c r="A189" s="545" t="s">
        <v>747</v>
      </c>
      <c r="B189" s="544" t="s">
        <v>748</v>
      </c>
      <c r="C189" s="543">
        <v>42724</v>
      </c>
      <c r="D189" s="542">
        <v>2500</v>
      </c>
    </row>
    <row r="190" spans="1:4">
      <c r="A190" s="545" t="s">
        <v>749</v>
      </c>
      <c r="B190" s="544" t="s">
        <v>750</v>
      </c>
      <c r="C190" s="543">
        <v>42724</v>
      </c>
      <c r="D190" s="542">
        <v>181.542</v>
      </c>
    </row>
    <row r="191" spans="1:4">
      <c r="A191" s="545" t="s">
        <v>221</v>
      </c>
      <c r="B191" s="544" t="s">
        <v>220</v>
      </c>
      <c r="C191" s="543">
        <v>42724</v>
      </c>
      <c r="D191" s="542">
        <v>1141</v>
      </c>
    </row>
    <row r="192" spans="1:4">
      <c r="A192" s="537" t="s">
        <v>179</v>
      </c>
      <c r="B192" s="536" t="s">
        <v>178</v>
      </c>
      <c r="C192" s="535">
        <v>42724</v>
      </c>
      <c r="D192" s="534">
        <v>622.85400000000004</v>
      </c>
    </row>
    <row r="193" spans="1:14">
      <c r="A193" s="537" t="s">
        <v>725</v>
      </c>
      <c r="B193" s="536" t="s">
        <v>726</v>
      </c>
      <c r="C193" s="535">
        <v>42724</v>
      </c>
      <c r="D193" s="534">
        <v>2063.7730000000001</v>
      </c>
    </row>
    <row r="194" spans="1:14">
      <c r="A194" s="537" t="s">
        <v>490</v>
      </c>
      <c r="B194" s="536" t="s">
        <v>489</v>
      </c>
      <c r="C194" s="535">
        <v>42724</v>
      </c>
      <c r="D194" s="534">
        <v>4000</v>
      </c>
      <c r="E194" s="529"/>
      <c r="F194" s="529"/>
      <c r="G194" s="529"/>
      <c r="H194" s="529"/>
      <c r="I194" s="529"/>
      <c r="J194" s="529"/>
      <c r="K194" s="529"/>
      <c r="L194" s="529"/>
      <c r="M194" s="529"/>
      <c r="N194" s="529"/>
    </row>
    <row r="195" spans="1:14">
      <c r="A195" s="545" t="s">
        <v>847</v>
      </c>
      <c r="B195" s="544" t="s">
        <v>846</v>
      </c>
      <c r="C195" s="543">
        <v>42725</v>
      </c>
      <c r="D195" s="542">
        <v>513.83799999999997</v>
      </c>
      <c r="E195" s="529"/>
      <c r="F195" s="529"/>
      <c r="G195" s="529"/>
      <c r="H195" s="529"/>
      <c r="I195" s="529"/>
      <c r="J195" s="529"/>
      <c r="K195" s="529"/>
      <c r="L195" s="529"/>
      <c r="M195" s="529"/>
      <c r="N195" s="529"/>
    </row>
    <row r="196" spans="1:14">
      <c r="A196" s="545" t="s">
        <v>849</v>
      </c>
      <c r="B196" s="544" t="s">
        <v>848</v>
      </c>
      <c r="C196" s="543">
        <v>42725</v>
      </c>
      <c r="D196" s="542">
        <v>393.11900000000003</v>
      </c>
      <c r="E196" s="529"/>
      <c r="F196" s="529"/>
      <c r="G196" s="529"/>
      <c r="H196" s="529"/>
      <c r="I196" s="529"/>
      <c r="J196" s="529"/>
      <c r="K196" s="529"/>
      <c r="L196" s="529"/>
      <c r="M196" s="529"/>
      <c r="N196" s="529"/>
    </row>
    <row r="197" spans="1:14">
      <c r="A197" s="545" t="s">
        <v>329</v>
      </c>
      <c r="B197" s="544" t="s">
        <v>328</v>
      </c>
      <c r="C197" s="543">
        <v>42725</v>
      </c>
      <c r="D197" s="542">
        <v>1544.1030000000001</v>
      </c>
    </row>
    <row r="198" spans="1:14">
      <c r="A198" s="545" t="s">
        <v>817</v>
      </c>
      <c r="B198" s="544" t="s">
        <v>816</v>
      </c>
      <c r="C198" s="543">
        <v>42725</v>
      </c>
      <c r="D198" s="542">
        <v>170</v>
      </c>
    </row>
    <row r="199" spans="1:14">
      <c r="A199" s="545" t="s">
        <v>609</v>
      </c>
      <c r="B199" s="544" t="s">
        <v>610</v>
      </c>
      <c r="C199" s="543">
        <v>42725</v>
      </c>
      <c r="D199" s="542">
        <v>2647.4450000000002</v>
      </c>
    </row>
    <row r="200" spans="1:14">
      <c r="A200" s="545" t="s">
        <v>241</v>
      </c>
      <c r="B200" s="544" t="s">
        <v>240</v>
      </c>
      <c r="C200" s="543">
        <v>42725</v>
      </c>
      <c r="D200" s="542">
        <v>500</v>
      </c>
    </row>
    <row r="201" spans="1:14">
      <c r="A201" s="537" t="s">
        <v>849</v>
      </c>
      <c r="B201" s="536" t="s">
        <v>848</v>
      </c>
      <c r="C201" s="535">
        <v>42725</v>
      </c>
      <c r="D201" s="534">
        <v>393.11900000000003</v>
      </c>
    </row>
    <row r="202" spans="1:14">
      <c r="A202" s="545" t="s">
        <v>197</v>
      </c>
      <c r="B202" s="544" t="s">
        <v>196</v>
      </c>
      <c r="C202" s="543">
        <v>42726</v>
      </c>
      <c r="D202" s="542">
        <v>4000</v>
      </c>
    </row>
    <row r="203" spans="1:14">
      <c r="A203" s="545" t="s">
        <v>219</v>
      </c>
      <c r="B203" s="544" t="s">
        <v>218</v>
      </c>
      <c r="C203" s="543">
        <v>42726</v>
      </c>
      <c r="D203" s="542">
        <v>996.346</v>
      </c>
      <c r="E203" s="529"/>
      <c r="F203" s="529"/>
      <c r="G203" s="529"/>
      <c r="H203" s="529"/>
      <c r="I203" s="529"/>
      <c r="J203" s="529"/>
      <c r="K203" s="529"/>
      <c r="L203" s="529"/>
      <c r="M203" s="529"/>
      <c r="N203" s="529"/>
    </row>
    <row r="204" spans="1:14">
      <c r="A204" s="545" t="s">
        <v>400</v>
      </c>
      <c r="B204" s="544" t="s">
        <v>399</v>
      </c>
      <c r="C204" s="543">
        <v>42726</v>
      </c>
      <c r="D204" s="542">
        <v>1081.3230000000001</v>
      </c>
    </row>
    <row r="205" spans="1:14">
      <c r="A205" s="545" t="s">
        <v>203</v>
      </c>
      <c r="B205" s="544" t="s">
        <v>202</v>
      </c>
      <c r="C205" s="543">
        <v>42726</v>
      </c>
      <c r="D205" s="542">
        <v>760</v>
      </c>
    </row>
    <row r="206" spans="1:14">
      <c r="A206" s="545" t="s">
        <v>179</v>
      </c>
      <c r="B206" s="544" t="s">
        <v>178</v>
      </c>
      <c r="C206" s="543">
        <v>42726</v>
      </c>
      <c r="D206" s="542">
        <v>3500</v>
      </c>
    </row>
    <row r="207" spans="1:14">
      <c r="A207" s="545" t="s">
        <v>201</v>
      </c>
      <c r="B207" s="544" t="s">
        <v>200</v>
      </c>
      <c r="C207" s="543">
        <v>42727</v>
      </c>
      <c r="D207" s="542">
        <v>750</v>
      </c>
    </row>
    <row r="208" spans="1:14">
      <c r="A208" s="545" t="s">
        <v>166</v>
      </c>
      <c r="B208" s="544" t="s">
        <v>165</v>
      </c>
      <c r="C208" s="543">
        <v>42727</v>
      </c>
      <c r="D208" s="542">
        <v>845</v>
      </c>
    </row>
    <row r="209" spans="1:4">
      <c r="A209" s="545" t="s">
        <v>438</v>
      </c>
      <c r="B209" s="544" t="s">
        <v>437</v>
      </c>
      <c r="C209" s="543">
        <v>42727</v>
      </c>
      <c r="D209" s="542">
        <v>312.392</v>
      </c>
    </row>
    <row r="210" spans="1:4">
      <c r="A210" s="545" t="s">
        <v>523</v>
      </c>
      <c r="B210" s="544" t="s">
        <v>522</v>
      </c>
      <c r="C210" s="543">
        <v>42727</v>
      </c>
      <c r="D210" s="542">
        <v>3223.076</v>
      </c>
    </row>
    <row r="211" spans="1:4">
      <c r="A211" s="545" t="s">
        <v>462</v>
      </c>
      <c r="B211" s="544" t="s">
        <v>461</v>
      </c>
      <c r="C211" s="543">
        <v>42727</v>
      </c>
      <c r="D211" s="542">
        <v>2186.8989999999999</v>
      </c>
    </row>
    <row r="212" spans="1:4">
      <c r="A212" s="545" t="s">
        <v>265</v>
      </c>
      <c r="B212" s="544" t="s">
        <v>264</v>
      </c>
      <c r="C212" s="543">
        <v>42727</v>
      </c>
      <c r="D212" s="542">
        <v>530</v>
      </c>
    </row>
    <row r="213" spans="1:4">
      <c r="A213" s="545" t="s">
        <v>619</v>
      </c>
      <c r="B213" s="544" t="s">
        <v>620</v>
      </c>
      <c r="C213" s="543">
        <v>42728</v>
      </c>
      <c r="D213" s="542">
        <v>1119.4739999999999</v>
      </c>
    </row>
    <row r="214" spans="1:4">
      <c r="A214" s="545" t="s">
        <v>557</v>
      </c>
      <c r="B214" s="544" t="s">
        <v>556</v>
      </c>
      <c r="C214" s="543">
        <v>42728</v>
      </c>
      <c r="D214" s="542">
        <v>1000</v>
      </c>
    </row>
    <row r="215" spans="1:4">
      <c r="A215" s="545" t="s">
        <v>166</v>
      </c>
      <c r="B215" s="544" t="s">
        <v>165</v>
      </c>
      <c r="C215" s="543">
        <v>42728</v>
      </c>
      <c r="D215" s="542">
        <v>845</v>
      </c>
    </row>
    <row r="216" spans="1:4">
      <c r="A216" s="545" t="s">
        <v>394</v>
      </c>
      <c r="B216" s="544" t="s">
        <v>393</v>
      </c>
      <c r="C216" s="543">
        <v>42728</v>
      </c>
      <c r="D216" s="542">
        <v>531.88599999999997</v>
      </c>
    </row>
    <row r="217" spans="1:4">
      <c r="A217" s="545" t="s">
        <v>442</v>
      </c>
      <c r="B217" s="544" t="s">
        <v>441</v>
      </c>
      <c r="C217" s="543">
        <v>42728</v>
      </c>
      <c r="D217" s="542">
        <v>1802.0820000000001</v>
      </c>
    </row>
    <row r="218" spans="1:4">
      <c r="A218" s="545" t="s">
        <v>179</v>
      </c>
      <c r="B218" s="544" t="s">
        <v>178</v>
      </c>
      <c r="C218" s="543">
        <v>42728</v>
      </c>
      <c r="D218" s="542">
        <v>3650</v>
      </c>
    </row>
    <row r="219" spans="1:4">
      <c r="A219" s="545" t="s">
        <v>739</v>
      </c>
      <c r="B219" s="544" t="s">
        <v>740</v>
      </c>
      <c r="C219" s="543">
        <v>42729</v>
      </c>
      <c r="D219" s="542">
        <v>1050</v>
      </c>
    </row>
    <row r="220" spans="1:4">
      <c r="A220" s="545" t="s">
        <v>362</v>
      </c>
      <c r="B220" s="544" t="s">
        <v>361</v>
      </c>
      <c r="C220" s="543">
        <v>42729</v>
      </c>
      <c r="D220" s="542">
        <v>1040.9000000000001</v>
      </c>
    </row>
    <row r="221" spans="1:4">
      <c r="A221" s="545" t="s">
        <v>847</v>
      </c>
      <c r="B221" s="544" t="s">
        <v>846</v>
      </c>
      <c r="C221" s="543">
        <v>42729</v>
      </c>
      <c r="D221" s="542">
        <v>497.86599999999999</v>
      </c>
    </row>
    <row r="222" spans="1:4">
      <c r="A222" s="545" t="s">
        <v>652</v>
      </c>
      <c r="B222" s="544" t="s">
        <v>653</v>
      </c>
      <c r="C222" s="543">
        <v>42729</v>
      </c>
      <c r="D222" s="542">
        <v>1170.854</v>
      </c>
    </row>
    <row r="223" spans="1:4">
      <c r="A223" s="545" t="s">
        <v>273</v>
      </c>
      <c r="B223" s="544" t="s">
        <v>272</v>
      </c>
      <c r="C223" s="543">
        <v>42729</v>
      </c>
      <c r="D223" s="542">
        <v>1174.7339999999999</v>
      </c>
    </row>
    <row r="224" spans="1:4">
      <c r="A224" s="545" t="s">
        <v>166</v>
      </c>
      <c r="B224" s="544" t="s">
        <v>165</v>
      </c>
      <c r="C224" s="543">
        <v>42729</v>
      </c>
      <c r="D224" s="542">
        <v>845</v>
      </c>
    </row>
    <row r="225" spans="1:14">
      <c r="A225" s="545" t="s">
        <v>261</v>
      </c>
      <c r="B225" s="544" t="s">
        <v>260</v>
      </c>
      <c r="C225" s="543">
        <v>42729</v>
      </c>
      <c r="D225" s="542">
        <v>4017.7040000000002</v>
      </c>
    </row>
    <row r="226" spans="1:14">
      <c r="A226" s="545" t="s">
        <v>251</v>
      </c>
      <c r="B226" s="544" t="s">
        <v>250</v>
      </c>
      <c r="C226" s="543">
        <v>42729</v>
      </c>
      <c r="D226" s="542">
        <v>385.56599999999997</v>
      </c>
    </row>
    <row r="227" spans="1:14">
      <c r="A227" s="545" t="s">
        <v>591</v>
      </c>
      <c r="B227" s="544" t="s">
        <v>592</v>
      </c>
      <c r="C227" s="543">
        <v>42729</v>
      </c>
      <c r="D227" s="542">
        <v>676.851</v>
      </c>
    </row>
    <row r="228" spans="1:14">
      <c r="A228" s="545" t="s">
        <v>434</v>
      </c>
      <c r="B228" s="544" t="s">
        <v>433</v>
      </c>
      <c r="C228" s="543">
        <v>42729</v>
      </c>
      <c r="D228" s="542">
        <v>1559.2360000000001</v>
      </c>
    </row>
    <row r="229" spans="1:14">
      <c r="A229" s="545" t="s">
        <v>164</v>
      </c>
      <c r="B229" s="544" t="s">
        <v>163</v>
      </c>
      <c r="C229" s="543">
        <v>42729</v>
      </c>
      <c r="D229" s="542">
        <v>1905.9949999999999</v>
      </c>
    </row>
    <row r="230" spans="1:14">
      <c r="A230" s="545" t="s">
        <v>510</v>
      </c>
      <c r="B230" s="544" t="s">
        <v>509</v>
      </c>
      <c r="C230" s="543">
        <v>42729</v>
      </c>
      <c r="D230" s="542">
        <v>1847.6849999999999</v>
      </c>
    </row>
    <row r="231" spans="1:14">
      <c r="A231" s="545" t="s">
        <v>269</v>
      </c>
      <c r="B231" s="544" t="s">
        <v>268</v>
      </c>
      <c r="C231" s="543">
        <v>42729</v>
      </c>
      <c r="D231" s="542">
        <v>1490.5640000000001</v>
      </c>
    </row>
    <row r="232" spans="1:14">
      <c r="A232" s="545" t="s">
        <v>729</v>
      </c>
      <c r="B232" s="544" t="s">
        <v>730</v>
      </c>
      <c r="C232" s="543">
        <v>42729</v>
      </c>
      <c r="D232" s="542">
        <v>263.73899999999998</v>
      </c>
    </row>
    <row r="233" spans="1:14">
      <c r="A233" s="545" t="s">
        <v>464</v>
      </c>
      <c r="B233" s="544" t="s">
        <v>463</v>
      </c>
      <c r="C233" s="543">
        <v>42729</v>
      </c>
      <c r="D233" s="542">
        <v>1100</v>
      </c>
    </row>
    <row r="234" spans="1:14">
      <c r="A234" s="545" t="s">
        <v>464</v>
      </c>
      <c r="B234" s="544" t="s">
        <v>463</v>
      </c>
      <c r="C234" s="543">
        <v>42729</v>
      </c>
      <c r="D234" s="542">
        <v>1800</v>
      </c>
    </row>
    <row r="235" spans="1:14">
      <c r="A235" s="545" t="s">
        <v>476</v>
      </c>
      <c r="B235" s="544" t="s">
        <v>475</v>
      </c>
      <c r="C235" s="543">
        <v>42729</v>
      </c>
      <c r="D235" s="542">
        <v>746.173</v>
      </c>
    </row>
    <row r="236" spans="1:14">
      <c r="A236" s="545" t="s">
        <v>297</v>
      </c>
      <c r="B236" s="544" t="s">
        <v>296</v>
      </c>
      <c r="C236" s="543">
        <v>42729</v>
      </c>
      <c r="D236" s="542">
        <v>1500</v>
      </c>
    </row>
    <row r="237" spans="1:14">
      <c r="A237" s="545" t="s">
        <v>751</v>
      </c>
      <c r="B237" s="544" t="s">
        <v>752</v>
      </c>
      <c r="C237" s="543">
        <v>42729</v>
      </c>
      <c r="D237" s="542">
        <v>1550.5229999999999</v>
      </c>
    </row>
    <row r="238" spans="1:14">
      <c r="A238" s="537" t="s">
        <v>358</v>
      </c>
      <c r="B238" s="536" t="s">
        <v>357</v>
      </c>
      <c r="C238" s="535">
        <v>42729</v>
      </c>
      <c r="D238" s="534">
        <v>800</v>
      </c>
    </row>
    <row r="239" spans="1:14">
      <c r="A239" s="537" t="s">
        <v>490</v>
      </c>
      <c r="B239" s="536" t="s">
        <v>489</v>
      </c>
      <c r="C239" s="535">
        <v>42729</v>
      </c>
      <c r="D239" s="534">
        <v>4000</v>
      </c>
    </row>
    <row r="240" spans="1:14">
      <c r="A240" s="545" t="s">
        <v>845</v>
      </c>
      <c r="B240" s="544" t="s">
        <v>844</v>
      </c>
      <c r="C240" s="543">
        <v>42730</v>
      </c>
      <c r="D240" s="542">
        <v>985.68200000000002</v>
      </c>
      <c r="E240" s="529"/>
      <c r="F240" s="529"/>
      <c r="G240" s="529"/>
      <c r="H240" s="529"/>
      <c r="I240" s="529"/>
      <c r="J240" s="529"/>
      <c r="K240" s="529"/>
      <c r="L240" s="529"/>
      <c r="M240" s="529"/>
      <c r="N240" s="529"/>
    </row>
    <row r="241" spans="1:14">
      <c r="A241" s="545" t="s">
        <v>166</v>
      </c>
      <c r="B241" s="544" t="s">
        <v>165</v>
      </c>
      <c r="C241" s="543">
        <v>42730</v>
      </c>
      <c r="D241" s="542">
        <v>829.16800000000001</v>
      </c>
      <c r="E241" s="529"/>
      <c r="F241" s="529"/>
      <c r="G241" s="529"/>
      <c r="H241" s="529"/>
      <c r="I241" s="529"/>
      <c r="J241" s="529"/>
      <c r="K241" s="529"/>
      <c r="L241" s="529"/>
      <c r="M241" s="529"/>
      <c r="N241" s="529"/>
    </row>
    <row r="242" spans="1:14">
      <c r="A242" s="545" t="s">
        <v>207</v>
      </c>
      <c r="B242" s="544" t="s">
        <v>206</v>
      </c>
      <c r="C242" s="543">
        <v>42730</v>
      </c>
      <c r="D242" s="542">
        <v>3300</v>
      </c>
    </row>
    <row r="243" spans="1:14">
      <c r="A243" s="545" t="s">
        <v>428</v>
      </c>
      <c r="B243" s="544" t="s">
        <v>427</v>
      </c>
      <c r="C243" s="543">
        <v>42730</v>
      </c>
      <c r="D243" s="542">
        <v>720</v>
      </c>
    </row>
    <row r="244" spans="1:14">
      <c r="A244" s="537" t="s">
        <v>843</v>
      </c>
      <c r="B244" s="536" t="s">
        <v>842</v>
      </c>
      <c r="C244" s="535">
        <v>42730</v>
      </c>
      <c r="D244" s="534">
        <v>2390.77</v>
      </c>
    </row>
    <row r="245" spans="1:14">
      <c r="A245" s="545" t="s">
        <v>311</v>
      </c>
      <c r="B245" s="544" t="s">
        <v>310</v>
      </c>
      <c r="C245" s="543">
        <v>42731</v>
      </c>
      <c r="D245" s="542">
        <v>1778.087</v>
      </c>
    </row>
    <row r="246" spans="1:14">
      <c r="A246" s="545" t="s">
        <v>585</v>
      </c>
      <c r="B246" s="544" t="s">
        <v>586</v>
      </c>
      <c r="C246" s="543">
        <v>42731</v>
      </c>
      <c r="D246" s="542">
        <v>3911</v>
      </c>
      <c r="E246" s="529"/>
      <c r="F246" s="529"/>
      <c r="G246" s="529"/>
      <c r="H246" s="529"/>
      <c r="I246" s="529"/>
      <c r="J246" s="529"/>
      <c r="K246" s="529"/>
      <c r="L246" s="529"/>
      <c r="M246" s="529"/>
      <c r="N246" s="529"/>
    </row>
    <row r="247" spans="1:14">
      <c r="A247" s="545" t="s">
        <v>512</v>
      </c>
      <c r="B247" s="544" t="s">
        <v>511</v>
      </c>
      <c r="C247" s="543">
        <v>42732</v>
      </c>
      <c r="D247" s="542">
        <v>2864.652</v>
      </c>
    </row>
    <row r="248" spans="1:14">
      <c r="A248" s="545" t="s">
        <v>723</v>
      </c>
      <c r="B248" s="544" t="s">
        <v>724</v>
      </c>
      <c r="C248" s="543">
        <v>42732</v>
      </c>
      <c r="D248" s="542">
        <v>280</v>
      </c>
    </row>
    <row r="249" spans="1:14">
      <c r="A249" s="545" t="s">
        <v>225</v>
      </c>
      <c r="B249" s="544" t="s">
        <v>224</v>
      </c>
      <c r="C249" s="543">
        <v>42732</v>
      </c>
      <c r="D249" s="542">
        <v>2000</v>
      </c>
    </row>
    <row r="250" spans="1:14">
      <c r="A250" s="545" t="s">
        <v>307</v>
      </c>
      <c r="B250" s="544" t="s">
        <v>306</v>
      </c>
      <c r="C250" s="543">
        <v>42732</v>
      </c>
      <c r="D250" s="542">
        <v>788</v>
      </c>
    </row>
    <row r="251" spans="1:14">
      <c r="A251" s="545" t="s">
        <v>731</v>
      </c>
      <c r="B251" s="544" t="s">
        <v>732</v>
      </c>
      <c r="C251" s="543">
        <v>42733</v>
      </c>
      <c r="D251" s="542">
        <v>881.38499999999999</v>
      </c>
    </row>
    <row r="252" spans="1:14">
      <c r="A252" s="545" t="s">
        <v>506</v>
      </c>
      <c r="B252" s="544" t="s">
        <v>505</v>
      </c>
      <c r="C252" s="543">
        <v>42733</v>
      </c>
      <c r="D252" s="542">
        <v>1928.62</v>
      </c>
    </row>
    <row r="253" spans="1:14">
      <c r="A253" s="545" t="s">
        <v>654</v>
      </c>
      <c r="B253" s="544" t="s">
        <v>655</v>
      </c>
      <c r="C253" s="543">
        <v>42733</v>
      </c>
      <c r="D253" s="542">
        <v>612.90300000000002</v>
      </c>
    </row>
    <row r="254" spans="1:14">
      <c r="A254" s="545" t="s">
        <v>430</v>
      </c>
      <c r="B254" s="544" t="s">
        <v>429</v>
      </c>
      <c r="C254" s="543">
        <v>42733</v>
      </c>
      <c r="D254" s="542">
        <v>622.36800000000005</v>
      </c>
    </row>
    <row r="255" spans="1:14">
      <c r="A255" s="545" t="s">
        <v>285</v>
      </c>
      <c r="B255" s="544" t="s">
        <v>284</v>
      </c>
      <c r="C255" s="543">
        <v>42733</v>
      </c>
      <c r="D255" s="542">
        <v>14226.708000000001</v>
      </c>
    </row>
    <row r="256" spans="1:14">
      <c r="A256" s="545" t="s">
        <v>747</v>
      </c>
      <c r="B256" s="544" t="s">
        <v>748</v>
      </c>
      <c r="C256" s="543">
        <v>42733</v>
      </c>
      <c r="D256" s="542">
        <v>2422.81</v>
      </c>
    </row>
    <row r="257" spans="1:14">
      <c r="A257" s="545" t="s">
        <v>265</v>
      </c>
      <c r="B257" s="544" t="s">
        <v>264</v>
      </c>
      <c r="C257" s="543">
        <v>42733</v>
      </c>
      <c r="D257" s="542">
        <v>525</v>
      </c>
    </row>
    <row r="258" spans="1:14">
      <c r="A258" s="545" t="s">
        <v>625</v>
      </c>
      <c r="B258" s="544" t="s">
        <v>626</v>
      </c>
      <c r="C258" s="543">
        <v>42733</v>
      </c>
      <c r="D258" s="542">
        <v>2707.2150000000001</v>
      </c>
    </row>
    <row r="259" spans="1:14">
      <c r="A259" s="545" t="s">
        <v>263</v>
      </c>
      <c r="B259" s="544" t="s">
        <v>262</v>
      </c>
      <c r="C259" s="543">
        <v>42733</v>
      </c>
      <c r="D259" s="542">
        <v>2998.6350000000002</v>
      </c>
    </row>
    <row r="260" spans="1:14">
      <c r="A260" s="537" t="s">
        <v>841</v>
      </c>
      <c r="B260" s="536" t="s">
        <v>840</v>
      </c>
      <c r="C260" s="535">
        <v>42733</v>
      </c>
      <c r="D260" s="534">
        <v>3644.6129999999998</v>
      </c>
    </row>
    <row r="261" spans="1:14">
      <c r="A261" s="545" t="s">
        <v>631</v>
      </c>
      <c r="B261" s="544" t="s">
        <v>632</v>
      </c>
      <c r="C261" s="543">
        <v>42734</v>
      </c>
      <c r="D261" s="542">
        <v>265.50400000000002</v>
      </c>
    </row>
    <row r="262" spans="1:14">
      <c r="A262" s="545" t="s">
        <v>436</v>
      </c>
      <c r="B262" s="544" t="s">
        <v>435</v>
      </c>
      <c r="C262" s="543">
        <v>42734</v>
      </c>
      <c r="D262" s="542">
        <v>372.26600000000002</v>
      </c>
      <c r="E262" s="529"/>
      <c r="F262" s="529"/>
      <c r="G262" s="529"/>
      <c r="H262" s="529"/>
      <c r="I262" s="529"/>
      <c r="J262" s="529"/>
      <c r="K262" s="529"/>
      <c r="L262" s="529"/>
      <c r="M262" s="529"/>
      <c r="N262" s="529"/>
    </row>
    <row r="263" spans="1:14">
      <c r="A263" s="545" t="s">
        <v>406</v>
      </c>
      <c r="B263" s="544" t="s">
        <v>405</v>
      </c>
      <c r="C263" s="543">
        <v>42734</v>
      </c>
      <c r="D263" s="542">
        <v>3063.8890000000001</v>
      </c>
    </row>
    <row r="264" spans="1:14">
      <c r="A264" s="545" t="s">
        <v>249</v>
      </c>
      <c r="B264" s="544" t="s">
        <v>248</v>
      </c>
      <c r="C264" s="543">
        <v>42734</v>
      </c>
      <c r="D264" s="542">
        <v>1640.11</v>
      </c>
    </row>
    <row r="265" spans="1:14">
      <c r="A265" s="545" t="s">
        <v>197</v>
      </c>
      <c r="B265" s="544" t="s">
        <v>196</v>
      </c>
      <c r="C265" s="543">
        <v>42734</v>
      </c>
      <c r="D265" s="542">
        <v>4000</v>
      </c>
    </row>
    <row r="266" spans="1:14">
      <c r="A266" s="545" t="s">
        <v>255</v>
      </c>
      <c r="B266" s="544" t="s">
        <v>254</v>
      </c>
      <c r="C266" s="543">
        <v>42734</v>
      </c>
      <c r="D266" s="542">
        <v>2560.259</v>
      </c>
    </row>
    <row r="267" spans="1:14">
      <c r="A267" s="545" t="s">
        <v>658</v>
      </c>
      <c r="B267" s="544" t="s">
        <v>659</v>
      </c>
      <c r="C267" s="543">
        <v>42734</v>
      </c>
      <c r="D267" s="542">
        <v>1157.1600000000001</v>
      </c>
    </row>
    <row r="268" spans="1:14">
      <c r="A268" s="545" t="s">
        <v>557</v>
      </c>
      <c r="B268" s="544" t="s">
        <v>556</v>
      </c>
      <c r="C268" s="543">
        <v>42734</v>
      </c>
      <c r="D268" s="542">
        <v>1290.2370000000001</v>
      </c>
    </row>
    <row r="269" spans="1:14">
      <c r="A269" s="545" t="s">
        <v>418</v>
      </c>
      <c r="B269" s="544" t="s">
        <v>417</v>
      </c>
      <c r="C269" s="543">
        <v>42734</v>
      </c>
      <c r="D269" s="542">
        <v>479.39100000000002</v>
      </c>
    </row>
    <row r="270" spans="1:14">
      <c r="A270" s="545" t="s">
        <v>193</v>
      </c>
      <c r="B270" s="544" t="s">
        <v>192</v>
      </c>
      <c r="C270" s="543">
        <v>42734</v>
      </c>
      <c r="D270" s="542">
        <v>2410.9490000000001</v>
      </c>
    </row>
    <row r="271" spans="1:14">
      <c r="A271" s="545" t="s">
        <v>548</v>
      </c>
      <c r="B271" s="544" t="s">
        <v>549</v>
      </c>
      <c r="C271" s="543">
        <v>42734</v>
      </c>
      <c r="D271" s="542">
        <v>1032.4649999999999</v>
      </c>
    </row>
    <row r="272" spans="1:14">
      <c r="A272" s="545" t="s">
        <v>448</v>
      </c>
      <c r="B272" s="544" t="s">
        <v>447</v>
      </c>
      <c r="C272" s="543">
        <v>42734</v>
      </c>
      <c r="D272" s="542">
        <v>1310.328</v>
      </c>
    </row>
    <row r="273" spans="1:4">
      <c r="A273" s="545" t="s">
        <v>293</v>
      </c>
      <c r="B273" s="544" t="s">
        <v>292</v>
      </c>
      <c r="C273" s="543">
        <v>42734</v>
      </c>
      <c r="D273" s="542">
        <v>570</v>
      </c>
    </row>
    <row r="274" spans="1:4">
      <c r="A274" s="545" t="s">
        <v>635</v>
      </c>
      <c r="B274" s="544" t="s">
        <v>636</v>
      </c>
      <c r="C274" s="543">
        <v>42734</v>
      </c>
      <c r="D274" s="542">
        <v>3826.9070000000002</v>
      </c>
    </row>
    <row r="275" spans="1:4">
      <c r="A275" s="545" t="s">
        <v>438</v>
      </c>
      <c r="B275" s="544" t="s">
        <v>437</v>
      </c>
      <c r="C275" s="543">
        <v>42734</v>
      </c>
      <c r="D275" s="542">
        <v>312.39299999999997</v>
      </c>
    </row>
    <row r="276" spans="1:4">
      <c r="A276" s="545" t="s">
        <v>408</v>
      </c>
      <c r="B276" s="544" t="s">
        <v>407</v>
      </c>
      <c r="C276" s="543">
        <v>42734</v>
      </c>
      <c r="D276" s="542">
        <v>425.36</v>
      </c>
    </row>
    <row r="277" spans="1:4">
      <c r="A277" s="545" t="s">
        <v>410</v>
      </c>
      <c r="B277" s="544" t="s">
        <v>409</v>
      </c>
      <c r="C277" s="543">
        <v>42734</v>
      </c>
      <c r="D277" s="542">
        <v>1250.079</v>
      </c>
    </row>
    <row r="278" spans="1:4">
      <c r="A278" s="545" t="s">
        <v>251</v>
      </c>
      <c r="B278" s="544" t="s">
        <v>250</v>
      </c>
      <c r="C278" s="543">
        <v>42734</v>
      </c>
      <c r="D278" s="542">
        <v>331.22699999999998</v>
      </c>
    </row>
    <row r="279" spans="1:4">
      <c r="A279" s="545" t="s">
        <v>257</v>
      </c>
      <c r="B279" s="544" t="s">
        <v>256</v>
      </c>
      <c r="C279" s="543">
        <v>42734</v>
      </c>
      <c r="D279" s="542">
        <v>1000</v>
      </c>
    </row>
    <row r="280" spans="1:4">
      <c r="A280" s="545" t="s">
        <v>257</v>
      </c>
      <c r="B280" s="544" t="s">
        <v>256</v>
      </c>
      <c r="C280" s="543">
        <v>42734</v>
      </c>
      <c r="D280" s="542">
        <v>1500</v>
      </c>
    </row>
    <row r="281" spans="1:4">
      <c r="A281" s="545" t="s">
        <v>839</v>
      </c>
      <c r="B281" s="544" t="s">
        <v>838</v>
      </c>
      <c r="C281" s="543">
        <v>42734</v>
      </c>
      <c r="D281" s="542">
        <v>757.41800000000001</v>
      </c>
    </row>
    <row r="282" spans="1:4">
      <c r="A282" s="545" t="s">
        <v>412</v>
      </c>
      <c r="B282" s="544" t="s">
        <v>411</v>
      </c>
      <c r="C282" s="543">
        <v>42734</v>
      </c>
      <c r="D282" s="542">
        <v>106.672</v>
      </c>
    </row>
    <row r="283" spans="1:4">
      <c r="A283" s="545" t="s">
        <v>356</v>
      </c>
      <c r="B283" s="544" t="s">
        <v>355</v>
      </c>
      <c r="C283" s="543">
        <v>42734</v>
      </c>
      <c r="D283" s="542">
        <v>257.54599999999999</v>
      </c>
    </row>
    <row r="284" spans="1:4">
      <c r="A284" s="545" t="s">
        <v>205</v>
      </c>
      <c r="B284" s="544" t="s">
        <v>204</v>
      </c>
      <c r="C284" s="543">
        <v>42734</v>
      </c>
      <c r="D284" s="542">
        <v>813.58900000000006</v>
      </c>
    </row>
    <row r="285" spans="1:4">
      <c r="A285" s="545" t="s">
        <v>343</v>
      </c>
      <c r="B285" s="544" t="s">
        <v>342</v>
      </c>
      <c r="C285" s="543">
        <v>42734</v>
      </c>
      <c r="D285" s="542">
        <v>1746.9960000000001</v>
      </c>
    </row>
    <row r="286" spans="1:4">
      <c r="A286" s="545" t="s">
        <v>755</v>
      </c>
      <c r="B286" s="544" t="s">
        <v>756</v>
      </c>
      <c r="C286" s="543">
        <v>42734</v>
      </c>
      <c r="D286" s="542">
        <v>1169.4960000000001</v>
      </c>
    </row>
    <row r="287" spans="1:4">
      <c r="A287" s="545" t="s">
        <v>552</v>
      </c>
      <c r="B287" s="544" t="s">
        <v>553</v>
      </c>
      <c r="C287" s="543">
        <v>42734</v>
      </c>
      <c r="D287" s="542">
        <v>2057.5770000000002</v>
      </c>
    </row>
    <row r="288" spans="1:4">
      <c r="A288" s="545" t="s">
        <v>575</v>
      </c>
      <c r="B288" s="544" t="s">
        <v>576</v>
      </c>
      <c r="C288" s="543">
        <v>42734</v>
      </c>
      <c r="D288" s="542">
        <v>350</v>
      </c>
    </row>
    <row r="289" spans="1:4">
      <c r="A289" s="545" t="s">
        <v>575</v>
      </c>
      <c r="B289" s="544" t="s">
        <v>576</v>
      </c>
      <c r="C289" s="543">
        <v>42734</v>
      </c>
      <c r="D289" s="542">
        <v>1500</v>
      </c>
    </row>
    <row r="290" spans="1:4">
      <c r="A290" s="545" t="s">
        <v>392</v>
      </c>
      <c r="B290" s="544" t="s">
        <v>391</v>
      </c>
      <c r="C290" s="543">
        <v>42734</v>
      </c>
      <c r="D290" s="542">
        <v>1234.1600000000001</v>
      </c>
    </row>
    <row r="291" spans="1:4">
      <c r="A291" s="545" t="s">
        <v>245</v>
      </c>
      <c r="B291" s="544" t="s">
        <v>244</v>
      </c>
      <c r="C291" s="543">
        <v>42734</v>
      </c>
      <c r="D291" s="542">
        <v>462.21600000000001</v>
      </c>
    </row>
    <row r="292" spans="1:4">
      <c r="A292" s="545" t="s">
        <v>454</v>
      </c>
      <c r="B292" s="544" t="s">
        <v>453</v>
      </c>
      <c r="C292" s="543">
        <v>42734</v>
      </c>
      <c r="D292" s="542">
        <v>700</v>
      </c>
    </row>
    <row r="293" spans="1:4">
      <c r="A293" s="545" t="s">
        <v>452</v>
      </c>
      <c r="B293" s="544" t="s">
        <v>451</v>
      </c>
      <c r="C293" s="543">
        <v>42734</v>
      </c>
      <c r="D293" s="542">
        <v>6173.1760000000004</v>
      </c>
    </row>
    <row r="294" spans="1:4">
      <c r="A294" s="545" t="s">
        <v>426</v>
      </c>
      <c r="B294" s="544" t="s">
        <v>425</v>
      </c>
      <c r="C294" s="543">
        <v>42734</v>
      </c>
      <c r="D294" s="542">
        <v>843.37199999999996</v>
      </c>
    </row>
    <row r="295" spans="1:4">
      <c r="A295" s="545" t="s">
        <v>733</v>
      </c>
      <c r="B295" s="544" t="s">
        <v>734</v>
      </c>
      <c r="C295" s="543">
        <v>42734</v>
      </c>
      <c r="D295" s="542">
        <v>1201.5540000000001</v>
      </c>
    </row>
    <row r="296" spans="1:4">
      <c r="A296" s="545" t="s">
        <v>390</v>
      </c>
      <c r="B296" s="544" t="s">
        <v>389</v>
      </c>
      <c r="C296" s="543">
        <v>42734</v>
      </c>
      <c r="D296" s="542">
        <v>5956.8609999999999</v>
      </c>
    </row>
    <row r="297" spans="1:4">
      <c r="A297" s="545" t="s">
        <v>386</v>
      </c>
      <c r="B297" s="544" t="s">
        <v>385</v>
      </c>
      <c r="C297" s="543">
        <v>42734</v>
      </c>
      <c r="D297" s="542">
        <v>3987.46</v>
      </c>
    </row>
    <row r="298" spans="1:4">
      <c r="A298" s="545" t="s">
        <v>388</v>
      </c>
      <c r="B298" s="544" t="s">
        <v>387</v>
      </c>
      <c r="C298" s="543">
        <v>42734</v>
      </c>
      <c r="D298" s="542">
        <v>12694.745999999999</v>
      </c>
    </row>
    <row r="299" spans="1:4">
      <c r="A299" s="545" t="s">
        <v>532</v>
      </c>
      <c r="B299" s="544" t="s">
        <v>533</v>
      </c>
      <c r="C299" s="543">
        <v>42734</v>
      </c>
      <c r="D299" s="542">
        <v>2409.6410000000001</v>
      </c>
    </row>
    <row r="300" spans="1:4">
      <c r="A300" s="545" t="s">
        <v>476</v>
      </c>
      <c r="B300" s="544" t="s">
        <v>475</v>
      </c>
      <c r="C300" s="543">
        <v>42734</v>
      </c>
      <c r="D300" s="542">
        <v>746.17499999999995</v>
      </c>
    </row>
    <row r="301" spans="1:4">
      <c r="A301" s="545" t="s">
        <v>335</v>
      </c>
      <c r="B301" s="544" t="s">
        <v>334</v>
      </c>
      <c r="C301" s="543">
        <v>42734</v>
      </c>
      <c r="D301" s="542">
        <v>3110.43</v>
      </c>
    </row>
    <row r="302" spans="1:4">
      <c r="A302" s="545" t="s">
        <v>384</v>
      </c>
      <c r="B302" s="544" t="s">
        <v>383</v>
      </c>
      <c r="C302" s="543">
        <v>42734</v>
      </c>
      <c r="D302" s="542">
        <v>1080.7090000000001</v>
      </c>
    </row>
    <row r="303" spans="1:4">
      <c r="A303" s="545" t="s">
        <v>380</v>
      </c>
      <c r="B303" s="544" t="s">
        <v>379</v>
      </c>
      <c r="C303" s="543">
        <v>42734</v>
      </c>
      <c r="D303" s="542">
        <v>1920.5340000000001</v>
      </c>
    </row>
    <row r="304" spans="1:4">
      <c r="A304" s="545" t="s">
        <v>382</v>
      </c>
      <c r="B304" s="544" t="s">
        <v>381</v>
      </c>
      <c r="C304" s="543">
        <v>42734</v>
      </c>
      <c r="D304" s="542">
        <v>4329.6530000000002</v>
      </c>
    </row>
    <row r="305" spans="1:14">
      <c r="A305" s="545" t="s">
        <v>444</v>
      </c>
      <c r="B305" s="544" t="s">
        <v>443</v>
      </c>
      <c r="C305" s="543">
        <v>42734</v>
      </c>
      <c r="D305" s="542">
        <v>1154.1790000000001</v>
      </c>
    </row>
    <row r="306" spans="1:14">
      <c r="A306" s="537" t="s">
        <v>837</v>
      </c>
      <c r="B306" s="536" t="s">
        <v>836</v>
      </c>
      <c r="C306" s="535">
        <v>42734</v>
      </c>
      <c r="D306" s="534">
        <v>1133.81</v>
      </c>
    </row>
    <row r="307" spans="1:14">
      <c r="A307" s="545" t="s">
        <v>484</v>
      </c>
      <c r="B307" s="544" t="s">
        <v>483</v>
      </c>
      <c r="C307" s="543">
        <v>42735</v>
      </c>
      <c r="D307" s="542">
        <v>977.94399999999996</v>
      </c>
      <c r="E307" s="529"/>
      <c r="F307" s="529"/>
      <c r="G307" s="529"/>
      <c r="H307" s="529"/>
      <c r="I307" s="529"/>
      <c r="J307" s="529"/>
      <c r="K307" s="529"/>
      <c r="L307" s="529"/>
      <c r="M307" s="529"/>
      <c r="N307" s="529"/>
    </row>
    <row r="308" spans="1:14">
      <c r="A308" s="545" t="s">
        <v>231</v>
      </c>
      <c r="B308" s="544" t="s">
        <v>230</v>
      </c>
      <c r="C308" s="543">
        <v>42735</v>
      </c>
      <c r="D308" s="542">
        <v>971</v>
      </c>
    </row>
    <row r="309" spans="1:14">
      <c r="A309" s="545" t="s">
        <v>235</v>
      </c>
      <c r="B309" s="544" t="s">
        <v>234</v>
      </c>
      <c r="C309" s="543">
        <v>42735</v>
      </c>
      <c r="D309" s="542">
        <v>4967.5550000000003</v>
      </c>
    </row>
    <row r="310" spans="1:14">
      <c r="A310" s="545" t="s">
        <v>414</v>
      </c>
      <c r="B310" s="544" t="s">
        <v>413</v>
      </c>
      <c r="C310" s="543">
        <v>42735</v>
      </c>
      <c r="D310" s="542">
        <v>813.39499999999998</v>
      </c>
    </row>
    <row r="311" spans="1:14">
      <c r="A311" s="545" t="s">
        <v>416</v>
      </c>
      <c r="B311" s="544" t="s">
        <v>415</v>
      </c>
      <c r="C311" s="543">
        <v>42735</v>
      </c>
      <c r="D311" s="542">
        <v>686.32799999999997</v>
      </c>
    </row>
    <row r="312" spans="1:14">
      <c r="A312" s="545" t="s">
        <v>233</v>
      </c>
      <c r="B312" s="544" t="s">
        <v>232</v>
      </c>
      <c r="C312" s="543">
        <v>42735</v>
      </c>
      <c r="D312" s="542">
        <v>1866.0419999999999</v>
      </c>
    </row>
    <row r="313" spans="1:14">
      <c r="A313" s="545" t="s">
        <v>803</v>
      </c>
      <c r="B313" s="544" t="s">
        <v>802</v>
      </c>
      <c r="C313" s="543">
        <v>42735</v>
      </c>
      <c r="D313" s="542">
        <v>780</v>
      </c>
    </row>
    <row r="314" spans="1:14">
      <c r="A314" s="545" t="s">
        <v>627</v>
      </c>
      <c r="B314" s="544" t="s">
        <v>628</v>
      </c>
      <c r="C314" s="543">
        <v>42735</v>
      </c>
      <c r="D314" s="542">
        <v>1170.1769999999999</v>
      </c>
    </row>
    <row r="315" spans="1:14">
      <c r="A315" s="545" t="s">
        <v>737</v>
      </c>
      <c r="B315" s="544" t="s">
        <v>738</v>
      </c>
      <c r="C315" s="543">
        <v>42735</v>
      </c>
      <c r="D315" s="542">
        <v>613.09</v>
      </c>
    </row>
    <row r="316" spans="1:14">
      <c r="A316" s="545" t="s">
        <v>362</v>
      </c>
      <c r="B316" s="544" t="s">
        <v>361</v>
      </c>
      <c r="C316" s="543">
        <v>42735</v>
      </c>
      <c r="D316" s="542">
        <v>1030.5</v>
      </c>
    </row>
    <row r="317" spans="1:14">
      <c r="A317" s="545" t="s">
        <v>504</v>
      </c>
      <c r="B317" s="544" t="s">
        <v>503</v>
      </c>
      <c r="C317" s="543">
        <v>42735</v>
      </c>
      <c r="D317" s="542">
        <v>789.27099999999996</v>
      </c>
    </row>
    <row r="318" spans="1:14">
      <c r="A318" s="545" t="s">
        <v>174</v>
      </c>
      <c r="B318" s="544" t="s">
        <v>173</v>
      </c>
      <c r="C318" s="543">
        <v>42735</v>
      </c>
      <c r="D318" s="542">
        <v>644.85299999999995</v>
      </c>
    </row>
    <row r="319" spans="1:14">
      <c r="A319" s="545" t="s">
        <v>191</v>
      </c>
      <c r="B319" s="544" t="s">
        <v>190</v>
      </c>
      <c r="C319" s="543">
        <v>42735</v>
      </c>
      <c r="D319" s="542">
        <v>1000</v>
      </c>
    </row>
    <row r="320" spans="1:14">
      <c r="A320" s="545" t="s">
        <v>372</v>
      </c>
      <c r="B320" s="544" t="s">
        <v>371</v>
      </c>
      <c r="C320" s="543">
        <v>42735</v>
      </c>
      <c r="D320" s="542">
        <v>541.04700000000003</v>
      </c>
    </row>
    <row r="321" spans="1:4">
      <c r="A321" s="545" t="s">
        <v>313</v>
      </c>
      <c r="B321" s="544" t="s">
        <v>312</v>
      </c>
      <c r="C321" s="543">
        <v>42735</v>
      </c>
      <c r="D321" s="542">
        <v>2441.404</v>
      </c>
    </row>
    <row r="322" spans="1:4">
      <c r="A322" s="545" t="s">
        <v>674</v>
      </c>
      <c r="B322" s="544" t="s">
        <v>675</v>
      </c>
      <c r="C322" s="543">
        <v>42735</v>
      </c>
      <c r="D322" s="542">
        <v>2941.67</v>
      </c>
    </row>
    <row r="323" spans="1:4">
      <c r="A323" s="545" t="s">
        <v>422</v>
      </c>
      <c r="B323" s="544" t="s">
        <v>421</v>
      </c>
      <c r="C323" s="543">
        <v>42735</v>
      </c>
      <c r="D323" s="542">
        <v>2429.7950000000001</v>
      </c>
    </row>
    <row r="324" spans="1:4">
      <c r="A324" s="545" t="s">
        <v>366</v>
      </c>
      <c r="B324" s="544" t="s">
        <v>365</v>
      </c>
      <c r="C324" s="543">
        <v>42735</v>
      </c>
      <c r="D324" s="542">
        <v>486.75799999999998</v>
      </c>
    </row>
    <row r="325" spans="1:4">
      <c r="A325" s="545" t="s">
        <v>360</v>
      </c>
      <c r="B325" s="544" t="s">
        <v>359</v>
      </c>
      <c r="C325" s="543">
        <v>42735</v>
      </c>
      <c r="D325" s="542">
        <v>704.37599999999998</v>
      </c>
    </row>
    <row r="326" spans="1:4">
      <c r="A326" s="545" t="s">
        <v>376</v>
      </c>
      <c r="B326" s="544" t="s">
        <v>375</v>
      </c>
      <c r="C326" s="543">
        <v>42735</v>
      </c>
      <c r="D326" s="542">
        <v>313.82</v>
      </c>
    </row>
    <row r="327" spans="1:4">
      <c r="A327" s="545" t="s">
        <v>404</v>
      </c>
      <c r="B327" s="544" t="s">
        <v>403</v>
      </c>
      <c r="C327" s="543">
        <v>42735</v>
      </c>
      <c r="D327" s="542">
        <v>730.02099999999996</v>
      </c>
    </row>
    <row r="328" spans="1:4">
      <c r="A328" s="545" t="s">
        <v>424</v>
      </c>
      <c r="B328" s="544" t="s">
        <v>423</v>
      </c>
      <c r="C328" s="543">
        <v>42735</v>
      </c>
      <c r="D328" s="542">
        <v>367.17899999999997</v>
      </c>
    </row>
    <row r="329" spans="1:4">
      <c r="A329" s="545" t="s">
        <v>629</v>
      </c>
      <c r="B329" s="544" t="s">
        <v>630</v>
      </c>
      <c r="C329" s="543">
        <v>42735</v>
      </c>
      <c r="D329" s="542">
        <v>5082.4629999999997</v>
      </c>
    </row>
    <row r="330" spans="1:4">
      <c r="A330" s="545" t="s">
        <v>835</v>
      </c>
      <c r="B330" s="544" t="s">
        <v>834</v>
      </c>
      <c r="C330" s="543">
        <v>42735</v>
      </c>
      <c r="D330" s="542">
        <v>809.10699999999997</v>
      </c>
    </row>
    <row r="331" spans="1:4">
      <c r="A331" s="545" t="s">
        <v>253</v>
      </c>
      <c r="B331" s="544" t="s">
        <v>252</v>
      </c>
      <c r="C331" s="543">
        <v>42735</v>
      </c>
      <c r="D331" s="542">
        <v>2680.7330000000002</v>
      </c>
    </row>
    <row r="332" spans="1:4">
      <c r="A332" s="545" t="s">
        <v>833</v>
      </c>
      <c r="B332" s="544" t="s">
        <v>832</v>
      </c>
      <c r="C332" s="543">
        <v>42735</v>
      </c>
      <c r="D332" s="542">
        <v>1367.287</v>
      </c>
    </row>
    <row r="333" spans="1:4">
      <c r="A333" s="545" t="s">
        <v>170</v>
      </c>
      <c r="B333" s="544" t="s">
        <v>169</v>
      </c>
      <c r="C333" s="543">
        <v>42735</v>
      </c>
      <c r="D333" s="542">
        <v>992.31299999999999</v>
      </c>
    </row>
    <row r="334" spans="1:4">
      <c r="A334" s="545" t="s">
        <v>660</v>
      </c>
      <c r="B334" s="544" t="s">
        <v>661</v>
      </c>
      <c r="C334" s="543">
        <v>42735</v>
      </c>
      <c r="D334" s="542">
        <v>4161.5150000000003</v>
      </c>
    </row>
    <row r="335" spans="1:4">
      <c r="A335" s="545" t="s">
        <v>640</v>
      </c>
      <c r="B335" s="544" t="s">
        <v>641</v>
      </c>
      <c r="C335" s="543">
        <v>42735</v>
      </c>
      <c r="D335" s="542">
        <v>229.63200000000001</v>
      </c>
    </row>
    <row r="336" spans="1:4">
      <c r="A336" s="545" t="s">
        <v>295</v>
      </c>
      <c r="B336" s="544" t="s">
        <v>294</v>
      </c>
      <c r="C336" s="543">
        <v>42735</v>
      </c>
      <c r="D336" s="542">
        <v>2500</v>
      </c>
    </row>
    <row r="337" spans="1:4">
      <c r="A337" s="545" t="s">
        <v>368</v>
      </c>
      <c r="B337" s="544" t="s">
        <v>367</v>
      </c>
      <c r="C337" s="543">
        <v>42735</v>
      </c>
      <c r="D337" s="542">
        <v>329.96199999999999</v>
      </c>
    </row>
    <row r="338" spans="1:4">
      <c r="A338" s="545" t="s">
        <v>831</v>
      </c>
      <c r="B338" s="544" t="s">
        <v>830</v>
      </c>
      <c r="C338" s="543">
        <v>42735</v>
      </c>
      <c r="D338" s="542">
        <v>1121.2919999999999</v>
      </c>
    </row>
    <row r="339" spans="1:4">
      <c r="A339" s="545" t="s">
        <v>247</v>
      </c>
      <c r="B339" s="544" t="s">
        <v>246</v>
      </c>
      <c r="C339" s="543">
        <v>42735</v>
      </c>
      <c r="D339" s="542">
        <v>6992.1769999999997</v>
      </c>
    </row>
    <row r="340" spans="1:4">
      <c r="A340" s="545" t="s">
        <v>189</v>
      </c>
      <c r="B340" s="544" t="s">
        <v>188</v>
      </c>
      <c r="C340" s="543">
        <v>42735</v>
      </c>
      <c r="D340" s="542">
        <v>2877.8890000000001</v>
      </c>
    </row>
    <row r="341" spans="1:4">
      <c r="A341" s="545" t="s">
        <v>642</v>
      </c>
      <c r="B341" s="544" t="s">
        <v>643</v>
      </c>
      <c r="C341" s="543">
        <v>42735</v>
      </c>
      <c r="D341" s="542">
        <v>1135.088</v>
      </c>
    </row>
    <row r="342" spans="1:4">
      <c r="A342" s="545" t="s">
        <v>195</v>
      </c>
      <c r="B342" s="544" t="s">
        <v>194</v>
      </c>
      <c r="C342" s="543">
        <v>42735</v>
      </c>
      <c r="D342" s="542">
        <v>2393.1149999999998</v>
      </c>
    </row>
    <row r="343" spans="1:4">
      <c r="A343" s="545" t="s">
        <v>494</v>
      </c>
      <c r="B343" s="544" t="s">
        <v>493</v>
      </c>
      <c r="C343" s="543">
        <v>42735</v>
      </c>
      <c r="D343" s="542">
        <v>1076.0989999999999</v>
      </c>
    </row>
    <row r="344" spans="1:4">
      <c r="A344" s="545" t="s">
        <v>259</v>
      </c>
      <c r="B344" s="544" t="s">
        <v>258</v>
      </c>
      <c r="C344" s="543">
        <v>42735</v>
      </c>
      <c r="D344" s="542">
        <v>3300</v>
      </c>
    </row>
    <row r="345" spans="1:4">
      <c r="A345" s="545" t="s">
        <v>374</v>
      </c>
      <c r="B345" s="544" t="s">
        <v>373</v>
      </c>
      <c r="C345" s="543">
        <v>42735</v>
      </c>
      <c r="D345" s="542">
        <v>776</v>
      </c>
    </row>
    <row r="346" spans="1:4">
      <c r="A346" s="545" t="s">
        <v>348</v>
      </c>
      <c r="B346" s="544" t="s">
        <v>347</v>
      </c>
      <c r="C346" s="543">
        <v>42735</v>
      </c>
      <c r="D346" s="542">
        <v>6218.1390000000001</v>
      </c>
    </row>
    <row r="347" spans="1:4">
      <c r="A347" s="545" t="s">
        <v>488</v>
      </c>
      <c r="B347" s="544" t="s">
        <v>487</v>
      </c>
      <c r="C347" s="543">
        <v>42735</v>
      </c>
      <c r="D347" s="542">
        <v>6658.4290000000001</v>
      </c>
    </row>
    <row r="348" spans="1:4">
      <c r="A348" s="545" t="s">
        <v>428</v>
      </c>
      <c r="B348" s="544" t="s">
        <v>427</v>
      </c>
      <c r="C348" s="543">
        <v>42735</v>
      </c>
      <c r="D348" s="542">
        <v>730</v>
      </c>
    </row>
    <row r="349" spans="1:4">
      <c r="A349" s="545" t="s">
        <v>164</v>
      </c>
      <c r="B349" s="544" t="s">
        <v>163</v>
      </c>
      <c r="C349" s="543">
        <v>42735</v>
      </c>
      <c r="D349" s="542">
        <v>2000</v>
      </c>
    </row>
    <row r="350" spans="1:4">
      <c r="A350" s="545" t="s">
        <v>398</v>
      </c>
      <c r="B350" s="544" t="s">
        <v>397</v>
      </c>
      <c r="C350" s="543">
        <v>42735</v>
      </c>
      <c r="D350" s="542">
        <v>2834.2829999999999</v>
      </c>
    </row>
    <row r="351" spans="1:4">
      <c r="A351" s="545" t="s">
        <v>352</v>
      </c>
      <c r="B351" s="544" t="s">
        <v>351</v>
      </c>
      <c r="C351" s="543">
        <v>42735</v>
      </c>
      <c r="D351" s="542">
        <v>652.29399999999998</v>
      </c>
    </row>
    <row r="352" spans="1:4">
      <c r="A352" s="545" t="s">
        <v>227</v>
      </c>
      <c r="B352" s="544" t="s">
        <v>226</v>
      </c>
      <c r="C352" s="543">
        <v>42735</v>
      </c>
      <c r="D352" s="542">
        <v>3426.4479999999999</v>
      </c>
    </row>
    <row r="353" spans="1:4">
      <c r="A353" s="545" t="s">
        <v>187</v>
      </c>
      <c r="B353" s="544" t="s">
        <v>186</v>
      </c>
      <c r="C353" s="543">
        <v>42735</v>
      </c>
      <c r="D353" s="542">
        <v>780</v>
      </c>
    </row>
    <row r="354" spans="1:4">
      <c r="A354" s="545" t="s">
        <v>281</v>
      </c>
      <c r="B354" s="544" t="s">
        <v>280</v>
      </c>
      <c r="C354" s="543">
        <v>42735</v>
      </c>
      <c r="D354" s="542">
        <v>1192.7760000000001</v>
      </c>
    </row>
    <row r="355" spans="1:4">
      <c r="A355" s="545" t="s">
        <v>229</v>
      </c>
      <c r="B355" s="544" t="s">
        <v>228</v>
      </c>
      <c r="C355" s="543">
        <v>42735</v>
      </c>
      <c r="D355" s="542">
        <v>3212.527</v>
      </c>
    </row>
    <row r="356" spans="1:4">
      <c r="A356" s="545" t="s">
        <v>662</v>
      </c>
      <c r="B356" s="544" t="s">
        <v>663</v>
      </c>
      <c r="C356" s="543">
        <v>42735</v>
      </c>
      <c r="D356" s="542">
        <v>6838.8239999999996</v>
      </c>
    </row>
    <row r="357" spans="1:4">
      <c r="A357" s="545" t="s">
        <v>668</v>
      </c>
      <c r="B357" s="544" t="s">
        <v>669</v>
      </c>
      <c r="C357" s="543">
        <v>42735</v>
      </c>
      <c r="D357" s="542">
        <v>2000</v>
      </c>
    </row>
    <row r="358" spans="1:4">
      <c r="A358" s="545" t="s">
        <v>510</v>
      </c>
      <c r="B358" s="544" t="s">
        <v>509</v>
      </c>
      <c r="C358" s="543">
        <v>42735</v>
      </c>
      <c r="D358" s="542">
        <v>4564.6419999999998</v>
      </c>
    </row>
    <row r="359" spans="1:4">
      <c r="A359" s="545" t="s">
        <v>396</v>
      </c>
      <c r="B359" s="544" t="s">
        <v>395</v>
      </c>
      <c r="C359" s="543">
        <v>42735</v>
      </c>
      <c r="D359" s="542">
        <v>2858.7860000000001</v>
      </c>
    </row>
    <row r="360" spans="1:4">
      <c r="A360" s="545" t="s">
        <v>484</v>
      </c>
      <c r="B360" s="544" t="s">
        <v>483</v>
      </c>
      <c r="C360" s="543">
        <v>42735</v>
      </c>
      <c r="D360" s="542">
        <v>618.53700000000003</v>
      </c>
    </row>
    <row r="361" spans="1:4">
      <c r="A361" s="545" t="s">
        <v>185</v>
      </c>
      <c r="B361" s="544" t="s">
        <v>184</v>
      </c>
      <c r="C361" s="543">
        <v>42735</v>
      </c>
      <c r="D361" s="542">
        <v>3033.4459999999999</v>
      </c>
    </row>
    <row r="362" spans="1:4">
      <c r="A362" s="545" t="s">
        <v>343</v>
      </c>
      <c r="B362" s="544" t="s">
        <v>342</v>
      </c>
      <c r="C362" s="543">
        <v>42735</v>
      </c>
      <c r="D362" s="542">
        <v>494.96699999999998</v>
      </c>
    </row>
    <row r="363" spans="1:4">
      <c r="A363" s="545" t="s">
        <v>573</v>
      </c>
      <c r="B363" s="544" t="s">
        <v>574</v>
      </c>
      <c r="C363" s="543">
        <v>42735</v>
      </c>
      <c r="D363" s="542">
        <v>436.74799999999999</v>
      </c>
    </row>
    <row r="364" spans="1:4">
      <c r="A364" s="545" t="s">
        <v>757</v>
      </c>
      <c r="B364" s="544" t="s">
        <v>758</v>
      </c>
      <c r="C364" s="543">
        <v>42735</v>
      </c>
      <c r="D364" s="542">
        <v>2285.8339999999998</v>
      </c>
    </row>
    <row r="365" spans="1:4">
      <c r="A365" s="545" t="s">
        <v>759</v>
      </c>
      <c r="B365" s="544" t="s">
        <v>760</v>
      </c>
      <c r="C365" s="543">
        <v>42735</v>
      </c>
      <c r="D365" s="542">
        <v>996.14400000000001</v>
      </c>
    </row>
    <row r="366" spans="1:4">
      <c r="A366" s="545" t="s">
        <v>478</v>
      </c>
      <c r="B366" s="544" t="s">
        <v>477</v>
      </c>
      <c r="C366" s="543">
        <v>42735</v>
      </c>
      <c r="D366" s="542">
        <v>2623.7440000000001</v>
      </c>
    </row>
    <row r="367" spans="1:4">
      <c r="A367" s="545" t="s">
        <v>307</v>
      </c>
      <c r="B367" s="544" t="s">
        <v>306</v>
      </c>
      <c r="C367" s="543">
        <v>42735</v>
      </c>
      <c r="D367" s="542">
        <v>1006.636</v>
      </c>
    </row>
    <row r="368" spans="1:4">
      <c r="A368" s="545" t="s">
        <v>223</v>
      </c>
      <c r="B368" s="544" t="s">
        <v>222</v>
      </c>
      <c r="C368" s="543">
        <v>42735</v>
      </c>
      <c r="D368" s="542">
        <v>3568.0709999999999</v>
      </c>
    </row>
    <row r="369" spans="1:4">
      <c r="A369" s="545" t="s">
        <v>615</v>
      </c>
      <c r="B369" s="544" t="s">
        <v>616</v>
      </c>
      <c r="C369" s="543">
        <v>42735</v>
      </c>
      <c r="D369" s="542">
        <v>1614.6469999999999</v>
      </c>
    </row>
    <row r="370" spans="1:4">
      <c r="A370" s="545" t="s">
        <v>345</v>
      </c>
      <c r="B370" s="544" t="s">
        <v>344</v>
      </c>
      <c r="C370" s="543">
        <v>42735</v>
      </c>
      <c r="D370" s="542">
        <v>1113.222</v>
      </c>
    </row>
    <row r="371" spans="1:4">
      <c r="A371" s="545" t="s">
        <v>291</v>
      </c>
      <c r="B371" s="544" t="s">
        <v>290</v>
      </c>
      <c r="C371" s="543">
        <v>42735</v>
      </c>
      <c r="D371" s="542">
        <v>4500</v>
      </c>
    </row>
    <row r="372" spans="1:4">
      <c r="A372" s="545" t="s">
        <v>341</v>
      </c>
      <c r="B372" s="544" t="s">
        <v>340</v>
      </c>
      <c r="C372" s="543">
        <v>42735</v>
      </c>
      <c r="D372" s="542">
        <v>645.86</v>
      </c>
    </row>
    <row r="373" spans="1:4">
      <c r="A373" s="545" t="s">
        <v>299</v>
      </c>
      <c r="B373" s="544" t="s">
        <v>298</v>
      </c>
      <c r="C373" s="543">
        <v>42735</v>
      </c>
      <c r="D373" s="542">
        <v>492.05900000000003</v>
      </c>
    </row>
    <row r="374" spans="1:4">
      <c r="A374" s="545" t="s">
        <v>269</v>
      </c>
      <c r="B374" s="544" t="s">
        <v>268</v>
      </c>
      <c r="C374" s="543">
        <v>42735</v>
      </c>
      <c r="D374" s="542">
        <v>3376.5880000000002</v>
      </c>
    </row>
    <row r="375" spans="1:4">
      <c r="A375" s="545" t="s">
        <v>339</v>
      </c>
      <c r="B375" s="544" t="s">
        <v>338</v>
      </c>
      <c r="C375" s="543">
        <v>42735</v>
      </c>
      <c r="D375" s="542">
        <v>6479.1180000000004</v>
      </c>
    </row>
    <row r="376" spans="1:4">
      <c r="A376" s="545" t="s">
        <v>587</v>
      </c>
      <c r="B376" s="544" t="s">
        <v>588</v>
      </c>
      <c r="C376" s="543">
        <v>42735</v>
      </c>
      <c r="D376" s="542">
        <v>948.64200000000005</v>
      </c>
    </row>
    <row r="377" spans="1:4">
      <c r="A377" s="545" t="s">
        <v>664</v>
      </c>
      <c r="B377" s="544" t="s">
        <v>665</v>
      </c>
      <c r="C377" s="543">
        <v>42735</v>
      </c>
      <c r="D377" s="542">
        <v>746.41300000000001</v>
      </c>
    </row>
    <row r="378" spans="1:4">
      <c r="A378" s="545" t="s">
        <v>243</v>
      </c>
      <c r="B378" s="544" t="s">
        <v>242</v>
      </c>
      <c r="C378" s="543">
        <v>42735</v>
      </c>
      <c r="D378" s="542">
        <v>2200</v>
      </c>
    </row>
    <row r="379" spans="1:4">
      <c r="A379" s="545" t="s">
        <v>181</v>
      </c>
      <c r="B379" s="544" t="s">
        <v>180</v>
      </c>
      <c r="C379" s="543">
        <v>42735</v>
      </c>
      <c r="D379" s="542">
        <v>2310</v>
      </c>
    </row>
    <row r="380" spans="1:4">
      <c r="A380" s="545" t="s">
        <v>666</v>
      </c>
      <c r="B380" s="544" t="s">
        <v>667</v>
      </c>
      <c r="C380" s="543">
        <v>42735</v>
      </c>
      <c r="D380" s="542">
        <v>4623.5230000000001</v>
      </c>
    </row>
    <row r="381" spans="1:4">
      <c r="A381" s="545" t="s">
        <v>287</v>
      </c>
      <c r="B381" s="544" t="s">
        <v>286</v>
      </c>
      <c r="C381" s="543">
        <v>42735</v>
      </c>
      <c r="D381" s="542">
        <v>2116.1170000000002</v>
      </c>
    </row>
    <row r="382" spans="1:4">
      <c r="A382" s="545" t="s">
        <v>221</v>
      </c>
      <c r="B382" s="544" t="s">
        <v>220</v>
      </c>
      <c r="C382" s="543">
        <v>42735</v>
      </c>
      <c r="D382" s="542">
        <v>1142</v>
      </c>
    </row>
    <row r="383" spans="1:4">
      <c r="A383" s="545" t="s">
        <v>179</v>
      </c>
      <c r="B383" s="544" t="s">
        <v>178</v>
      </c>
      <c r="C383" s="543">
        <v>42735</v>
      </c>
      <c r="D383" s="542">
        <v>3793.384</v>
      </c>
    </row>
    <row r="384" spans="1:4">
      <c r="A384" s="545" t="s">
        <v>179</v>
      </c>
      <c r="B384" s="544" t="s">
        <v>178</v>
      </c>
      <c r="C384" s="543">
        <v>42735</v>
      </c>
      <c r="D384" s="542">
        <v>3500</v>
      </c>
    </row>
    <row r="385" spans="1:14">
      <c r="A385" s="545" t="s">
        <v>239</v>
      </c>
      <c r="B385" s="544" t="s">
        <v>238</v>
      </c>
      <c r="C385" s="543">
        <v>42735</v>
      </c>
      <c r="D385" s="542">
        <v>1455.9639999999999</v>
      </c>
    </row>
    <row r="386" spans="1:14">
      <c r="A386" s="545" t="s">
        <v>241</v>
      </c>
      <c r="B386" s="544" t="s">
        <v>240</v>
      </c>
      <c r="C386" s="543">
        <v>42735</v>
      </c>
      <c r="D386" s="542">
        <v>500</v>
      </c>
    </row>
    <row r="387" spans="1:14">
      <c r="A387" s="545" t="s">
        <v>237</v>
      </c>
      <c r="B387" s="544" t="s">
        <v>236</v>
      </c>
      <c r="C387" s="543">
        <v>42735</v>
      </c>
      <c r="D387" s="542">
        <v>1088.0319999999999</v>
      </c>
    </row>
    <row r="388" spans="1:14">
      <c r="A388" s="545" t="s">
        <v>378</v>
      </c>
      <c r="B388" s="544" t="s">
        <v>377</v>
      </c>
      <c r="C388" s="543">
        <v>42735</v>
      </c>
      <c r="D388" s="542">
        <v>3772.634</v>
      </c>
    </row>
    <row r="389" spans="1:14">
      <c r="A389" s="545" t="s">
        <v>472</v>
      </c>
      <c r="B389" s="544" t="s">
        <v>471</v>
      </c>
      <c r="C389" s="543">
        <v>42735</v>
      </c>
      <c r="D389" s="542">
        <v>4619.5540000000001</v>
      </c>
    </row>
    <row r="390" spans="1:14">
      <c r="A390" s="545" t="s">
        <v>267</v>
      </c>
      <c r="B390" s="544" t="s">
        <v>266</v>
      </c>
      <c r="C390" s="543">
        <v>42735</v>
      </c>
      <c r="D390" s="542">
        <v>12816.814</v>
      </c>
    </row>
    <row r="391" spans="1:14" ht="15.75" thickBot="1">
      <c r="A391" s="533" t="s">
        <v>490</v>
      </c>
      <c r="B391" s="532" t="s">
        <v>489</v>
      </c>
      <c r="C391" s="531">
        <v>42735</v>
      </c>
      <c r="D391" s="530">
        <v>4000</v>
      </c>
      <c r="E391" s="529"/>
      <c r="F391" s="529"/>
      <c r="G391" s="529"/>
      <c r="H391" s="529"/>
      <c r="I391" s="529"/>
      <c r="J391" s="529"/>
      <c r="K391" s="529"/>
      <c r="L391" s="529"/>
      <c r="M391" s="529"/>
      <c r="N391" s="529"/>
    </row>
    <row r="392" spans="1:14" s="527" customFormat="1" ht="15.75" thickBot="1">
      <c r="A392" s="677" t="s">
        <v>599</v>
      </c>
      <c r="B392" s="678"/>
      <c r="C392" s="678"/>
      <c r="D392" s="528">
        <f>SUM(D2:D391)</f>
        <v>725994.95599999989</v>
      </c>
    </row>
    <row r="393" spans="1:14">
      <c r="A393" s="549" t="s">
        <v>333</v>
      </c>
      <c r="B393" s="548" t="s">
        <v>332</v>
      </c>
      <c r="C393" s="547">
        <v>42736</v>
      </c>
      <c r="D393" s="546">
        <v>4021.1619999999998</v>
      </c>
    </row>
    <row r="394" spans="1:14">
      <c r="A394" s="545" t="s">
        <v>498</v>
      </c>
      <c r="B394" s="544" t="s">
        <v>497</v>
      </c>
      <c r="C394" s="543">
        <v>42737</v>
      </c>
      <c r="D394" s="542">
        <v>788.899</v>
      </c>
    </row>
    <row r="395" spans="1:14">
      <c r="A395" s="545" t="s">
        <v>319</v>
      </c>
      <c r="B395" s="544" t="s">
        <v>318</v>
      </c>
      <c r="C395" s="543">
        <v>42737</v>
      </c>
      <c r="D395" s="542">
        <v>1564.856</v>
      </c>
    </row>
    <row r="396" spans="1:14">
      <c r="A396" s="545" t="s">
        <v>275</v>
      </c>
      <c r="B396" s="544" t="s">
        <v>274</v>
      </c>
      <c r="C396" s="543">
        <v>42739</v>
      </c>
      <c r="D396" s="542">
        <v>1297.2629999999999</v>
      </c>
    </row>
    <row r="397" spans="1:14">
      <c r="A397" s="545" t="s">
        <v>528</v>
      </c>
      <c r="B397" s="544" t="s">
        <v>529</v>
      </c>
      <c r="C397" s="543">
        <v>42739</v>
      </c>
      <c r="D397" s="542">
        <v>103.071</v>
      </c>
    </row>
    <row r="398" spans="1:14">
      <c r="A398" s="545" t="s">
        <v>739</v>
      </c>
      <c r="B398" s="544" t="s">
        <v>740</v>
      </c>
      <c r="C398" s="543">
        <v>42740</v>
      </c>
      <c r="D398" s="542">
        <v>1050</v>
      </c>
    </row>
    <row r="399" spans="1:14">
      <c r="A399" s="545" t="s">
        <v>305</v>
      </c>
      <c r="B399" s="544" t="s">
        <v>304</v>
      </c>
      <c r="C399" s="543">
        <v>42740</v>
      </c>
      <c r="D399" s="542">
        <v>1053.0160000000001</v>
      </c>
    </row>
    <row r="400" spans="1:14">
      <c r="A400" s="545" t="s">
        <v>581</v>
      </c>
      <c r="B400" s="544" t="s">
        <v>582</v>
      </c>
      <c r="C400" s="543">
        <v>42740</v>
      </c>
      <c r="D400" s="542">
        <v>508.089</v>
      </c>
    </row>
    <row r="401" spans="1:4">
      <c r="A401" s="545" t="s">
        <v>362</v>
      </c>
      <c r="B401" s="544" t="s">
        <v>361</v>
      </c>
      <c r="C401" s="543">
        <v>42740</v>
      </c>
      <c r="D401" s="542">
        <v>988.25400000000002</v>
      </c>
    </row>
    <row r="402" spans="1:4">
      <c r="A402" s="545" t="s">
        <v>174</v>
      </c>
      <c r="B402" s="544" t="s">
        <v>173</v>
      </c>
      <c r="C402" s="543">
        <v>42740</v>
      </c>
      <c r="D402" s="542">
        <v>628.072</v>
      </c>
    </row>
    <row r="403" spans="1:4">
      <c r="A403" s="545" t="s">
        <v>420</v>
      </c>
      <c r="B403" s="544" t="s">
        <v>419</v>
      </c>
      <c r="C403" s="543">
        <v>42740</v>
      </c>
      <c r="D403" s="542">
        <v>1239.25</v>
      </c>
    </row>
    <row r="404" spans="1:4">
      <c r="A404" s="545" t="s">
        <v>557</v>
      </c>
      <c r="B404" s="544" t="s">
        <v>556</v>
      </c>
      <c r="C404" s="543">
        <v>42740</v>
      </c>
      <c r="D404" s="542">
        <v>1280.748</v>
      </c>
    </row>
    <row r="405" spans="1:4">
      <c r="A405" s="545" t="s">
        <v>496</v>
      </c>
      <c r="B405" s="544" t="s">
        <v>495</v>
      </c>
      <c r="C405" s="543">
        <v>42740</v>
      </c>
      <c r="D405" s="542">
        <v>1116.3109999999999</v>
      </c>
    </row>
    <row r="406" spans="1:4">
      <c r="A406" s="545" t="s">
        <v>550</v>
      </c>
      <c r="B406" s="544" t="s">
        <v>551</v>
      </c>
      <c r="C406" s="543">
        <v>42740</v>
      </c>
      <c r="D406" s="542">
        <v>3603.998</v>
      </c>
    </row>
    <row r="407" spans="1:4">
      <c r="A407" s="545" t="s">
        <v>402</v>
      </c>
      <c r="B407" s="544" t="s">
        <v>401</v>
      </c>
      <c r="C407" s="543">
        <v>42740</v>
      </c>
      <c r="D407" s="542">
        <v>1115.914</v>
      </c>
    </row>
    <row r="408" spans="1:4">
      <c r="A408" s="545" t="s">
        <v>500</v>
      </c>
      <c r="B408" s="544" t="s">
        <v>499</v>
      </c>
      <c r="C408" s="543">
        <v>42740</v>
      </c>
      <c r="D408" s="542">
        <v>1373.5650000000001</v>
      </c>
    </row>
    <row r="409" spans="1:4">
      <c r="A409" s="545" t="s">
        <v>257</v>
      </c>
      <c r="B409" s="544" t="s">
        <v>256</v>
      </c>
      <c r="C409" s="543">
        <v>42740</v>
      </c>
      <c r="D409" s="542">
        <v>2950</v>
      </c>
    </row>
    <row r="410" spans="1:4">
      <c r="A410" s="545" t="s">
        <v>189</v>
      </c>
      <c r="B410" s="544" t="s">
        <v>188</v>
      </c>
      <c r="C410" s="543">
        <v>42740</v>
      </c>
      <c r="D410" s="542">
        <v>2000</v>
      </c>
    </row>
    <row r="411" spans="1:4">
      <c r="A411" s="545" t="s">
        <v>172</v>
      </c>
      <c r="B411" s="544" t="s">
        <v>171</v>
      </c>
      <c r="C411" s="543">
        <v>42740</v>
      </c>
      <c r="D411" s="542">
        <v>3765.3780000000002</v>
      </c>
    </row>
    <row r="412" spans="1:4">
      <c r="A412" s="545" t="s">
        <v>323</v>
      </c>
      <c r="B412" s="544" t="s">
        <v>322</v>
      </c>
      <c r="C412" s="543">
        <v>42740</v>
      </c>
      <c r="D412" s="542">
        <v>1495.117</v>
      </c>
    </row>
    <row r="413" spans="1:4">
      <c r="A413" s="545" t="s">
        <v>488</v>
      </c>
      <c r="B413" s="544" t="s">
        <v>487</v>
      </c>
      <c r="C413" s="543">
        <v>42740</v>
      </c>
      <c r="D413" s="542">
        <v>5000</v>
      </c>
    </row>
    <row r="414" spans="1:4">
      <c r="A414" s="545" t="s">
        <v>211</v>
      </c>
      <c r="B414" s="544" t="s">
        <v>210</v>
      </c>
      <c r="C414" s="543">
        <v>42740</v>
      </c>
      <c r="D414" s="542">
        <v>6200</v>
      </c>
    </row>
    <row r="415" spans="1:4">
      <c r="A415" s="545" t="s">
        <v>656</v>
      </c>
      <c r="B415" s="544" t="s">
        <v>657</v>
      </c>
      <c r="C415" s="543">
        <v>42740</v>
      </c>
      <c r="D415" s="542">
        <v>545.75400000000002</v>
      </c>
    </row>
    <row r="416" spans="1:4">
      <c r="A416" s="545" t="s">
        <v>199</v>
      </c>
      <c r="B416" s="544" t="s">
        <v>198</v>
      </c>
      <c r="C416" s="543">
        <v>42740</v>
      </c>
      <c r="D416" s="542">
        <v>1513</v>
      </c>
    </row>
    <row r="417" spans="1:14">
      <c r="A417" s="545" t="s">
        <v>311</v>
      </c>
      <c r="B417" s="544" t="s">
        <v>310</v>
      </c>
      <c r="C417" s="543">
        <v>42740</v>
      </c>
      <c r="D417" s="542">
        <v>1778.087</v>
      </c>
    </row>
    <row r="418" spans="1:14">
      <c r="A418" s="545" t="s">
        <v>480</v>
      </c>
      <c r="B418" s="544" t="s">
        <v>479</v>
      </c>
      <c r="C418" s="543">
        <v>42740</v>
      </c>
      <c r="D418" s="542">
        <v>700</v>
      </c>
    </row>
    <row r="419" spans="1:14">
      <c r="A419" s="545" t="s">
        <v>480</v>
      </c>
      <c r="B419" s="544" t="s">
        <v>479</v>
      </c>
      <c r="C419" s="543">
        <v>42740</v>
      </c>
      <c r="D419" s="542">
        <v>500</v>
      </c>
    </row>
    <row r="420" spans="1:14">
      <c r="A420" s="545" t="s">
        <v>727</v>
      </c>
      <c r="B420" s="544" t="s">
        <v>728</v>
      </c>
      <c r="C420" s="543">
        <v>42740</v>
      </c>
      <c r="D420" s="542">
        <v>4000</v>
      </c>
    </row>
    <row r="421" spans="1:14">
      <c r="A421" s="545" t="s">
        <v>466</v>
      </c>
      <c r="B421" s="544" t="s">
        <v>465</v>
      </c>
      <c r="C421" s="543">
        <v>42740</v>
      </c>
      <c r="D421" s="542">
        <v>1419.1569999999999</v>
      </c>
    </row>
    <row r="422" spans="1:14">
      <c r="A422" s="545" t="s">
        <v>327</v>
      </c>
      <c r="B422" s="544" t="s">
        <v>326</v>
      </c>
      <c r="C422" s="543">
        <v>42740</v>
      </c>
      <c r="D422" s="542">
        <v>3000</v>
      </c>
    </row>
    <row r="423" spans="1:14">
      <c r="A423" s="545" t="s">
        <v>666</v>
      </c>
      <c r="B423" s="544" t="s">
        <v>667</v>
      </c>
      <c r="C423" s="543">
        <v>42740</v>
      </c>
      <c r="D423" s="542">
        <v>5803.83</v>
      </c>
    </row>
    <row r="424" spans="1:14">
      <c r="A424" s="545" t="s">
        <v>464</v>
      </c>
      <c r="B424" s="544" t="s">
        <v>463</v>
      </c>
      <c r="C424" s="543">
        <v>42740</v>
      </c>
      <c r="D424" s="542">
        <v>1800</v>
      </c>
    </row>
    <row r="425" spans="1:14">
      <c r="A425" s="545" t="s">
        <v>287</v>
      </c>
      <c r="B425" s="544" t="s">
        <v>286</v>
      </c>
      <c r="C425" s="543">
        <v>42740</v>
      </c>
      <c r="D425" s="542">
        <v>1461.8430000000001</v>
      </c>
    </row>
    <row r="426" spans="1:14">
      <c r="A426" s="545" t="s">
        <v>309</v>
      </c>
      <c r="B426" s="544" t="s">
        <v>308</v>
      </c>
      <c r="C426" s="543">
        <v>42740</v>
      </c>
      <c r="D426" s="542">
        <v>2660.9250000000002</v>
      </c>
    </row>
    <row r="427" spans="1:14">
      <c r="A427" s="545" t="s">
        <v>265</v>
      </c>
      <c r="B427" s="544" t="s">
        <v>264</v>
      </c>
      <c r="C427" s="543">
        <v>42740</v>
      </c>
      <c r="D427" s="542">
        <v>590</v>
      </c>
    </row>
    <row r="428" spans="1:14">
      <c r="A428" s="537" t="s">
        <v>613</v>
      </c>
      <c r="B428" s="536" t="s">
        <v>614</v>
      </c>
      <c r="C428" s="535">
        <v>42740</v>
      </c>
      <c r="D428" s="534">
        <v>501.53800000000001</v>
      </c>
      <c r="E428" s="529"/>
      <c r="F428" s="529"/>
      <c r="G428" s="529"/>
      <c r="H428" s="529"/>
      <c r="I428" s="529"/>
      <c r="J428" s="529"/>
      <c r="K428" s="529"/>
      <c r="L428" s="529"/>
      <c r="M428" s="529"/>
      <c r="N428" s="529"/>
    </row>
    <row r="429" spans="1:14">
      <c r="A429" s="537" t="s">
        <v>251</v>
      </c>
      <c r="B429" s="536" t="s">
        <v>250</v>
      </c>
      <c r="C429" s="535">
        <v>42740</v>
      </c>
      <c r="D429" s="534">
        <v>344.92200000000003</v>
      </c>
      <c r="E429" s="529"/>
      <c r="F429" s="529"/>
      <c r="G429" s="529"/>
      <c r="H429" s="529"/>
      <c r="I429" s="529"/>
      <c r="J429" s="529"/>
      <c r="K429" s="529"/>
      <c r="L429" s="529"/>
      <c r="M429" s="529"/>
      <c r="N429" s="529"/>
    </row>
    <row r="430" spans="1:14">
      <c r="A430" s="545" t="s">
        <v>295</v>
      </c>
      <c r="B430" s="544" t="s">
        <v>294</v>
      </c>
      <c r="C430" s="543">
        <v>42741</v>
      </c>
      <c r="D430" s="542">
        <v>2576.652</v>
      </c>
    </row>
    <row r="431" spans="1:14">
      <c r="A431" s="545" t="s">
        <v>428</v>
      </c>
      <c r="B431" s="544" t="s">
        <v>427</v>
      </c>
      <c r="C431" s="543">
        <v>42741</v>
      </c>
      <c r="D431" s="542">
        <v>739.92499999999995</v>
      </c>
    </row>
    <row r="432" spans="1:14">
      <c r="A432" s="545" t="s">
        <v>829</v>
      </c>
      <c r="B432" s="544" t="s">
        <v>828</v>
      </c>
      <c r="C432" s="543">
        <v>42741</v>
      </c>
      <c r="D432" s="542">
        <v>650.72699999999998</v>
      </c>
    </row>
    <row r="433" spans="1:4">
      <c r="A433" s="545" t="s">
        <v>672</v>
      </c>
      <c r="B433" s="544" t="s">
        <v>673</v>
      </c>
      <c r="C433" s="543">
        <v>42742</v>
      </c>
      <c r="D433" s="542">
        <v>3338</v>
      </c>
    </row>
    <row r="434" spans="1:4">
      <c r="A434" s="545" t="s">
        <v>174</v>
      </c>
      <c r="B434" s="544" t="s">
        <v>173</v>
      </c>
      <c r="C434" s="543">
        <v>42742</v>
      </c>
      <c r="D434" s="542">
        <v>700</v>
      </c>
    </row>
    <row r="435" spans="1:4">
      <c r="A435" s="545" t="s">
        <v>189</v>
      </c>
      <c r="B435" s="544" t="s">
        <v>188</v>
      </c>
      <c r="C435" s="543">
        <v>42742</v>
      </c>
      <c r="D435" s="542">
        <v>440.34800000000001</v>
      </c>
    </row>
    <row r="436" spans="1:4">
      <c r="A436" s="545" t="s">
        <v>179</v>
      </c>
      <c r="B436" s="544" t="s">
        <v>178</v>
      </c>
      <c r="C436" s="543">
        <v>42742</v>
      </c>
      <c r="D436" s="542">
        <v>3500</v>
      </c>
    </row>
    <row r="437" spans="1:4">
      <c r="A437" s="545" t="s">
        <v>619</v>
      </c>
      <c r="B437" s="544" t="s">
        <v>620</v>
      </c>
      <c r="C437" s="543">
        <v>42743</v>
      </c>
      <c r="D437" s="542">
        <v>2139.4490000000001</v>
      </c>
    </row>
    <row r="438" spans="1:4">
      <c r="A438" s="545" t="s">
        <v>197</v>
      </c>
      <c r="B438" s="544" t="s">
        <v>196</v>
      </c>
      <c r="C438" s="543">
        <v>42743</v>
      </c>
      <c r="D438" s="542">
        <v>4000</v>
      </c>
    </row>
    <row r="439" spans="1:4">
      <c r="A439" s="545" t="s">
        <v>827</v>
      </c>
      <c r="B439" s="544" t="s">
        <v>826</v>
      </c>
      <c r="C439" s="543">
        <v>42743</v>
      </c>
      <c r="D439" s="542">
        <v>1215.0740000000001</v>
      </c>
    </row>
    <row r="440" spans="1:4">
      <c r="A440" s="545" t="s">
        <v>207</v>
      </c>
      <c r="B440" s="544" t="s">
        <v>206</v>
      </c>
      <c r="C440" s="543">
        <v>42743</v>
      </c>
      <c r="D440" s="542">
        <v>3300</v>
      </c>
    </row>
    <row r="441" spans="1:4">
      <c r="A441" s="545" t="s">
        <v>297</v>
      </c>
      <c r="B441" s="544" t="s">
        <v>296</v>
      </c>
      <c r="C441" s="543">
        <v>42743</v>
      </c>
      <c r="D441" s="542">
        <v>2734.4540000000002</v>
      </c>
    </row>
    <row r="442" spans="1:4">
      <c r="A442" s="545" t="s">
        <v>795</v>
      </c>
      <c r="B442" s="544" t="s">
        <v>794</v>
      </c>
      <c r="C442" s="543">
        <v>42744</v>
      </c>
      <c r="D442" s="542">
        <v>1481</v>
      </c>
    </row>
    <row r="443" spans="1:4">
      <c r="A443" s="545" t="s">
        <v>265</v>
      </c>
      <c r="B443" s="544" t="s">
        <v>264</v>
      </c>
      <c r="C443" s="543">
        <v>42744</v>
      </c>
      <c r="D443" s="542">
        <v>585</v>
      </c>
    </row>
    <row r="444" spans="1:4">
      <c r="A444" s="545" t="s">
        <v>468</v>
      </c>
      <c r="B444" s="544" t="s">
        <v>467</v>
      </c>
      <c r="C444" s="543">
        <v>42745</v>
      </c>
      <c r="D444" s="542">
        <v>1181.078</v>
      </c>
    </row>
    <row r="445" spans="1:4">
      <c r="A445" s="545" t="s">
        <v>825</v>
      </c>
      <c r="B445" s="544" t="s">
        <v>824</v>
      </c>
      <c r="C445" s="543">
        <v>42745</v>
      </c>
      <c r="D445" s="542">
        <v>1086.4069999999999</v>
      </c>
    </row>
    <row r="446" spans="1:4">
      <c r="A446" s="545" t="s">
        <v>803</v>
      </c>
      <c r="B446" s="544" t="s">
        <v>802</v>
      </c>
      <c r="C446" s="543">
        <v>42745</v>
      </c>
      <c r="D446" s="542">
        <v>780</v>
      </c>
    </row>
    <row r="447" spans="1:4">
      <c r="A447" s="545" t="s">
        <v>652</v>
      </c>
      <c r="B447" s="544" t="s">
        <v>653</v>
      </c>
      <c r="C447" s="543">
        <v>42745</v>
      </c>
      <c r="D447" s="542">
        <v>384.399</v>
      </c>
    </row>
    <row r="448" spans="1:4">
      <c r="A448" s="545" t="s">
        <v>191</v>
      </c>
      <c r="B448" s="544" t="s">
        <v>190</v>
      </c>
      <c r="C448" s="543">
        <v>42745</v>
      </c>
      <c r="D448" s="542">
        <v>847.55600000000004</v>
      </c>
    </row>
    <row r="449" spans="1:4">
      <c r="A449" s="545" t="s">
        <v>215</v>
      </c>
      <c r="B449" s="544" t="s">
        <v>214</v>
      </c>
      <c r="C449" s="543">
        <v>42745</v>
      </c>
      <c r="D449" s="542">
        <v>434.76799999999997</v>
      </c>
    </row>
    <row r="450" spans="1:4">
      <c r="A450" s="545" t="s">
        <v>502</v>
      </c>
      <c r="B450" s="544" t="s">
        <v>501</v>
      </c>
      <c r="C450" s="543">
        <v>42745</v>
      </c>
      <c r="D450" s="542">
        <v>2475.777</v>
      </c>
    </row>
    <row r="451" spans="1:4">
      <c r="A451" s="545" t="s">
        <v>201</v>
      </c>
      <c r="B451" s="544" t="s">
        <v>200</v>
      </c>
      <c r="C451" s="543">
        <v>42745</v>
      </c>
      <c r="D451" s="542">
        <v>1321.654</v>
      </c>
    </row>
    <row r="452" spans="1:4">
      <c r="A452" s="545" t="s">
        <v>170</v>
      </c>
      <c r="B452" s="544" t="s">
        <v>169</v>
      </c>
      <c r="C452" s="543">
        <v>42745</v>
      </c>
      <c r="D452" s="542">
        <v>1068.3520000000001</v>
      </c>
    </row>
    <row r="453" spans="1:4">
      <c r="A453" s="545" t="s">
        <v>257</v>
      </c>
      <c r="B453" s="544" t="s">
        <v>256</v>
      </c>
      <c r="C453" s="543">
        <v>42745</v>
      </c>
      <c r="D453" s="542">
        <v>350</v>
      </c>
    </row>
    <row r="454" spans="1:4">
      <c r="A454" s="545" t="s">
        <v>195</v>
      </c>
      <c r="B454" s="544" t="s">
        <v>194</v>
      </c>
      <c r="C454" s="543">
        <v>42745</v>
      </c>
      <c r="D454" s="542">
        <v>2300</v>
      </c>
    </row>
    <row r="455" spans="1:4">
      <c r="A455" s="545" t="s">
        <v>350</v>
      </c>
      <c r="B455" s="544" t="s">
        <v>349</v>
      </c>
      <c r="C455" s="543">
        <v>42745</v>
      </c>
      <c r="D455" s="542">
        <v>643.84199999999998</v>
      </c>
    </row>
    <row r="456" spans="1:4">
      <c r="A456" s="545" t="s">
        <v>432</v>
      </c>
      <c r="B456" s="544" t="s">
        <v>431</v>
      </c>
      <c r="C456" s="543">
        <v>42745</v>
      </c>
      <c r="D456" s="542">
        <v>3480.6439999999998</v>
      </c>
    </row>
    <row r="457" spans="1:4">
      <c r="A457" s="545" t="s">
        <v>492</v>
      </c>
      <c r="B457" s="544" t="s">
        <v>491</v>
      </c>
      <c r="C457" s="543">
        <v>42745</v>
      </c>
      <c r="D457" s="542">
        <v>879.56299999999999</v>
      </c>
    </row>
    <row r="458" spans="1:4">
      <c r="A458" s="545" t="s">
        <v>279</v>
      </c>
      <c r="B458" s="544" t="s">
        <v>278</v>
      </c>
      <c r="C458" s="543">
        <v>42745</v>
      </c>
      <c r="D458" s="542">
        <v>1055.7619999999999</v>
      </c>
    </row>
    <row r="459" spans="1:4">
      <c r="A459" s="545" t="s">
        <v>225</v>
      </c>
      <c r="B459" s="544" t="s">
        <v>224</v>
      </c>
      <c r="C459" s="543">
        <v>42745</v>
      </c>
      <c r="D459" s="542">
        <v>2027.854</v>
      </c>
    </row>
    <row r="460" spans="1:4">
      <c r="A460" s="545" t="s">
        <v>650</v>
      </c>
      <c r="B460" s="544" t="s">
        <v>651</v>
      </c>
      <c r="C460" s="543">
        <v>42745</v>
      </c>
      <c r="D460" s="542">
        <v>1363.498</v>
      </c>
    </row>
    <row r="461" spans="1:4">
      <c r="A461" s="545" t="s">
        <v>315</v>
      </c>
      <c r="B461" s="544" t="s">
        <v>314</v>
      </c>
      <c r="C461" s="543">
        <v>42745</v>
      </c>
      <c r="D461" s="542">
        <v>375.13799999999998</v>
      </c>
    </row>
    <row r="462" spans="1:4">
      <c r="A462" s="545" t="s">
        <v>554</v>
      </c>
      <c r="B462" s="544" t="s">
        <v>555</v>
      </c>
      <c r="C462" s="543">
        <v>42745</v>
      </c>
      <c r="D462" s="542">
        <v>895.97299999999996</v>
      </c>
    </row>
    <row r="463" spans="1:4">
      <c r="A463" s="545" t="s">
        <v>203</v>
      </c>
      <c r="B463" s="544" t="s">
        <v>202</v>
      </c>
      <c r="C463" s="543">
        <v>42745</v>
      </c>
      <c r="D463" s="542">
        <v>772.91899999999998</v>
      </c>
    </row>
    <row r="464" spans="1:4">
      <c r="A464" s="545" t="s">
        <v>289</v>
      </c>
      <c r="B464" s="544" t="s">
        <v>288</v>
      </c>
      <c r="C464" s="543">
        <v>42745</v>
      </c>
      <c r="D464" s="542">
        <v>671.26700000000005</v>
      </c>
    </row>
    <row r="465" spans="1:14">
      <c r="A465" s="545" t="s">
        <v>183</v>
      </c>
      <c r="B465" s="544" t="s">
        <v>182</v>
      </c>
      <c r="C465" s="543">
        <v>42745</v>
      </c>
      <c r="D465" s="542">
        <v>1800</v>
      </c>
    </row>
    <row r="466" spans="1:14">
      <c r="A466" s="545" t="s">
        <v>597</v>
      </c>
      <c r="B466" s="544" t="s">
        <v>598</v>
      </c>
      <c r="C466" s="543">
        <v>42745</v>
      </c>
      <c r="D466" s="542">
        <v>358.85700000000003</v>
      </c>
    </row>
    <row r="467" spans="1:14">
      <c r="A467" s="545" t="s">
        <v>269</v>
      </c>
      <c r="B467" s="544" t="s">
        <v>268</v>
      </c>
      <c r="C467" s="543">
        <v>42745</v>
      </c>
      <c r="D467" s="542">
        <v>3000</v>
      </c>
    </row>
    <row r="468" spans="1:14">
      <c r="A468" s="545" t="s">
        <v>277</v>
      </c>
      <c r="B468" s="544" t="s">
        <v>276</v>
      </c>
      <c r="C468" s="543">
        <v>42745</v>
      </c>
      <c r="D468" s="542">
        <v>491.351</v>
      </c>
    </row>
    <row r="469" spans="1:14">
      <c r="A469" s="545" t="s">
        <v>317</v>
      </c>
      <c r="B469" s="544" t="s">
        <v>316</v>
      </c>
      <c r="C469" s="543">
        <v>42745</v>
      </c>
      <c r="D469" s="542">
        <v>1960.1679999999999</v>
      </c>
    </row>
    <row r="470" spans="1:14">
      <c r="A470" s="545" t="s">
        <v>460</v>
      </c>
      <c r="B470" s="544" t="s">
        <v>459</v>
      </c>
      <c r="C470" s="543">
        <v>42745</v>
      </c>
      <c r="D470" s="542">
        <v>3304.087</v>
      </c>
    </row>
    <row r="471" spans="1:14">
      <c r="A471" s="545" t="s">
        <v>609</v>
      </c>
      <c r="B471" s="544" t="s">
        <v>610</v>
      </c>
      <c r="C471" s="543">
        <v>42745</v>
      </c>
      <c r="D471" s="542">
        <v>858.06500000000005</v>
      </c>
    </row>
    <row r="472" spans="1:14">
      <c r="A472" s="545" t="s">
        <v>335</v>
      </c>
      <c r="B472" s="544" t="s">
        <v>334</v>
      </c>
      <c r="C472" s="543">
        <v>42745</v>
      </c>
      <c r="D472" s="542">
        <v>1790.9290000000001</v>
      </c>
    </row>
    <row r="473" spans="1:14">
      <c r="A473" s="545" t="s">
        <v>221</v>
      </c>
      <c r="B473" s="544" t="s">
        <v>220</v>
      </c>
      <c r="C473" s="543">
        <v>42745</v>
      </c>
      <c r="D473" s="542">
        <v>1143</v>
      </c>
    </row>
    <row r="474" spans="1:14">
      <c r="A474" s="545" t="s">
        <v>241</v>
      </c>
      <c r="B474" s="544" t="s">
        <v>240</v>
      </c>
      <c r="C474" s="543">
        <v>42745</v>
      </c>
      <c r="D474" s="542">
        <v>669.92899999999997</v>
      </c>
    </row>
    <row r="475" spans="1:14">
      <c r="A475" s="537" t="s">
        <v>358</v>
      </c>
      <c r="B475" s="536" t="s">
        <v>357</v>
      </c>
      <c r="C475" s="535">
        <v>42745</v>
      </c>
      <c r="D475" s="534">
        <v>900</v>
      </c>
      <c r="E475" s="529"/>
      <c r="F475" s="529"/>
      <c r="G475" s="529"/>
      <c r="H475" s="529"/>
      <c r="I475" s="529"/>
      <c r="J475" s="529"/>
      <c r="K475" s="529"/>
      <c r="L475" s="529"/>
      <c r="M475" s="529"/>
      <c r="N475" s="529"/>
    </row>
    <row r="476" spans="1:14">
      <c r="A476" s="537" t="s">
        <v>490</v>
      </c>
      <c r="B476" s="536" t="s">
        <v>489</v>
      </c>
      <c r="C476" s="535">
        <v>42745</v>
      </c>
      <c r="D476" s="534">
        <v>4000</v>
      </c>
      <c r="E476" s="529"/>
      <c r="F476" s="529"/>
      <c r="G476" s="529"/>
      <c r="H476" s="529"/>
      <c r="I476" s="529"/>
      <c r="J476" s="529"/>
      <c r="K476" s="529"/>
      <c r="L476" s="529"/>
      <c r="M476" s="529"/>
      <c r="N476" s="529"/>
    </row>
    <row r="477" spans="1:14">
      <c r="A477" s="545" t="s">
        <v>510</v>
      </c>
      <c r="B477" s="544" t="s">
        <v>509</v>
      </c>
      <c r="C477" s="543">
        <v>42746</v>
      </c>
      <c r="D477" s="542">
        <v>1500</v>
      </c>
    </row>
    <row r="478" spans="1:14">
      <c r="A478" s="545" t="s">
        <v>559</v>
      </c>
      <c r="B478" s="544" t="s">
        <v>558</v>
      </c>
      <c r="C478" s="543">
        <v>42746</v>
      </c>
      <c r="D478" s="542">
        <v>286.23</v>
      </c>
    </row>
    <row r="479" spans="1:14">
      <c r="A479" s="545" t="s">
        <v>402</v>
      </c>
      <c r="B479" s="544" t="s">
        <v>401</v>
      </c>
      <c r="C479" s="543">
        <v>42747</v>
      </c>
      <c r="D479" s="542">
        <v>5000</v>
      </c>
    </row>
    <row r="480" spans="1:14">
      <c r="A480" s="545" t="s">
        <v>510</v>
      </c>
      <c r="B480" s="544" t="s">
        <v>509</v>
      </c>
      <c r="C480" s="543">
        <v>42747</v>
      </c>
      <c r="D480" s="542">
        <v>1120</v>
      </c>
    </row>
    <row r="481" spans="1:14">
      <c r="A481" s="545" t="s">
        <v>823</v>
      </c>
      <c r="B481" s="544" t="s">
        <v>822</v>
      </c>
      <c r="C481" s="543">
        <v>42747</v>
      </c>
      <c r="D481" s="542">
        <v>1340</v>
      </c>
    </row>
    <row r="482" spans="1:14">
      <c r="A482" s="545" t="s">
        <v>648</v>
      </c>
      <c r="B482" s="544" t="s">
        <v>649</v>
      </c>
      <c r="C482" s="543">
        <v>42747</v>
      </c>
      <c r="D482" s="542">
        <v>2148.4929999999999</v>
      </c>
    </row>
    <row r="483" spans="1:14">
      <c r="A483" s="545" t="s">
        <v>215</v>
      </c>
      <c r="B483" s="544" t="s">
        <v>214</v>
      </c>
      <c r="C483" s="543">
        <v>42748</v>
      </c>
      <c r="D483" s="542">
        <v>440</v>
      </c>
    </row>
    <row r="484" spans="1:14">
      <c r="A484" s="545" t="s">
        <v>303</v>
      </c>
      <c r="B484" s="544" t="s">
        <v>302</v>
      </c>
      <c r="C484" s="543">
        <v>42748</v>
      </c>
      <c r="D484" s="542">
        <v>6746.1130000000003</v>
      </c>
    </row>
    <row r="485" spans="1:14">
      <c r="A485" s="545" t="s">
        <v>821</v>
      </c>
      <c r="B485" s="544" t="s">
        <v>820</v>
      </c>
      <c r="C485" s="543">
        <v>42748</v>
      </c>
      <c r="D485" s="542">
        <v>817.42399999999998</v>
      </c>
    </row>
    <row r="486" spans="1:14">
      <c r="A486" s="545" t="s">
        <v>559</v>
      </c>
      <c r="B486" s="544" t="s">
        <v>558</v>
      </c>
      <c r="C486" s="543">
        <v>42748</v>
      </c>
      <c r="D486" s="542">
        <v>164.79400000000001</v>
      </c>
    </row>
    <row r="487" spans="1:14">
      <c r="A487" s="545" t="s">
        <v>271</v>
      </c>
      <c r="B487" s="544" t="s">
        <v>270</v>
      </c>
      <c r="C487" s="543">
        <v>42748</v>
      </c>
      <c r="D487" s="542">
        <v>1160</v>
      </c>
    </row>
    <row r="488" spans="1:14">
      <c r="A488" s="545" t="s">
        <v>265</v>
      </c>
      <c r="B488" s="544" t="s">
        <v>264</v>
      </c>
      <c r="C488" s="543">
        <v>42748</v>
      </c>
      <c r="D488" s="542">
        <v>595</v>
      </c>
    </row>
    <row r="489" spans="1:14">
      <c r="A489" s="537" t="s">
        <v>378</v>
      </c>
      <c r="B489" s="536" t="s">
        <v>377</v>
      </c>
      <c r="C489" s="535">
        <v>42750</v>
      </c>
      <c r="D489" s="534">
        <v>2731.9780000000001</v>
      </c>
      <c r="E489" s="529"/>
      <c r="F489" s="529"/>
      <c r="G489" s="529"/>
      <c r="H489" s="529"/>
      <c r="I489" s="529"/>
      <c r="J489" s="529"/>
      <c r="K489" s="529"/>
      <c r="L489" s="529"/>
      <c r="M489" s="529"/>
      <c r="N489" s="529"/>
    </row>
    <row r="490" spans="1:14">
      <c r="A490" s="545" t="s">
        <v>739</v>
      </c>
      <c r="B490" s="544" t="s">
        <v>740</v>
      </c>
      <c r="C490" s="543">
        <v>42750</v>
      </c>
      <c r="D490" s="542">
        <v>1050</v>
      </c>
    </row>
    <row r="491" spans="1:14">
      <c r="A491" s="545" t="s">
        <v>456</v>
      </c>
      <c r="B491" s="544" t="s">
        <v>455</v>
      </c>
      <c r="C491" s="543">
        <v>42750</v>
      </c>
      <c r="D491" s="542">
        <v>577.70299999999997</v>
      </c>
    </row>
    <row r="492" spans="1:14">
      <c r="A492" s="545" t="s">
        <v>607</v>
      </c>
      <c r="B492" s="544" t="s">
        <v>608</v>
      </c>
      <c r="C492" s="543">
        <v>42750</v>
      </c>
      <c r="D492" s="542">
        <v>1000</v>
      </c>
    </row>
    <row r="493" spans="1:14">
      <c r="A493" s="545" t="s">
        <v>174</v>
      </c>
      <c r="B493" s="544" t="s">
        <v>173</v>
      </c>
      <c r="C493" s="543">
        <v>42750</v>
      </c>
      <c r="D493" s="542">
        <v>765.83600000000001</v>
      </c>
    </row>
    <row r="494" spans="1:14">
      <c r="A494" s="545" t="s">
        <v>197</v>
      </c>
      <c r="B494" s="544" t="s">
        <v>196</v>
      </c>
      <c r="C494" s="543">
        <v>42750</v>
      </c>
      <c r="D494" s="542">
        <v>4000</v>
      </c>
    </row>
    <row r="495" spans="1:14">
      <c r="A495" s="545" t="s">
        <v>321</v>
      </c>
      <c r="B495" s="544" t="s">
        <v>320</v>
      </c>
      <c r="C495" s="543">
        <v>42750</v>
      </c>
      <c r="D495" s="542">
        <v>988.68700000000001</v>
      </c>
    </row>
    <row r="496" spans="1:14">
      <c r="A496" s="545" t="s">
        <v>623</v>
      </c>
      <c r="B496" s="544" t="s">
        <v>624</v>
      </c>
      <c r="C496" s="543">
        <v>42750</v>
      </c>
      <c r="D496" s="542">
        <v>1140.9110000000001</v>
      </c>
    </row>
    <row r="497" spans="1:4">
      <c r="A497" s="545" t="s">
        <v>251</v>
      </c>
      <c r="B497" s="544" t="s">
        <v>250</v>
      </c>
      <c r="C497" s="543">
        <v>42750</v>
      </c>
      <c r="D497" s="542">
        <v>385.56599999999997</v>
      </c>
    </row>
    <row r="498" spans="1:4">
      <c r="A498" s="545" t="s">
        <v>257</v>
      </c>
      <c r="B498" s="544" t="s">
        <v>256</v>
      </c>
      <c r="C498" s="543">
        <v>42750</v>
      </c>
      <c r="D498" s="542">
        <v>750</v>
      </c>
    </row>
    <row r="499" spans="1:4">
      <c r="A499" s="545" t="s">
        <v>400</v>
      </c>
      <c r="B499" s="544" t="s">
        <v>399</v>
      </c>
      <c r="C499" s="543">
        <v>42750</v>
      </c>
      <c r="D499" s="542">
        <v>1594.12</v>
      </c>
    </row>
    <row r="500" spans="1:4">
      <c r="A500" s="545" t="s">
        <v>646</v>
      </c>
      <c r="B500" s="544" t="s">
        <v>647</v>
      </c>
      <c r="C500" s="543">
        <v>42750</v>
      </c>
      <c r="D500" s="542">
        <v>1748.232</v>
      </c>
    </row>
    <row r="501" spans="1:4">
      <c r="A501" s="545" t="s">
        <v>211</v>
      </c>
      <c r="B501" s="544" t="s">
        <v>210</v>
      </c>
      <c r="C501" s="543">
        <v>42750</v>
      </c>
      <c r="D501" s="542">
        <v>6292.9669999999996</v>
      </c>
    </row>
    <row r="502" spans="1:4">
      <c r="A502" s="545" t="s">
        <v>281</v>
      </c>
      <c r="B502" s="544" t="s">
        <v>280</v>
      </c>
      <c r="C502" s="543">
        <v>42750</v>
      </c>
      <c r="D502" s="542">
        <v>1192.777</v>
      </c>
    </row>
    <row r="503" spans="1:4">
      <c r="A503" s="545" t="s">
        <v>440</v>
      </c>
      <c r="B503" s="544" t="s">
        <v>439</v>
      </c>
      <c r="C503" s="543">
        <v>42750</v>
      </c>
      <c r="D503" s="542">
        <v>1400.047</v>
      </c>
    </row>
    <row r="504" spans="1:4">
      <c r="A504" s="545" t="s">
        <v>354</v>
      </c>
      <c r="B504" s="544" t="s">
        <v>353</v>
      </c>
      <c r="C504" s="543">
        <v>42750</v>
      </c>
      <c r="D504" s="542">
        <v>1945.404</v>
      </c>
    </row>
    <row r="505" spans="1:4">
      <c r="A505" s="545" t="s">
        <v>311</v>
      </c>
      <c r="B505" s="544" t="s">
        <v>310</v>
      </c>
      <c r="C505" s="543">
        <v>42750</v>
      </c>
      <c r="D505" s="542">
        <v>1778.087</v>
      </c>
    </row>
    <row r="506" spans="1:4">
      <c r="A506" s="545" t="s">
        <v>484</v>
      </c>
      <c r="B506" s="544" t="s">
        <v>483</v>
      </c>
      <c r="C506" s="543">
        <v>42750</v>
      </c>
      <c r="D506" s="542">
        <v>1000</v>
      </c>
    </row>
    <row r="507" spans="1:4">
      <c r="A507" s="545" t="s">
        <v>168</v>
      </c>
      <c r="B507" s="544" t="s">
        <v>167</v>
      </c>
      <c r="C507" s="543">
        <v>42750</v>
      </c>
      <c r="D507" s="542">
        <v>8240.1659999999993</v>
      </c>
    </row>
    <row r="508" spans="1:4">
      <c r="A508" s="545" t="s">
        <v>615</v>
      </c>
      <c r="B508" s="544" t="s">
        <v>616</v>
      </c>
      <c r="C508" s="543">
        <v>42750</v>
      </c>
      <c r="D508" s="542">
        <v>1614.6469999999999</v>
      </c>
    </row>
    <row r="509" spans="1:4">
      <c r="A509" s="545" t="s">
        <v>346</v>
      </c>
      <c r="B509" s="544" t="s">
        <v>637</v>
      </c>
      <c r="C509" s="543">
        <v>42750</v>
      </c>
      <c r="D509" s="542">
        <v>540.59799999999996</v>
      </c>
    </row>
    <row r="510" spans="1:4">
      <c r="A510" s="545" t="s">
        <v>761</v>
      </c>
      <c r="B510" s="544" t="s">
        <v>762</v>
      </c>
      <c r="C510" s="543">
        <v>42750</v>
      </c>
      <c r="D510" s="542">
        <v>625.12099999999998</v>
      </c>
    </row>
    <row r="511" spans="1:4">
      <c r="A511" s="545" t="s">
        <v>269</v>
      </c>
      <c r="B511" s="544" t="s">
        <v>268</v>
      </c>
      <c r="C511" s="543">
        <v>42750</v>
      </c>
      <c r="D511" s="542">
        <v>3500</v>
      </c>
    </row>
    <row r="512" spans="1:4">
      <c r="A512" s="545" t="s">
        <v>426</v>
      </c>
      <c r="B512" s="544" t="s">
        <v>425</v>
      </c>
      <c r="C512" s="543">
        <v>42750</v>
      </c>
      <c r="D512" s="542">
        <v>693</v>
      </c>
    </row>
    <row r="513" spans="1:14">
      <c r="A513" s="545" t="s">
        <v>733</v>
      </c>
      <c r="B513" s="544" t="s">
        <v>734</v>
      </c>
      <c r="C513" s="543">
        <v>42750</v>
      </c>
      <c r="D513" s="542">
        <v>1000</v>
      </c>
    </row>
    <row r="514" spans="1:14">
      <c r="A514" s="545" t="s">
        <v>243</v>
      </c>
      <c r="B514" s="544" t="s">
        <v>242</v>
      </c>
      <c r="C514" s="543">
        <v>42750</v>
      </c>
      <c r="D514" s="542">
        <v>2000</v>
      </c>
    </row>
    <row r="515" spans="1:14">
      <c r="A515" s="545" t="s">
        <v>179</v>
      </c>
      <c r="B515" s="544" t="s">
        <v>178</v>
      </c>
      <c r="C515" s="543">
        <v>42750</v>
      </c>
      <c r="D515" s="542">
        <v>3500</v>
      </c>
    </row>
    <row r="516" spans="1:14">
      <c r="A516" s="537" t="s">
        <v>635</v>
      </c>
      <c r="B516" s="536" t="s">
        <v>636</v>
      </c>
      <c r="C516" s="535">
        <v>42750</v>
      </c>
      <c r="D516" s="534">
        <v>3600</v>
      </c>
      <c r="E516" s="529"/>
      <c r="F516" s="529"/>
      <c r="G516" s="529"/>
      <c r="H516" s="529"/>
      <c r="I516" s="529"/>
      <c r="J516" s="529"/>
      <c r="K516" s="529"/>
      <c r="L516" s="529"/>
      <c r="M516" s="529"/>
      <c r="N516" s="529"/>
    </row>
    <row r="517" spans="1:14">
      <c r="A517" s="537" t="s">
        <v>819</v>
      </c>
      <c r="B517" s="536" t="s">
        <v>818</v>
      </c>
      <c r="C517" s="535">
        <v>42750</v>
      </c>
      <c r="D517" s="534">
        <v>2128.8580000000002</v>
      </c>
      <c r="E517" s="529"/>
      <c r="F517" s="529"/>
      <c r="G517" s="529"/>
      <c r="H517" s="529"/>
      <c r="I517" s="529"/>
      <c r="J517" s="529"/>
      <c r="K517" s="529"/>
      <c r="L517" s="529"/>
      <c r="M517" s="529"/>
      <c r="N517" s="529"/>
    </row>
    <row r="518" spans="1:14">
      <c r="A518" s="537" t="s">
        <v>265</v>
      </c>
      <c r="B518" s="536" t="s">
        <v>264</v>
      </c>
      <c r="C518" s="535">
        <v>42750</v>
      </c>
      <c r="D518" s="534">
        <v>500</v>
      </c>
      <c r="E518" s="529"/>
      <c r="F518" s="529"/>
      <c r="G518" s="529"/>
      <c r="H518" s="529"/>
      <c r="I518" s="529"/>
      <c r="J518" s="529"/>
      <c r="K518" s="529"/>
      <c r="L518" s="529"/>
      <c r="M518" s="529"/>
      <c r="N518" s="529"/>
    </row>
    <row r="519" spans="1:14">
      <c r="A519" s="545" t="s">
        <v>557</v>
      </c>
      <c r="B519" s="544" t="s">
        <v>556</v>
      </c>
      <c r="C519" s="543">
        <v>42751</v>
      </c>
      <c r="D519" s="542">
        <v>1280.748</v>
      </c>
    </row>
    <row r="520" spans="1:14">
      <c r="A520" s="545" t="s">
        <v>795</v>
      </c>
      <c r="B520" s="544" t="s">
        <v>794</v>
      </c>
      <c r="C520" s="543">
        <v>42751</v>
      </c>
      <c r="D520" s="542">
        <v>1350</v>
      </c>
    </row>
    <row r="521" spans="1:14">
      <c r="A521" s="545" t="s">
        <v>219</v>
      </c>
      <c r="B521" s="544" t="s">
        <v>218</v>
      </c>
      <c r="C521" s="543">
        <v>42751</v>
      </c>
      <c r="D521" s="542">
        <v>824.47500000000002</v>
      </c>
    </row>
    <row r="522" spans="1:14">
      <c r="A522" s="545" t="s">
        <v>162</v>
      </c>
      <c r="B522" s="544" t="s">
        <v>161</v>
      </c>
      <c r="C522" s="543">
        <v>42751</v>
      </c>
      <c r="D522" s="542">
        <v>1540</v>
      </c>
    </row>
    <row r="523" spans="1:14">
      <c r="A523" s="545" t="s">
        <v>187</v>
      </c>
      <c r="B523" s="544" t="s">
        <v>186</v>
      </c>
      <c r="C523" s="543">
        <v>42752</v>
      </c>
      <c r="D523" s="542">
        <v>725</v>
      </c>
    </row>
    <row r="524" spans="1:14">
      <c r="A524" s="545" t="s">
        <v>464</v>
      </c>
      <c r="B524" s="544" t="s">
        <v>463</v>
      </c>
      <c r="C524" s="543">
        <v>42752</v>
      </c>
      <c r="D524" s="542">
        <v>1800</v>
      </c>
    </row>
    <row r="525" spans="1:14">
      <c r="A525" s="537" t="s">
        <v>721</v>
      </c>
      <c r="B525" s="536" t="s">
        <v>722</v>
      </c>
      <c r="C525" s="535">
        <v>42752</v>
      </c>
      <c r="D525" s="534">
        <v>1473.808</v>
      </c>
      <c r="E525" s="529"/>
      <c r="F525" s="529"/>
      <c r="G525" s="529"/>
      <c r="H525" s="529"/>
      <c r="I525" s="529"/>
      <c r="J525" s="529"/>
      <c r="K525" s="529"/>
      <c r="L525" s="529"/>
      <c r="M525" s="529"/>
      <c r="N525" s="529"/>
    </row>
    <row r="526" spans="1:14">
      <c r="A526" s="545" t="s">
        <v>191</v>
      </c>
      <c r="B526" s="544" t="s">
        <v>190</v>
      </c>
      <c r="C526" s="543">
        <v>42753</v>
      </c>
      <c r="D526" s="542">
        <v>1000</v>
      </c>
    </row>
    <row r="527" spans="1:14">
      <c r="A527" s="545" t="s">
        <v>207</v>
      </c>
      <c r="B527" s="544" t="s">
        <v>206</v>
      </c>
      <c r="C527" s="543">
        <v>42753</v>
      </c>
      <c r="D527" s="542">
        <v>3340.741</v>
      </c>
    </row>
    <row r="528" spans="1:14">
      <c r="A528" s="545" t="s">
        <v>442</v>
      </c>
      <c r="B528" s="544" t="s">
        <v>441</v>
      </c>
      <c r="C528" s="543">
        <v>42753</v>
      </c>
      <c r="D528" s="542">
        <v>2936.6309999999999</v>
      </c>
    </row>
    <row r="529" spans="1:14">
      <c r="A529" s="537" t="s">
        <v>450</v>
      </c>
      <c r="B529" s="536" t="s">
        <v>449</v>
      </c>
      <c r="C529" s="535">
        <v>42753</v>
      </c>
      <c r="D529" s="534">
        <v>461.65300000000002</v>
      </c>
      <c r="E529" s="529"/>
      <c r="F529" s="529"/>
      <c r="G529" s="529"/>
      <c r="H529" s="529"/>
      <c r="I529" s="529"/>
      <c r="J529" s="529"/>
      <c r="K529" s="529"/>
      <c r="L529" s="529"/>
      <c r="M529" s="529"/>
      <c r="N529" s="529"/>
    </row>
    <row r="530" spans="1:14">
      <c r="A530" s="545" t="s">
        <v>619</v>
      </c>
      <c r="B530" s="544" t="s">
        <v>620</v>
      </c>
      <c r="C530" s="543">
        <v>42754</v>
      </c>
      <c r="D530" s="542">
        <v>2139.4490000000001</v>
      </c>
    </row>
    <row r="531" spans="1:14">
      <c r="A531" s="545" t="s">
        <v>428</v>
      </c>
      <c r="B531" s="544" t="s">
        <v>427</v>
      </c>
      <c r="C531" s="543">
        <v>42754</v>
      </c>
      <c r="D531" s="542">
        <v>700</v>
      </c>
    </row>
    <row r="532" spans="1:14">
      <c r="A532" s="545" t="s">
        <v>510</v>
      </c>
      <c r="B532" s="544" t="s">
        <v>509</v>
      </c>
      <c r="C532" s="543">
        <v>42754</v>
      </c>
      <c r="D532" s="542">
        <v>1120</v>
      </c>
    </row>
    <row r="533" spans="1:14">
      <c r="A533" s="545" t="s">
        <v>462</v>
      </c>
      <c r="B533" s="544" t="s">
        <v>461</v>
      </c>
      <c r="C533" s="543">
        <v>42754</v>
      </c>
      <c r="D533" s="542">
        <v>1088.547</v>
      </c>
    </row>
    <row r="534" spans="1:14">
      <c r="A534" s="545" t="s">
        <v>803</v>
      </c>
      <c r="B534" s="544" t="s">
        <v>802</v>
      </c>
      <c r="C534" s="543">
        <v>42755</v>
      </c>
      <c r="D534" s="542">
        <v>780</v>
      </c>
    </row>
    <row r="535" spans="1:14">
      <c r="A535" s="545" t="s">
        <v>174</v>
      </c>
      <c r="B535" s="544" t="s">
        <v>173</v>
      </c>
      <c r="C535" s="543">
        <v>42755</v>
      </c>
      <c r="D535" s="542">
        <v>766.91600000000005</v>
      </c>
    </row>
    <row r="536" spans="1:14">
      <c r="A536" s="545" t="s">
        <v>255</v>
      </c>
      <c r="B536" s="544" t="s">
        <v>254</v>
      </c>
      <c r="C536" s="543">
        <v>42755</v>
      </c>
      <c r="D536" s="542">
        <v>2500</v>
      </c>
    </row>
    <row r="537" spans="1:14">
      <c r="A537" s="545" t="s">
        <v>550</v>
      </c>
      <c r="B537" s="544" t="s">
        <v>551</v>
      </c>
      <c r="C537" s="543">
        <v>42755</v>
      </c>
      <c r="D537" s="542">
        <v>2500</v>
      </c>
    </row>
    <row r="538" spans="1:14">
      <c r="A538" s="545" t="s">
        <v>201</v>
      </c>
      <c r="B538" s="544" t="s">
        <v>200</v>
      </c>
      <c r="C538" s="543">
        <v>42755</v>
      </c>
      <c r="D538" s="542">
        <v>2000</v>
      </c>
    </row>
    <row r="539" spans="1:14">
      <c r="A539" s="545" t="s">
        <v>293</v>
      </c>
      <c r="B539" s="544" t="s">
        <v>292</v>
      </c>
      <c r="C539" s="543">
        <v>42755</v>
      </c>
      <c r="D539" s="542">
        <v>570</v>
      </c>
    </row>
    <row r="540" spans="1:14">
      <c r="A540" s="545" t="s">
        <v>170</v>
      </c>
      <c r="B540" s="544" t="s">
        <v>169</v>
      </c>
      <c r="C540" s="543">
        <v>42755</v>
      </c>
      <c r="D540" s="542">
        <v>1000</v>
      </c>
    </row>
    <row r="541" spans="1:14">
      <c r="A541" s="545" t="s">
        <v>446</v>
      </c>
      <c r="B541" s="544" t="s">
        <v>445</v>
      </c>
      <c r="C541" s="543">
        <v>42755</v>
      </c>
      <c r="D541" s="542">
        <v>1699.502</v>
      </c>
    </row>
    <row r="542" spans="1:14">
      <c r="A542" s="545" t="s">
        <v>257</v>
      </c>
      <c r="B542" s="544" t="s">
        <v>256</v>
      </c>
      <c r="C542" s="543">
        <v>42755</v>
      </c>
      <c r="D542" s="542">
        <v>312</v>
      </c>
    </row>
    <row r="543" spans="1:14">
      <c r="A543" s="545" t="s">
        <v>189</v>
      </c>
      <c r="B543" s="544" t="s">
        <v>188</v>
      </c>
      <c r="C543" s="543">
        <v>42755</v>
      </c>
      <c r="D543" s="542">
        <v>344.06900000000002</v>
      </c>
    </row>
    <row r="544" spans="1:14">
      <c r="A544" s="545" t="s">
        <v>591</v>
      </c>
      <c r="B544" s="544" t="s">
        <v>592</v>
      </c>
      <c r="C544" s="543">
        <v>42755</v>
      </c>
      <c r="D544" s="542">
        <v>621.19799999999998</v>
      </c>
    </row>
    <row r="545" spans="1:14">
      <c r="A545" s="545" t="s">
        <v>573</v>
      </c>
      <c r="B545" s="544" t="s">
        <v>574</v>
      </c>
      <c r="C545" s="543">
        <v>42755</v>
      </c>
      <c r="D545" s="542">
        <v>458</v>
      </c>
    </row>
    <row r="546" spans="1:14">
      <c r="A546" s="545" t="s">
        <v>753</v>
      </c>
      <c r="B546" s="544" t="s">
        <v>754</v>
      </c>
      <c r="C546" s="543">
        <v>42755</v>
      </c>
      <c r="D546" s="542">
        <v>2262.723</v>
      </c>
    </row>
    <row r="547" spans="1:14">
      <c r="A547" s="545" t="s">
        <v>223</v>
      </c>
      <c r="B547" s="544" t="s">
        <v>222</v>
      </c>
      <c r="C547" s="543">
        <v>42755</v>
      </c>
      <c r="D547" s="542">
        <v>2935</v>
      </c>
    </row>
    <row r="548" spans="1:14">
      <c r="A548" s="545" t="s">
        <v>291</v>
      </c>
      <c r="B548" s="544" t="s">
        <v>290</v>
      </c>
      <c r="C548" s="543">
        <v>42755</v>
      </c>
      <c r="D548" s="542">
        <v>4500</v>
      </c>
    </row>
    <row r="549" spans="1:14">
      <c r="A549" s="545" t="s">
        <v>277</v>
      </c>
      <c r="B549" s="544" t="s">
        <v>276</v>
      </c>
      <c r="C549" s="543">
        <v>42755</v>
      </c>
      <c r="D549" s="542">
        <v>500</v>
      </c>
    </row>
    <row r="550" spans="1:14">
      <c r="A550" s="545" t="s">
        <v>181</v>
      </c>
      <c r="B550" s="544" t="s">
        <v>180</v>
      </c>
      <c r="C550" s="543">
        <v>42755</v>
      </c>
      <c r="D550" s="542">
        <v>1219</v>
      </c>
    </row>
    <row r="551" spans="1:14">
      <c r="A551" s="545" t="s">
        <v>221</v>
      </c>
      <c r="B551" s="544" t="s">
        <v>220</v>
      </c>
      <c r="C551" s="543">
        <v>42755</v>
      </c>
      <c r="D551" s="542">
        <v>1144</v>
      </c>
    </row>
    <row r="552" spans="1:14">
      <c r="A552" s="545" t="s">
        <v>241</v>
      </c>
      <c r="B552" s="544" t="s">
        <v>240</v>
      </c>
      <c r="C552" s="543">
        <v>42755</v>
      </c>
      <c r="D552" s="542">
        <v>600</v>
      </c>
    </row>
    <row r="553" spans="1:14">
      <c r="A553" s="545" t="s">
        <v>297</v>
      </c>
      <c r="B553" s="544" t="s">
        <v>296</v>
      </c>
      <c r="C553" s="543">
        <v>42755</v>
      </c>
      <c r="D553" s="542">
        <v>3000</v>
      </c>
    </row>
    <row r="554" spans="1:14">
      <c r="A554" s="545" t="s">
        <v>474</v>
      </c>
      <c r="B554" s="544" t="s">
        <v>473</v>
      </c>
      <c r="C554" s="543">
        <v>42755</v>
      </c>
      <c r="D554" s="542">
        <v>3368.527</v>
      </c>
    </row>
    <row r="555" spans="1:14">
      <c r="A555" s="537" t="s">
        <v>358</v>
      </c>
      <c r="B555" s="536" t="s">
        <v>357</v>
      </c>
      <c r="C555" s="535">
        <v>42755</v>
      </c>
      <c r="D555" s="534">
        <v>900</v>
      </c>
      <c r="E555" s="529"/>
      <c r="F555" s="529"/>
      <c r="G555" s="529"/>
      <c r="H555" s="529"/>
      <c r="I555" s="529"/>
      <c r="J555" s="529"/>
      <c r="K555" s="529"/>
      <c r="L555" s="529"/>
      <c r="M555" s="529"/>
      <c r="N555" s="529"/>
    </row>
    <row r="556" spans="1:14">
      <c r="A556" s="545" t="s">
        <v>438</v>
      </c>
      <c r="B556" s="544" t="s">
        <v>437</v>
      </c>
      <c r="C556" s="543">
        <v>42756</v>
      </c>
      <c r="D556" s="542">
        <v>413.39400000000001</v>
      </c>
    </row>
    <row r="557" spans="1:14">
      <c r="A557" s="545" t="s">
        <v>205</v>
      </c>
      <c r="B557" s="544" t="s">
        <v>204</v>
      </c>
      <c r="C557" s="543">
        <v>42756</v>
      </c>
      <c r="D557" s="542">
        <v>1207.809</v>
      </c>
    </row>
    <row r="558" spans="1:14">
      <c r="A558" s="545" t="s">
        <v>817</v>
      </c>
      <c r="B558" s="544" t="s">
        <v>816</v>
      </c>
      <c r="C558" s="543">
        <v>42756</v>
      </c>
      <c r="D558" s="542">
        <v>170</v>
      </c>
    </row>
    <row r="559" spans="1:14">
      <c r="A559" s="545" t="s">
        <v>593</v>
      </c>
      <c r="B559" s="544" t="s">
        <v>594</v>
      </c>
      <c r="C559" s="543">
        <v>42756</v>
      </c>
      <c r="D559" s="542">
        <v>531.28099999999995</v>
      </c>
    </row>
    <row r="560" spans="1:14">
      <c r="A560" s="545" t="s">
        <v>271</v>
      </c>
      <c r="B560" s="544" t="s">
        <v>270</v>
      </c>
      <c r="C560" s="543">
        <v>42756</v>
      </c>
      <c r="D560" s="542">
        <v>1106.473</v>
      </c>
    </row>
    <row r="561" spans="1:14">
      <c r="A561" s="537" t="s">
        <v>813</v>
      </c>
      <c r="B561" s="536" t="s">
        <v>812</v>
      </c>
      <c r="C561" s="535">
        <v>42756</v>
      </c>
      <c r="D561" s="534">
        <v>350</v>
      </c>
      <c r="E561" s="529"/>
      <c r="F561" s="529"/>
      <c r="G561" s="529"/>
      <c r="H561" s="529"/>
      <c r="I561" s="529"/>
      <c r="J561" s="529"/>
      <c r="K561" s="529"/>
      <c r="L561" s="529"/>
      <c r="M561" s="529"/>
      <c r="N561" s="529"/>
    </row>
    <row r="562" spans="1:14">
      <c r="A562" s="545" t="s">
        <v>362</v>
      </c>
      <c r="B562" s="544" t="s">
        <v>361</v>
      </c>
      <c r="C562" s="543">
        <v>42757</v>
      </c>
      <c r="D562" s="542">
        <v>922.31799999999998</v>
      </c>
    </row>
    <row r="563" spans="1:14">
      <c r="A563" s="545" t="s">
        <v>197</v>
      </c>
      <c r="B563" s="544" t="s">
        <v>196</v>
      </c>
      <c r="C563" s="543">
        <v>42757</v>
      </c>
      <c r="D563" s="542">
        <v>4000</v>
      </c>
    </row>
    <row r="564" spans="1:14">
      <c r="A564" s="545" t="s">
        <v>557</v>
      </c>
      <c r="B564" s="544" t="s">
        <v>556</v>
      </c>
      <c r="C564" s="543">
        <v>42757</v>
      </c>
      <c r="D564" s="542">
        <v>1280.748</v>
      </c>
    </row>
    <row r="565" spans="1:14">
      <c r="A565" s="545" t="s">
        <v>199</v>
      </c>
      <c r="B565" s="544" t="s">
        <v>198</v>
      </c>
      <c r="C565" s="543">
        <v>42757</v>
      </c>
      <c r="D565" s="542">
        <v>1514.5050000000001</v>
      </c>
    </row>
    <row r="566" spans="1:14">
      <c r="A566" s="545" t="s">
        <v>179</v>
      </c>
      <c r="B566" s="544" t="s">
        <v>178</v>
      </c>
      <c r="C566" s="543">
        <v>42757</v>
      </c>
      <c r="D566" s="542">
        <v>3500</v>
      </c>
    </row>
    <row r="567" spans="1:14">
      <c r="A567" s="545" t="s">
        <v>265</v>
      </c>
      <c r="B567" s="544" t="s">
        <v>264</v>
      </c>
      <c r="C567" s="543">
        <v>42757</v>
      </c>
      <c r="D567" s="542">
        <v>580</v>
      </c>
    </row>
    <row r="568" spans="1:14">
      <c r="A568" s="545" t="s">
        <v>458</v>
      </c>
      <c r="B568" s="544" t="s">
        <v>457</v>
      </c>
      <c r="C568" s="543">
        <v>42758</v>
      </c>
      <c r="D568" s="542">
        <v>1118.922</v>
      </c>
    </row>
    <row r="569" spans="1:14">
      <c r="A569" s="545" t="s">
        <v>219</v>
      </c>
      <c r="B569" s="544" t="s">
        <v>218</v>
      </c>
      <c r="C569" s="543">
        <v>42758</v>
      </c>
      <c r="D569" s="542">
        <v>824.47500000000002</v>
      </c>
    </row>
    <row r="570" spans="1:14">
      <c r="A570" s="545" t="s">
        <v>428</v>
      </c>
      <c r="B570" s="544" t="s">
        <v>427</v>
      </c>
      <c r="C570" s="543">
        <v>42758</v>
      </c>
      <c r="D570" s="542">
        <v>690</v>
      </c>
    </row>
    <row r="571" spans="1:14">
      <c r="A571" s="545" t="s">
        <v>815</v>
      </c>
      <c r="B571" s="544" t="s">
        <v>814</v>
      </c>
      <c r="C571" s="543">
        <v>42760</v>
      </c>
      <c r="D571" s="542">
        <v>181.041</v>
      </c>
    </row>
    <row r="572" spans="1:14">
      <c r="A572" s="545" t="s">
        <v>795</v>
      </c>
      <c r="B572" s="544" t="s">
        <v>794</v>
      </c>
      <c r="C572" s="543">
        <v>42760</v>
      </c>
      <c r="D572" s="542">
        <v>1350</v>
      </c>
    </row>
    <row r="573" spans="1:14">
      <c r="A573" s="545" t="s">
        <v>166</v>
      </c>
      <c r="B573" s="544" t="s">
        <v>165</v>
      </c>
      <c r="C573" s="543">
        <v>42760</v>
      </c>
      <c r="D573" s="542">
        <v>725</v>
      </c>
    </row>
    <row r="574" spans="1:14">
      <c r="A574" s="545" t="s">
        <v>261</v>
      </c>
      <c r="B574" s="544" t="s">
        <v>260</v>
      </c>
      <c r="C574" s="543">
        <v>42760</v>
      </c>
      <c r="D574" s="542">
        <v>1700.92</v>
      </c>
    </row>
    <row r="575" spans="1:14">
      <c r="A575" s="545" t="s">
        <v>434</v>
      </c>
      <c r="B575" s="544" t="s">
        <v>433</v>
      </c>
      <c r="C575" s="543">
        <v>42760</v>
      </c>
      <c r="D575" s="542">
        <v>3000</v>
      </c>
    </row>
    <row r="576" spans="1:14">
      <c r="A576" s="545" t="s">
        <v>164</v>
      </c>
      <c r="B576" s="544" t="s">
        <v>163</v>
      </c>
      <c r="C576" s="543">
        <v>42760</v>
      </c>
      <c r="D576" s="542">
        <v>3600</v>
      </c>
    </row>
    <row r="577" spans="1:14">
      <c r="A577" s="545" t="s">
        <v>311</v>
      </c>
      <c r="B577" s="544" t="s">
        <v>310</v>
      </c>
      <c r="C577" s="543">
        <v>42760</v>
      </c>
      <c r="D577" s="542">
        <v>3187.6779999999999</v>
      </c>
    </row>
    <row r="578" spans="1:14">
      <c r="A578" s="545" t="s">
        <v>269</v>
      </c>
      <c r="B578" s="544" t="s">
        <v>268</v>
      </c>
      <c r="C578" s="543">
        <v>42760</v>
      </c>
      <c r="D578" s="542">
        <v>3500</v>
      </c>
    </row>
    <row r="579" spans="1:14">
      <c r="A579" s="545" t="s">
        <v>452</v>
      </c>
      <c r="B579" s="544" t="s">
        <v>451</v>
      </c>
      <c r="C579" s="543">
        <v>42760</v>
      </c>
      <c r="D579" s="542">
        <v>3760.3989999999999</v>
      </c>
    </row>
    <row r="580" spans="1:14">
      <c r="A580" s="545" t="s">
        <v>243</v>
      </c>
      <c r="B580" s="544" t="s">
        <v>242</v>
      </c>
      <c r="C580" s="543">
        <v>42760</v>
      </c>
      <c r="D580" s="542">
        <v>2100</v>
      </c>
    </row>
    <row r="581" spans="1:14">
      <c r="A581" s="545" t="s">
        <v>747</v>
      </c>
      <c r="B581" s="544" t="s">
        <v>748</v>
      </c>
      <c r="C581" s="543">
        <v>42760</v>
      </c>
      <c r="D581" s="542">
        <v>1263.5409999999999</v>
      </c>
    </row>
    <row r="582" spans="1:14">
      <c r="A582" s="537" t="s">
        <v>251</v>
      </c>
      <c r="B582" s="536" t="s">
        <v>250</v>
      </c>
      <c r="C582" s="535">
        <v>42760</v>
      </c>
      <c r="D582" s="534">
        <v>344.92200000000003</v>
      </c>
      <c r="E582" s="529"/>
      <c r="F582" s="529"/>
      <c r="G582" s="529"/>
      <c r="H582" s="529"/>
      <c r="I582" s="529"/>
      <c r="J582" s="529"/>
      <c r="K582" s="529"/>
      <c r="L582" s="529"/>
      <c r="M582" s="529"/>
      <c r="N582" s="529"/>
    </row>
    <row r="583" spans="1:14">
      <c r="A583" s="545" t="s">
        <v>275</v>
      </c>
      <c r="B583" s="544" t="s">
        <v>274</v>
      </c>
      <c r="C583" s="543">
        <v>42761</v>
      </c>
      <c r="D583" s="542">
        <v>1828.25</v>
      </c>
    </row>
    <row r="584" spans="1:14">
      <c r="A584" s="545" t="s">
        <v>621</v>
      </c>
      <c r="B584" s="544" t="s">
        <v>622</v>
      </c>
      <c r="C584" s="543">
        <v>42761</v>
      </c>
      <c r="D584" s="542">
        <v>537.34799999999996</v>
      </c>
    </row>
    <row r="585" spans="1:14">
      <c r="A585" s="545" t="s">
        <v>162</v>
      </c>
      <c r="B585" s="544" t="s">
        <v>161</v>
      </c>
      <c r="C585" s="543">
        <v>42761</v>
      </c>
      <c r="D585" s="542">
        <v>1600.8209999999999</v>
      </c>
    </row>
    <row r="586" spans="1:14">
      <c r="A586" s="545" t="s">
        <v>166</v>
      </c>
      <c r="B586" s="544" t="s">
        <v>165</v>
      </c>
      <c r="C586" s="543">
        <v>42761</v>
      </c>
      <c r="D586" s="542">
        <v>725</v>
      </c>
    </row>
    <row r="587" spans="1:14">
      <c r="A587" s="545" t="s">
        <v>368</v>
      </c>
      <c r="B587" s="544" t="s">
        <v>367</v>
      </c>
      <c r="C587" s="543">
        <v>42761</v>
      </c>
      <c r="D587" s="542">
        <v>1169.307</v>
      </c>
    </row>
    <row r="588" spans="1:14">
      <c r="A588" s="545" t="s">
        <v>510</v>
      </c>
      <c r="B588" s="544" t="s">
        <v>509</v>
      </c>
      <c r="C588" s="543">
        <v>42761</v>
      </c>
      <c r="D588" s="542">
        <v>1120.8579999999999</v>
      </c>
    </row>
    <row r="589" spans="1:14">
      <c r="A589" s="545" t="s">
        <v>317</v>
      </c>
      <c r="B589" s="544" t="s">
        <v>316</v>
      </c>
      <c r="C589" s="543">
        <v>42761</v>
      </c>
      <c r="D589" s="542">
        <v>2000</v>
      </c>
    </row>
    <row r="590" spans="1:14">
      <c r="A590" s="545" t="s">
        <v>585</v>
      </c>
      <c r="B590" s="544" t="s">
        <v>586</v>
      </c>
      <c r="C590" s="543">
        <v>42761</v>
      </c>
      <c r="D590" s="542">
        <v>2907</v>
      </c>
    </row>
    <row r="591" spans="1:14">
      <c r="A591" s="545" t="s">
        <v>265</v>
      </c>
      <c r="B591" s="544" t="s">
        <v>264</v>
      </c>
      <c r="C591" s="543">
        <v>42761</v>
      </c>
      <c r="D591" s="542">
        <v>585</v>
      </c>
    </row>
    <row r="592" spans="1:14">
      <c r="A592" s="545" t="s">
        <v>362</v>
      </c>
      <c r="B592" s="544" t="s">
        <v>361</v>
      </c>
      <c r="C592" s="543">
        <v>42762</v>
      </c>
      <c r="D592" s="542">
        <v>922.33</v>
      </c>
    </row>
    <row r="593" spans="1:14">
      <c r="A593" s="545" t="s">
        <v>166</v>
      </c>
      <c r="B593" s="544" t="s">
        <v>165</v>
      </c>
      <c r="C593" s="543">
        <v>42762</v>
      </c>
      <c r="D593" s="542">
        <v>725</v>
      </c>
    </row>
    <row r="594" spans="1:14">
      <c r="A594" s="545" t="s">
        <v>530</v>
      </c>
      <c r="B594" s="544" t="s">
        <v>531</v>
      </c>
      <c r="C594" s="543">
        <v>42762</v>
      </c>
      <c r="D594" s="542">
        <v>1397.607</v>
      </c>
    </row>
    <row r="595" spans="1:14">
      <c r="A595" s="537" t="s">
        <v>813</v>
      </c>
      <c r="B595" s="536" t="s">
        <v>812</v>
      </c>
      <c r="C595" s="535">
        <v>42762</v>
      </c>
      <c r="D595" s="534">
        <v>350</v>
      </c>
      <c r="E595" s="529"/>
      <c r="F595" s="529"/>
      <c r="G595" s="529"/>
      <c r="H595" s="529"/>
      <c r="I595" s="529"/>
      <c r="J595" s="529"/>
      <c r="K595" s="529"/>
      <c r="L595" s="529"/>
      <c r="M595" s="529"/>
      <c r="N595" s="529"/>
    </row>
    <row r="596" spans="1:14">
      <c r="A596" s="537" t="s">
        <v>625</v>
      </c>
      <c r="B596" s="536" t="s">
        <v>626</v>
      </c>
      <c r="C596" s="535">
        <v>42763</v>
      </c>
      <c r="D596" s="534">
        <v>4347.5829999999996</v>
      </c>
      <c r="E596" s="529"/>
      <c r="F596" s="529"/>
      <c r="G596" s="529"/>
      <c r="H596" s="529"/>
      <c r="I596" s="529"/>
      <c r="J596" s="529"/>
      <c r="K596" s="529"/>
      <c r="L596" s="529"/>
      <c r="M596" s="529"/>
      <c r="N596" s="529"/>
    </row>
    <row r="597" spans="1:14">
      <c r="A597" s="545" t="s">
        <v>166</v>
      </c>
      <c r="B597" s="544" t="s">
        <v>165</v>
      </c>
      <c r="C597" s="543">
        <v>42763</v>
      </c>
      <c r="D597" s="542">
        <v>725</v>
      </c>
    </row>
    <row r="598" spans="1:14">
      <c r="A598" s="545" t="s">
        <v>438</v>
      </c>
      <c r="B598" s="544" t="s">
        <v>437</v>
      </c>
      <c r="C598" s="543">
        <v>42763</v>
      </c>
      <c r="D598" s="542">
        <v>413.39499999999998</v>
      </c>
    </row>
    <row r="599" spans="1:14">
      <c r="A599" s="545" t="s">
        <v>225</v>
      </c>
      <c r="B599" s="544" t="s">
        <v>224</v>
      </c>
      <c r="C599" s="543">
        <v>42763</v>
      </c>
      <c r="D599" s="542">
        <v>1285.08</v>
      </c>
    </row>
    <row r="600" spans="1:14">
      <c r="A600" s="545" t="s">
        <v>811</v>
      </c>
      <c r="B600" s="544" t="s">
        <v>810</v>
      </c>
      <c r="C600" s="543">
        <v>42763</v>
      </c>
      <c r="D600" s="542">
        <v>2174.6930000000002</v>
      </c>
    </row>
    <row r="601" spans="1:14">
      <c r="A601" s="545" t="s">
        <v>666</v>
      </c>
      <c r="B601" s="544" t="s">
        <v>667</v>
      </c>
      <c r="C601" s="543">
        <v>42763</v>
      </c>
      <c r="D601" s="542">
        <v>4209.9799999999996</v>
      </c>
    </row>
    <row r="602" spans="1:14">
      <c r="A602" s="545" t="s">
        <v>666</v>
      </c>
      <c r="B602" s="544" t="s">
        <v>667</v>
      </c>
      <c r="C602" s="543">
        <v>42763</v>
      </c>
      <c r="D602" s="542">
        <v>4287.2939999999999</v>
      </c>
    </row>
    <row r="603" spans="1:14">
      <c r="A603" s="545" t="s">
        <v>166</v>
      </c>
      <c r="B603" s="544" t="s">
        <v>165</v>
      </c>
      <c r="C603" s="543">
        <v>42764</v>
      </c>
      <c r="D603" s="542">
        <v>725</v>
      </c>
    </row>
    <row r="604" spans="1:14">
      <c r="A604" s="545" t="s">
        <v>327</v>
      </c>
      <c r="B604" s="544" t="s">
        <v>326</v>
      </c>
      <c r="C604" s="543">
        <v>42764</v>
      </c>
      <c r="D604" s="542">
        <v>3187.7469999999998</v>
      </c>
    </row>
    <row r="605" spans="1:14">
      <c r="A605" s="545" t="s">
        <v>243</v>
      </c>
      <c r="B605" s="544" t="s">
        <v>242</v>
      </c>
      <c r="C605" s="543">
        <v>42764</v>
      </c>
      <c r="D605" s="542">
        <v>2400</v>
      </c>
    </row>
    <row r="606" spans="1:14">
      <c r="A606" s="545" t="s">
        <v>263</v>
      </c>
      <c r="B606" s="544" t="s">
        <v>262</v>
      </c>
      <c r="C606" s="543">
        <v>42764</v>
      </c>
      <c r="D606" s="542">
        <v>4303.71</v>
      </c>
    </row>
    <row r="607" spans="1:14">
      <c r="A607" s="537" t="s">
        <v>731</v>
      </c>
      <c r="B607" s="536" t="s">
        <v>732</v>
      </c>
      <c r="C607" s="535">
        <v>42765</v>
      </c>
      <c r="D607" s="534">
        <v>842.81200000000001</v>
      </c>
      <c r="E607" s="529"/>
      <c r="F607" s="529"/>
      <c r="G607" s="529"/>
      <c r="H607" s="529"/>
      <c r="I607" s="529"/>
      <c r="J607" s="529"/>
      <c r="K607" s="529"/>
      <c r="L607" s="529"/>
      <c r="M607" s="529"/>
      <c r="N607" s="529"/>
    </row>
    <row r="608" spans="1:14">
      <c r="A608" s="537" t="s">
        <v>378</v>
      </c>
      <c r="B608" s="536" t="s">
        <v>377</v>
      </c>
      <c r="C608" s="535">
        <v>42765</v>
      </c>
      <c r="D608" s="534">
        <v>4076.4560000000001</v>
      </c>
      <c r="E608" s="529"/>
      <c r="F608" s="529"/>
      <c r="G608" s="529"/>
      <c r="H608" s="529"/>
      <c r="I608" s="529"/>
      <c r="J608" s="529"/>
      <c r="K608" s="529"/>
      <c r="L608" s="529"/>
      <c r="M608" s="529"/>
      <c r="N608" s="529"/>
    </row>
    <row r="609" spans="1:4">
      <c r="A609" s="545" t="s">
        <v>436</v>
      </c>
      <c r="B609" s="544" t="s">
        <v>435</v>
      </c>
      <c r="C609" s="543">
        <v>42765</v>
      </c>
      <c r="D609" s="542">
        <v>978.79</v>
      </c>
    </row>
    <row r="610" spans="1:4">
      <c r="A610" s="545" t="s">
        <v>217</v>
      </c>
      <c r="B610" s="544" t="s">
        <v>216</v>
      </c>
      <c r="C610" s="543">
        <v>42765</v>
      </c>
      <c r="D610" s="542">
        <v>1512.451</v>
      </c>
    </row>
    <row r="611" spans="1:4">
      <c r="A611" s="545" t="s">
        <v>737</v>
      </c>
      <c r="B611" s="544" t="s">
        <v>738</v>
      </c>
      <c r="C611" s="543">
        <v>42765</v>
      </c>
      <c r="D611" s="542">
        <v>533.42600000000004</v>
      </c>
    </row>
    <row r="612" spans="1:4">
      <c r="A612" s="545" t="s">
        <v>504</v>
      </c>
      <c r="B612" s="544" t="s">
        <v>503</v>
      </c>
      <c r="C612" s="543">
        <v>42765</v>
      </c>
      <c r="D612" s="542">
        <v>1194.3489999999999</v>
      </c>
    </row>
    <row r="613" spans="1:4">
      <c r="A613" s="545" t="s">
        <v>619</v>
      </c>
      <c r="B613" s="544" t="s">
        <v>620</v>
      </c>
      <c r="C613" s="543">
        <v>42765</v>
      </c>
      <c r="D613" s="542">
        <v>2139.4490000000001</v>
      </c>
    </row>
    <row r="614" spans="1:4">
      <c r="A614" s="545" t="s">
        <v>249</v>
      </c>
      <c r="B614" s="544" t="s">
        <v>248</v>
      </c>
      <c r="C614" s="543">
        <v>42765</v>
      </c>
      <c r="D614" s="542">
        <v>1567.1859999999999</v>
      </c>
    </row>
    <row r="615" spans="1:4">
      <c r="A615" s="545" t="s">
        <v>809</v>
      </c>
      <c r="B615" s="544" t="s">
        <v>808</v>
      </c>
      <c r="C615" s="543">
        <v>42765</v>
      </c>
      <c r="D615" s="542">
        <v>3564.8719999999998</v>
      </c>
    </row>
    <row r="616" spans="1:4">
      <c r="A616" s="545" t="s">
        <v>255</v>
      </c>
      <c r="B616" s="544" t="s">
        <v>254</v>
      </c>
      <c r="C616" s="543">
        <v>42765</v>
      </c>
      <c r="D616" s="542">
        <v>2950.5790000000002</v>
      </c>
    </row>
    <row r="617" spans="1:4">
      <c r="A617" s="545" t="s">
        <v>506</v>
      </c>
      <c r="B617" s="544" t="s">
        <v>505</v>
      </c>
      <c r="C617" s="543">
        <v>42765</v>
      </c>
      <c r="D617" s="542">
        <v>1918.307</v>
      </c>
    </row>
    <row r="618" spans="1:4">
      <c r="A618" s="545" t="s">
        <v>658</v>
      </c>
      <c r="B618" s="544" t="s">
        <v>659</v>
      </c>
      <c r="C618" s="543">
        <v>42765</v>
      </c>
      <c r="D618" s="542">
        <v>1021.028</v>
      </c>
    </row>
    <row r="619" spans="1:4">
      <c r="A619" s="545" t="s">
        <v>557</v>
      </c>
      <c r="B619" s="544" t="s">
        <v>556</v>
      </c>
      <c r="C619" s="543">
        <v>42765</v>
      </c>
      <c r="D619" s="542">
        <v>1280.748</v>
      </c>
    </row>
    <row r="620" spans="1:4">
      <c r="A620" s="545" t="s">
        <v>193</v>
      </c>
      <c r="B620" s="544" t="s">
        <v>192</v>
      </c>
      <c r="C620" s="543">
        <v>42765</v>
      </c>
      <c r="D620" s="542">
        <v>2610.8310000000001</v>
      </c>
    </row>
    <row r="621" spans="1:4">
      <c r="A621" s="545" t="s">
        <v>170</v>
      </c>
      <c r="B621" s="544" t="s">
        <v>169</v>
      </c>
      <c r="C621" s="543">
        <v>42765</v>
      </c>
      <c r="D621" s="542">
        <v>1000</v>
      </c>
    </row>
    <row r="622" spans="1:4">
      <c r="A622" s="545" t="s">
        <v>251</v>
      </c>
      <c r="B622" s="544" t="s">
        <v>250</v>
      </c>
      <c r="C622" s="543">
        <v>42765</v>
      </c>
      <c r="D622" s="542">
        <v>385.56700000000001</v>
      </c>
    </row>
    <row r="623" spans="1:4">
      <c r="A623" s="545" t="s">
        <v>257</v>
      </c>
      <c r="B623" s="544" t="s">
        <v>256</v>
      </c>
      <c r="C623" s="543">
        <v>42765</v>
      </c>
      <c r="D623" s="542">
        <v>500</v>
      </c>
    </row>
    <row r="624" spans="1:4">
      <c r="A624" s="545" t="s">
        <v>257</v>
      </c>
      <c r="B624" s="544" t="s">
        <v>256</v>
      </c>
      <c r="C624" s="543">
        <v>42765</v>
      </c>
      <c r="D624" s="542">
        <v>1500</v>
      </c>
    </row>
    <row r="625" spans="1:4">
      <c r="A625" s="545" t="s">
        <v>207</v>
      </c>
      <c r="B625" s="544" t="s">
        <v>206</v>
      </c>
      <c r="C625" s="543">
        <v>42765</v>
      </c>
      <c r="D625" s="542">
        <v>3750</v>
      </c>
    </row>
    <row r="626" spans="1:4">
      <c r="A626" s="545" t="s">
        <v>428</v>
      </c>
      <c r="B626" s="544" t="s">
        <v>427</v>
      </c>
      <c r="C626" s="543">
        <v>42765</v>
      </c>
      <c r="D626" s="542">
        <v>680</v>
      </c>
    </row>
    <row r="627" spans="1:4">
      <c r="A627" s="545" t="s">
        <v>486</v>
      </c>
      <c r="B627" s="544" t="s">
        <v>485</v>
      </c>
      <c r="C627" s="543">
        <v>42765</v>
      </c>
      <c r="D627" s="542">
        <v>585.74</v>
      </c>
    </row>
    <row r="628" spans="1:4">
      <c r="A628" s="545" t="s">
        <v>482</v>
      </c>
      <c r="B628" s="544" t="s">
        <v>481</v>
      </c>
      <c r="C628" s="543">
        <v>42765</v>
      </c>
      <c r="D628" s="542">
        <v>131.607</v>
      </c>
    </row>
    <row r="629" spans="1:4">
      <c r="A629" s="545" t="s">
        <v>552</v>
      </c>
      <c r="B629" s="544" t="s">
        <v>553</v>
      </c>
      <c r="C629" s="543">
        <v>42765</v>
      </c>
      <c r="D629" s="542">
        <v>461.07900000000001</v>
      </c>
    </row>
    <row r="630" spans="1:4">
      <c r="A630" s="545" t="s">
        <v>763</v>
      </c>
      <c r="B630" s="544" t="s">
        <v>764</v>
      </c>
      <c r="C630" s="543">
        <v>42765</v>
      </c>
      <c r="D630" s="542">
        <v>2812.7460000000001</v>
      </c>
    </row>
    <row r="631" spans="1:4">
      <c r="A631" s="545" t="s">
        <v>392</v>
      </c>
      <c r="B631" s="544" t="s">
        <v>391</v>
      </c>
      <c r="C631" s="543">
        <v>42765</v>
      </c>
      <c r="D631" s="542">
        <v>757.73599999999999</v>
      </c>
    </row>
    <row r="632" spans="1:4">
      <c r="A632" s="545" t="s">
        <v>807</v>
      </c>
      <c r="B632" s="544" t="s">
        <v>806</v>
      </c>
      <c r="C632" s="543">
        <v>42765</v>
      </c>
      <c r="D632" s="542">
        <v>3222.24</v>
      </c>
    </row>
    <row r="633" spans="1:4">
      <c r="A633" s="545" t="s">
        <v>291</v>
      </c>
      <c r="B633" s="544" t="s">
        <v>290</v>
      </c>
      <c r="C633" s="543">
        <v>42765</v>
      </c>
      <c r="D633" s="542">
        <v>4500</v>
      </c>
    </row>
    <row r="634" spans="1:4">
      <c r="A634" s="545" t="s">
        <v>245</v>
      </c>
      <c r="B634" s="544" t="s">
        <v>244</v>
      </c>
      <c r="C634" s="543">
        <v>42765</v>
      </c>
      <c r="D634" s="542">
        <v>1539.742</v>
      </c>
    </row>
    <row r="635" spans="1:4">
      <c r="A635" s="545" t="s">
        <v>454</v>
      </c>
      <c r="B635" s="544" t="s">
        <v>453</v>
      </c>
      <c r="C635" s="543">
        <v>42765</v>
      </c>
      <c r="D635" s="542">
        <v>1015.117</v>
      </c>
    </row>
    <row r="636" spans="1:4">
      <c r="A636" s="545" t="s">
        <v>452</v>
      </c>
      <c r="B636" s="544" t="s">
        <v>451</v>
      </c>
      <c r="C636" s="543">
        <v>42765</v>
      </c>
      <c r="D636" s="542">
        <v>4000</v>
      </c>
    </row>
    <row r="637" spans="1:4">
      <c r="A637" s="545" t="s">
        <v>390</v>
      </c>
      <c r="B637" s="544" t="s">
        <v>389</v>
      </c>
      <c r="C637" s="543">
        <v>42765</v>
      </c>
      <c r="D637" s="542">
        <v>4079.75</v>
      </c>
    </row>
    <row r="638" spans="1:4">
      <c r="A638" s="545" t="s">
        <v>470</v>
      </c>
      <c r="B638" s="544" t="s">
        <v>469</v>
      </c>
      <c r="C638" s="543">
        <v>42765</v>
      </c>
      <c r="D638" s="542">
        <v>4501.63</v>
      </c>
    </row>
    <row r="639" spans="1:4">
      <c r="A639" s="545" t="s">
        <v>319</v>
      </c>
      <c r="B639" s="544" t="s">
        <v>318</v>
      </c>
      <c r="C639" s="543">
        <v>42765</v>
      </c>
      <c r="D639" s="542">
        <v>2500.8910000000001</v>
      </c>
    </row>
    <row r="640" spans="1:4">
      <c r="A640" s="545" t="s">
        <v>747</v>
      </c>
      <c r="B640" s="544" t="s">
        <v>748</v>
      </c>
      <c r="C640" s="543">
        <v>42765</v>
      </c>
      <c r="D640" s="542">
        <v>1500</v>
      </c>
    </row>
    <row r="641" spans="1:14">
      <c r="A641" s="545" t="s">
        <v>335</v>
      </c>
      <c r="B641" s="544" t="s">
        <v>334</v>
      </c>
      <c r="C641" s="543">
        <v>42765</v>
      </c>
      <c r="D641" s="542">
        <v>1759.9</v>
      </c>
    </row>
    <row r="642" spans="1:14">
      <c r="A642" s="545" t="s">
        <v>380</v>
      </c>
      <c r="B642" s="544" t="s">
        <v>379</v>
      </c>
      <c r="C642" s="543">
        <v>42765</v>
      </c>
      <c r="D642" s="542">
        <v>2934.808</v>
      </c>
    </row>
    <row r="643" spans="1:14">
      <c r="A643" s="545" t="s">
        <v>241</v>
      </c>
      <c r="B643" s="544" t="s">
        <v>240</v>
      </c>
      <c r="C643" s="543">
        <v>42765</v>
      </c>
      <c r="D643" s="542">
        <v>600</v>
      </c>
    </row>
    <row r="644" spans="1:14">
      <c r="A644" s="545" t="s">
        <v>237</v>
      </c>
      <c r="B644" s="544" t="s">
        <v>236</v>
      </c>
      <c r="C644" s="543">
        <v>42765</v>
      </c>
      <c r="D644" s="542">
        <v>2466.6570000000002</v>
      </c>
    </row>
    <row r="645" spans="1:14">
      <c r="A645" s="537" t="s">
        <v>631</v>
      </c>
      <c r="B645" s="536" t="s">
        <v>632</v>
      </c>
      <c r="C645" s="535">
        <v>42765</v>
      </c>
      <c r="D645" s="534">
        <v>609.31500000000005</v>
      </c>
      <c r="E645" s="529"/>
      <c r="F645" s="529"/>
      <c r="G645" s="529"/>
      <c r="H645" s="529"/>
      <c r="I645" s="529"/>
      <c r="J645" s="529"/>
      <c r="K645" s="529"/>
      <c r="L645" s="529"/>
      <c r="M645" s="529"/>
      <c r="N645" s="529"/>
    </row>
    <row r="646" spans="1:14">
      <c r="A646" s="537" t="s">
        <v>613</v>
      </c>
      <c r="B646" s="536" t="s">
        <v>614</v>
      </c>
      <c r="C646" s="535">
        <v>42765</v>
      </c>
      <c r="D646" s="534">
        <v>500</v>
      </c>
      <c r="E646" s="529"/>
      <c r="F646" s="529"/>
      <c r="G646" s="529"/>
      <c r="H646" s="529"/>
      <c r="I646" s="529"/>
      <c r="J646" s="529"/>
      <c r="K646" s="529"/>
      <c r="L646" s="529"/>
      <c r="M646" s="529"/>
      <c r="N646" s="529"/>
    </row>
    <row r="647" spans="1:14">
      <c r="A647" s="545" t="s">
        <v>231</v>
      </c>
      <c r="B647" s="544" t="s">
        <v>230</v>
      </c>
      <c r="C647" s="543">
        <v>42766</v>
      </c>
      <c r="D647" s="542">
        <v>523</v>
      </c>
    </row>
    <row r="648" spans="1:14">
      <c r="A648" s="545" t="s">
        <v>235</v>
      </c>
      <c r="B648" s="544" t="s">
        <v>234</v>
      </c>
      <c r="C648" s="543">
        <v>42766</v>
      </c>
      <c r="D648" s="542">
        <v>5836.9040000000005</v>
      </c>
    </row>
    <row r="649" spans="1:14">
      <c r="A649" s="545" t="s">
        <v>805</v>
      </c>
      <c r="B649" s="544" t="s">
        <v>804</v>
      </c>
      <c r="C649" s="543">
        <v>42766</v>
      </c>
      <c r="D649" s="542">
        <v>1872.05</v>
      </c>
    </row>
    <row r="650" spans="1:14">
      <c r="A650" s="545" t="s">
        <v>416</v>
      </c>
      <c r="B650" s="544" t="s">
        <v>415</v>
      </c>
      <c r="C650" s="543">
        <v>42766</v>
      </c>
      <c r="D650" s="542">
        <v>1425.2919999999999</v>
      </c>
    </row>
    <row r="651" spans="1:14">
      <c r="A651" s="545" t="s">
        <v>233</v>
      </c>
      <c r="B651" s="544" t="s">
        <v>232</v>
      </c>
      <c r="C651" s="543">
        <v>42766</v>
      </c>
      <c r="D651" s="542">
        <v>1968.306</v>
      </c>
    </row>
    <row r="652" spans="1:14">
      <c r="A652" s="545" t="s">
        <v>803</v>
      </c>
      <c r="B652" s="544" t="s">
        <v>802</v>
      </c>
      <c r="C652" s="543">
        <v>42766</v>
      </c>
      <c r="D652" s="542">
        <v>736.10799999999995</v>
      </c>
    </row>
    <row r="653" spans="1:14">
      <c r="A653" s="545" t="s">
        <v>607</v>
      </c>
      <c r="B653" s="544" t="s">
        <v>608</v>
      </c>
      <c r="C653" s="543">
        <v>42766</v>
      </c>
      <c r="D653" s="542">
        <v>1153.346</v>
      </c>
    </row>
    <row r="654" spans="1:14">
      <c r="A654" s="545" t="s">
        <v>362</v>
      </c>
      <c r="B654" s="544" t="s">
        <v>361</v>
      </c>
      <c r="C654" s="543">
        <v>42766</v>
      </c>
      <c r="D654" s="542">
        <v>922.32500000000005</v>
      </c>
    </row>
    <row r="655" spans="1:14">
      <c r="A655" s="545" t="s">
        <v>174</v>
      </c>
      <c r="B655" s="544" t="s">
        <v>173</v>
      </c>
      <c r="C655" s="543">
        <v>42766</v>
      </c>
      <c r="D655" s="542">
        <v>767.88</v>
      </c>
    </row>
    <row r="656" spans="1:14">
      <c r="A656" s="545" t="s">
        <v>197</v>
      </c>
      <c r="B656" s="544" t="s">
        <v>196</v>
      </c>
      <c r="C656" s="543">
        <v>42766</v>
      </c>
      <c r="D656" s="542">
        <v>4000</v>
      </c>
    </row>
    <row r="657" spans="1:4">
      <c r="A657" s="545" t="s">
        <v>372</v>
      </c>
      <c r="B657" s="544" t="s">
        <v>371</v>
      </c>
      <c r="C657" s="543">
        <v>42766</v>
      </c>
      <c r="D657" s="542">
        <v>689.803</v>
      </c>
    </row>
    <row r="658" spans="1:4">
      <c r="A658" s="545" t="s">
        <v>422</v>
      </c>
      <c r="B658" s="544" t="s">
        <v>421</v>
      </c>
      <c r="C658" s="543">
        <v>42766</v>
      </c>
      <c r="D658" s="542">
        <v>2704.7860000000001</v>
      </c>
    </row>
    <row r="659" spans="1:4">
      <c r="A659" s="545" t="s">
        <v>366</v>
      </c>
      <c r="B659" s="544" t="s">
        <v>365</v>
      </c>
      <c r="C659" s="543">
        <v>42766</v>
      </c>
      <c r="D659" s="542">
        <v>663.98800000000006</v>
      </c>
    </row>
    <row r="660" spans="1:4">
      <c r="A660" s="537" t="s">
        <v>337</v>
      </c>
      <c r="B660" s="536" t="s">
        <v>336</v>
      </c>
      <c r="C660" s="535">
        <v>42766</v>
      </c>
      <c r="D660" s="534">
        <v>2130.8490000000002</v>
      </c>
    </row>
    <row r="661" spans="1:4">
      <c r="A661" s="545" t="s">
        <v>215</v>
      </c>
      <c r="B661" s="544" t="s">
        <v>214</v>
      </c>
      <c r="C661" s="543">
        <v>42766</v>
      </c>
      <c r="D661" s="542">
        <v>365.41699999999997</v>
      </c>
    </row>
    <row r="662" spans="1:4">
      <c r="A662" s="545" t="s">
        <v>376</v>
      </c>
      <c r="B662" s="544" t="s">
        <v>375</v>
      </c>
      <c r="C662" s="543">
        <v>42766</v>
      </c>
      <c r="D662" s="542">
        <v>984.96199999999999</v>
      </c>
    </row>
    <row r="663" spans="1:4">
      <c r="A663" s="545" t="s">
        <v>418</v>
      </c>
      <c r="B663" s="544" t="s">
        <v>417</v>
      </c>
      <c r="C663" s="543">
        <v>42766</v>
      </c>
      <c r="D663" s="542">
        <v>1668.6610000000001</v>
      </c>
    </row>
    <row r="664" spans="1:4">
      <c r="A664" s="545" t="s">
        <v>502</v>
      </c>
      <c r="B664" s="544" t="s">
        <v>501</v>
      </c>
      <c r="C664" s="543">
        <v>42766</v>
      </c>
      <c r="D664" s="542">
        <v>2592.8180000000002</v>
      </c>
    </row>
    <row r="665" spans="1:4">
      <c r="A665" s="545" t="s">
        <v>424</v>
      </c>
      <c r="B665" s="544" t="s">
        <v>423</v>
      </c>
      <c r="C665" s="543">
        <v>42766</v>
      </c>
      <c r="D665" s="542">
        <v>3201.5160000000001</v>
      </c>
    </row>
    <row r="666" spans="1:4">
      <c r="A666" s="545" t="s">
        <v>801</v>
      </c>
      <c r="B666" s="544" t="s">
        <v>800</v>
      </c>
      <c r="C666" s="543">
        <v>42766</v>
      </c>
      <c r="D666" s="542">
        <v>1570.769</v>
      </c>
    </row>
    <row r="667" spans="1:4">
      <c r="A667" s="545" t="s">
        <v>799</v>
      </c>
      <c r="B667" s="544" t="s">
        <v>798</v>
      </c>
      <c r="C667" s="543">
        <v>42766</v>
      </c>
      <c r="D667" s="542">
        <v>2310.4169999999999</v>
      </c>
    </row>
    <row r="668" spans="1:4">
      <c r="A668" s="545" t="s">
        <v>364</v>
      </c>
      <c r="B668" s="544" t="s">
        <v>363</v>
      </c>
      <c r="C668" s="543">
        <v>42766</v>
      </c>
      <c r="D668" s="542">
        <v>2925.9490000000001</v>
      </c>
    </row>
    <row r="669" spans="1:4">
      <c r="A669" s="545" t="s">
        <v>253</v>
      </c>
      <c r="B669" s="544" t="s">
        <v>252</v>
      </c>
      <c r="C669" s="543">
        <v>42766</v>
      </c>
      <c r="D669" s="542">
        <v>3489.777</v>
      </c>
    </row>
    <row r="670" spans="1:4">
      <c r="A670" s="545" t="s">
        <v>201</v>
      </c>
      <c r="B670" s="544" t="s">
        <v>200</v>
      </c>
      <c r="C670" s="543">
        <v>42766</v>
      </c>
      <c r="D670" s="542">
        <v>2500</v>
      </c>
    </row>
    <row r="671" spans="1:4">
      <c r="A671" s="545" t="s">
        <v>500</v>
      </c>
      <c r="B671" s="544" t="s">
        <v>499</v>
      </c>
      <c r="C671" s="543">
        <v>42766</v>
      </c>
      <c r="D671" s="542">
        <v>3607.4459999999999</v>
      </c>
    </row>
    <row r="672" spans="1:4">
      <c r="A672" s="545" t="s">
        <v>368</v>
      </c>
      <c r="B672" s="544" t="s">
        <v>367</v>
      </c>
      <c r="C672" s="543">
        <v>42766</v>
      </c>
      <c r="D672" s="542">
        <v>1200</v>
      </c>
    </row>
    <row r="673" spans="1:4">
      <c r="A673" s="545" t="s">
        <v>508</v>
      </c>
      <c r="B673" s="544" t="s">
        <v>507</v>
      </c>
      <c r="C673" s="543">
        <v>42766</v>
      </c>
      <c r="D673" s="542">
        <v>337.58600000000001</v>
      </c>
    </row>
    <row r="674" spans="1:4">
      <c r="A674" s="545" t="s">
        <v>410</v>
      </c>
      <c r="B674" s="544" t="s">
        <v>409</v>
      </c>
      <c r="C674" s="543">
        <v>42766</v>
      </c>
      <c r="D674" s="542">
        <v>1102.6679999999999</v>
      </c>
    </row>
    <row r="675" spans="1:4">
      <c r="A675" s="545" t="s">
        <v>654</v>
      </c>
      <c r="B675" s="544" t="s">
        <v>655</v>
      </c>
      <c r="C675" s="543">
        <v>42766</v>
      </c>
      <c r="D675" s="542">
        <v>901.33500000000004</v>
      </c>
    </row>
    <row r="676" spans="1:4">
      <c r="A676" s="545" t="s">
        <v>247</v>
      </c>
      <c r="B676" s="544" t="s">
        <v>246</v>
      </c>
      <c r="C676" s="543">
        <v>42766</v>
      </c>
      <c r="D676" s="542">
        <v>3698.9140000000002</v>
      </c>
    </row>
    <row r="677" spans="1:4">
      <c r="A677" s="545" t="s">
        <v>189</v>
      </c>
      <c r="B677" s="544" t="s">
        <v>188</v>
      </c>
      <c r="C677" s="543">
        <v>42766</v>
      </c>
      <c r="D677" s="542">
        <v>4200</v>
      </c>
    </row>
    <row r="678" spans="1:4">
      <c r="A678" s="545" t="s">
        <v>642</v>
      </c>
      <c r="B678" s="544" t="s">
        <v>643</v>
      </c>
      <c r="C678" s="543">
        <v>42766</v>
      </c>
      <c r="D678" s="542">
        <v>1189.662</v>
      </c>
    </row>
    <row r="679" spans="1:4">
      <c r="A679" s="545" t="s">
        <v>195</v>
      </c>
      <c r="B679" s="544" t="s">
        <v>194</v>
      </c>
      <c r="C679" s="543">
        <v>42766</v>
      </c>
      <c r="D679" s="542">
        <v>656.42</v>
      </c>
    </row>
    <row r="680" spans="1:4">
      <c r="A680" s="545" t="s">
        <v>412</v>
      </c>
      <c r="B680" s="544" t="s">
        <v>411</v>
      </c>
      <c r="C680" s="543">
        <v>42766</v>
      </c>
      <c r="D680" s="542">
        <v>1387.029</v>
      </c>
    </row>
    <row r="681" spans="1:4">
      <c r="A681" s="545" t="s">
        <v>259</v>
      </c>
      <c r="B681" s="544" t="s">
        <v>258</v>
      </c>
      <c r="C681" s="543">
        <v>42766</v>
      </c>
      <c r="D681" s="542">
        <v>3300</v>
      </c>
    </row>
    <row r="682" spans="1:4">
      <c r="A682" s="545" t="s">
        <v>348</v>
      </c>
      <c r="B682" s="544" t="s">
        <v>347</v>
      </c>
      <c r="C682" s="543">
        <v>42766</v>
      </c>
      <c r="D682" s="542">
        <v>2959.2660000000001</v>
      </c>
    </row>
    <row r="683" spans="1:4">
      <c r="A683" s="545" t="s">
        <v>164</v>
      </c>
      <c r="B683" s="544" t="s">
        <v>163</v>
      </c>
      <c r="C683" s="543">
        <v>42766</v>
      </c>
      <c r="D683" s="542">
        <v>3733.8270000000002</v>
      </c>
    </row>
    <row r="684" spans="1:4">
      <c r="A684" s="545" t="s">
        <v>398</v>
      </c>
      <c r="B684" s="544" t="s">
        <v>397</v>
      </c>
      <c r="C684" s="543">
        <v>42766</v>
      </c>
      <c r="D684" s="542">
        <v>3161.2660000000001</v>
      </c>
    </row>
    <row r="685" spans="1:4">
      <c r="A685" s="545" t="s">
        <v>352</v>
      </c>
      <c r="B685" s="544" t="s">
        <v>351</v>
      </c>
      <c r="C685" s="543">
        <v>42766</v>
      </c>
      <c r="D685" s="542">
        <v>1169.4680000000001</v>
      </c>
    </row>
    <row r="686" spans="1:4">
      <c r="A686" s="545" t="s">
        <v>227</v>
      </c>
      <c r="B686" s="544" t="s">
        <v>226</v>
      </c>
      <c r="C686" s="543">
        <v>42766</v>
      </c>
      <c r="D686" s="542">
        <v>5409.2309999999998</v>
      </c>
    </row>
    <row r="687" spans="1:4">
      <c r="A687" s="545" t="s">
        <v>187</v>
      </c>
      <c r="B687" s="544" t="s">
        <v>186</v>
      </c>
      <c r="C687" s="543">
        <v>42766</v>
      </c>
      <c r="D687" s="542">
        <v>724.72299999999996</v>
      </c>
    </row>
    <row r="688" spans="1:4">
      <c r="A688" s="545" t="s">
        <v>281</v>
      </c>
      <c r="B688" s="544" t="s">
        <v>280</v>
      </c>
      <c r="C688" s="543">
        <v>42766</v>
      </c>
      <c r="D688" s="542">
        <v>926.38</v>
      </c>
    </row>
    <row r="689" spans="1:4">
      <c r="A689" s="545" t="s">
        <v>229</v>
      </c>
      <c r="B689" s="544" t="s">
        <v>228</v>
      </c>
      <c r="C689" s="543">
        <v>42766</v>
      </c>
      <c r="D689" s="542">
        <v>3759.36</v>
      </c>
    </row>
    <row r="690" spans="1:4">
      <c r="A690" s="545" t="s">
        <v>668</v>
      </c>
      <c r="B690" s="544" t="s">
        <v>669</v>
      </c>
      <c r="C690" s="543">
        <v>42766</v>
      </c>
      <c r="D690" s="542">
        <v>1146.1949999999999</v>
      </c>
    </row>
    <row r="691" spans="1:4">
      <c r="A691" s="545" t="s">
        <v>350</v>
      </c>
      <c r="B691" s="544" t="s">
        <v>349</v>
      </c>
      <c r="C691" s="543">
        <v>42766</v>
      </c>
      <c r="D691" s="542">
        <v>985.62</v>
      </c>
    </row>
    <row r="692" spans="1:4">
      <c r="A692" s="545" t="s">
        <v>492</v>
      </c>
      <c r="B692" s="544" t="s">
        <v>491</v>
      </c>
      <c r="C692" s="543">
        <v>42766</v>
      </c>
      <c r="D692" s="542">
        <v>2875.681</v>
      </c>
    </row>
    <row r="693" spans="1:4">
      <c r="A693" s="545" t="s">
        <v>185</v>
      </c>
      <c r="B693" s="544" t="s">
        <v>184</v>
      </c>
      <c r="C693" s="543">
        <v>42766</v>
      </c>
      <c r="D693" s="542">
        <v>2547.6750000000002</v>
      </c>
    </row>
    <row r="694" spans="1:4">
      <c r="A694" s="545" t="s">
        <v>343</v>
      </c>
      <c r="B694" s="544" t="s">
        <v>342</v>
      </c>
      <c r="C694" s="543">
        <v>42766</v>
      </c>
      <c r="D694" s="542">
        <v>1001.312</v>
      </c>
    </row>
    <row r="695" spans="1:4">
      <c r="A695" s="545" t="s">
        <v>644</v>
      </c>
      <c r="B695" s="544" t="s">
        <v>645</v>
      </c>
      <c r="C695" s="543">
        <v>42766</v>
      </c>
      <c r="D695" s="542">
        <v>224.49799999999999</v>
      </c>
    </row>
    <row r="696" spans="1:4">
      <c r="A696" s="545" t="s">
        <v>301</v>
      </c>
      <c r="B696" s="544" t="s">
        <v>300</v>
      </c>
      <c r="C696" s="543">
        <v>42766</v>
      </c>
      <c r="D696" s="542">
        <v>2400.7710000000002</v>
      </c>
    </row>
    <row r="697" spans="1:4">
      <c r="A697" s="545" t="s">
        <v>331</v>
      </c>
      <c r="B697" s="544" t="s">
        <v>330</v>
      </c>
      <c r="C697" s="543">
        <v>42766</v>
      </c>
      <c r="D697" s="542">
        <v>6466.4189999999999</v>
      </c>
    </row>
    <row r="698" spans="1:4">
      <c r="A698" s="545" t="s">
        <v>307</v>
      </c>
      <c r="B698" s="544" t="s">
        <v>306</v>
      </c>
      <c r="C698" s="543">
        <v>42766</v>
      </c>
      <c r="D698" s="542">
        <v>740.02499999999998</v>
      </c>
    </row>
    <row r="699" spans="1:4">
      <c r="A699" s="545" t="s">
        <v>615</v>
      </c>
      <c r="B699" s="544" t="s">
        <v>616</v>
      </c>
      <c r="C699" s="543">
        <v>42766</v>
      </c>
      <c r="D699" s="542">
        <v>1614.6469999999999</v>
      </c>
    </row>
    <row r="700" spans="1:4">
      <c r="A700" s="545" t="s">
        <v>346</v>
      </c>
      <c r="B700" s="544" t="s">
        <v>637</v>
      </c>
      <c r="C700" s="543">
        <v>42766</v>
      </c>
      <c r="D700" s="542">
        <v>771.74800000000005</v>
      </c>
    </row>
    <row r="701" spans="1:4">
      <c r="A701" s="545" t="s">
        <v>345</v>
      </c>
      <c r="B701" s="544" t="s">
        <v>344</v>
      </c>
      <c r="C701" s="543">
        <v>42766</v>
      </c>
      <c r="D701" s="542">
        <v>6319.2950000000001</v>
      </c>
    </row>
    <row r="702" spans="1:4">
      <c r="A702" s="545" t="s">
        <v>183</v>
      </c>
      <c r="B702" s="544" t="s">
        <v>182</v>
      </c>
      <c r="C702" s="543">
        <v>42766</v>
      </c>
      <c r="D702" s="542">
        <v>1974.7239999999999</v>
      </c>
    </row>
    <row r="703" spans="1:4">
      <c r="A703" s="545" t="s">
        <v>765</v>
      </c>
      <c r="B703" s="544" t="s">
        <v>766</v>
      </c>
      <c r="C703" s="543">
        <v>42766</v>
      </c>
      <c r="D703" s="542">
        <v>2176.8609999999999</v>
      </c>
    </row>
    <row r="704" spans="1:4">
      <c r="A704" s="545" t="s">
        <v>299</v>
      </c>
      <c r="B704" s="544" t="s">
        <v>298</v>
      </c>
      <c r="C704" s="543">
        <v>42766</v>
      </c>
      <c r="D704" s="542">
        <v>208.67</v>
      </c>
    </row>
    <row r="705" spans="1:14">
      <c r="A705" s="545" t="s">
        <v>269</v>
      </c>
      <c r="B705" s="544" t="s">
        <v>268</v>
      </c>
      <c r="C705" s="543">
        <v>42766</v>
      </c>
      <c r="D705" s="542">
        <v>2961.5650000000001</v>
      </c>
    </row>
    <row r="706" spans="1:14">
      <c r="A706" s="545" t="s">
        <v>277</v>
      </c>
      <c r="B706" s="544" t="s">
        <v>276</v>
      </c>
      <c r="C706" s="543">
        <v>42766</v>
      </c>
      <c r="D706" s="542">
        <v>598.28899999999999</v>
      </c>
    </row>
    <row r="707" spans="1:14">
      <c r="A707" s="545" t="s">
        <v>339</v>
      </c>
      <c r="B707" s="544" t="s">
        <v>338</v>
      </c>
      <c r="C707" s="543">
        <v>42766</v>
      </c>
      <c r="D707" s="542">
        <v>6291.2969999999996</v>
      </c>
    </row>
    <row r="708" spans="1:14">
      <c r="A708" s="545" t="s">
        <v>664</v>
      </c>
      <c r="B708" s="544" t="s">
        <v>665</v>
      </c>
      <c r="C708" s="543">
        <v>42766</v>
      </c>
      <c r="D708" s="542">
        <v>1100.3130000000001</v>
      </c>
    </row>
    <row r="709" spans="1:14">
      <c r="A709" s="545" t="s">
        <v>243</v>
      </c>
      <c r="B709" s="544" t="s">
        <v>242</v>
      </c>
      <c r="C709" s="543">
        <v>42766</v>
      </c>
      <c r="D709" s="542">
        <v>2150.8420000000001</v>
      </c>
    </row>
    <row r="710" spans="1:14">
      <c r="A710" s="545" t="s">
        <v>243</v>
      </c>
      <c r="B710" s="544" t="s">
        <v>242</v>
      </c>
      <c r="C710" s="543">
        <v>42766</v>
      </c>
      <c r="D710" s="542">
        <v>2592.0819999999999</v>
      </c>
    </row>
    <row r="711" spans="1:14">
      <c r="A711" s="545" t="s">
        <v>181</v>
      </c>
      <c r="B711" s="544" t="s">
        <v>180</v>
      </c>
      <c r="C711" s="543">
        <v>42766</v>
      </c>
      <c r="D711" s="542">
        <v>2325</v>
      </c>
    </row>
    <row r="712" spans="1:14">
      <c r="A712" s="545" t="s">
        <v>221</v>
      </c>
      <c r="B712" s="544" t="s">
        <v>220</v>
      </c>
      <c r="C712" s="543">
        <v>42766</v>
      </c>
      <c r="D712" s="542">
        <v>1145</v>
      </c>
    </row>
    <row r="713" spans="1:14">
      <c r="A713" s="545" t="s">
        <v>179</v>
      </c>
      <c r="B713" s="544" t="s">
        <v>178</v>
      </c>
      <c r="C713" s="543">
        <v>42766</v>
      </c>
      <c r="D713" s="542">
        <v>3134.5590000000002</v>
      </c>
    </row>
    <row r="714" spans="1:14">
      <c r="A714" s="545" t="s">
        <v>309</v>
      </c>
      <c r="B714" s="544" t="s">
        <v>308</v>
      </c>
      <c r="C714" s="543">
        <v>42766</v>
      </c>
      <c r="D714" s="542">
        <v>4256.951</v>
      </c>
    </row>
    <row r="715" spans="1:14">
      <c r="A715" s="545" t="s">
        <v>239</v>
      </c>
      <c r="B715" s="544" t="s">
        <v>238</v>
      </c>
      <c r="C715" s="543">
        <v>42766</v>
      </c>
      <c r="D715" s="542">
        <v>682.69100000000003</v>
      </c>
    </row>
    <row r="716" spans="1:14">
      <c r="A716" s="545" t="s">
        <v>267</v>
      </c>
      <c r="B716" s="544" t="s">
        <v>266</v>
      </c>
      <c r="C716" s="543">
        <v>42766</v>
      </c>
      <c r="D716" s="542">
        <v>8000</v>
      </c>
    </row>
    <row r="717" spans="1:14">
      <c r="A717" s="537" t="s">
        <v>422</v>
      </c>
      <c r="B717" s="536" t="s">
        <v>421</v>
      </c>
      <c r="C717" s="535">
        <v>42766</v>
      </c>
      <c r="D717" s="534">
        <v>2704.7860000000001</v>
      </c>
      <c r="E717" s="529"/>
      <c r="F717" s="529"/>
      <c r="G717" s="529"/>
      <c r="H717" s="529"/>
      <c r="I717" s="529"/>
      <c r="J717" s="529"/>
      <c r="K717" s="529"/>
      <c r="L717" s="529"/>
      <c r="M717" s="529"/>
      <c r="N717" s="529"/>
    </row>
    <row r="718" spans="1:14">
      <c r="A718" s="537" t="s">
        <v>341</v>
      </c>
      <c r="B718" s="536" t="s">
        <v>340</v>
      </c>
      <c r="C718" s="535">
        <v>42766</v>
      </c>
      <c r="D718" s="534">
        <v>504.27699999999999</v>
      </c>
      <c r="E718" s="529"/>
      <c r="F718" s="529"/>
      <c r="G718" s="529"/>
      <c r="H718" s="529"/>
      <c r="I718" s="529"/>
      <c r="J718" s="529"/>
      <c r="K718" s="529"/>
      <c r="L718" s="529"/>
      <c r="M718" s="529"/>
      <c r="N718" s="529"/>
    </row>
    <row r="719" spans="1:14">
      <c r="A719" s="537" t="s">
        <v>358</v>
      </c>
      <c r="B719" s="536" t="s">
        <v>357</v>
      </c>
      <c r="C719" s="535">
        <v>42766</v>
      </c>
      <c r="D719" s="534">
        <v>900</v>
      </c>
      <c r="E719" s="529"/>
      <c r="F719" s="529"/>
      <c r="G719" s="529"/>
      <c r="H719" s="529"/>
      <c r="I719" s="529"/>
      <c r="J719" s="529"/>
      <c r="K719" s="529"/>
      <c r="L719" s="529"/>
      <c r="M719" s="529"/>
      <c r="N719" s="529"/>
    </row>
    <row r="720" spans="1:14">
      <c r="A720" s="537" t="s">
        <v>757</v>
      </c>
      <c r="B720" s="536" t="s">
        <v>758</v>
      </c>
      <c r="C720" s="535">
        <v>42766</v>
      </c>
      <c r="D720" s="534">
        <v>1673.01</v>
      </c>
      <c r="E720" s="529"/>
      <c r="F720" s="529"/>
      <c r="G720" s="529"/>
      <c r="H720" s="529"/>
      <c r="I720" s="529"/>
      <c r="J720" s="529"/>
      <c r="K720" s="529"/>
      <c r="L720" s="529"/>
      <c r="M720" s="529"/>
      <c r="N720" s="529"/>
    </row>
    <row r="721" spans="1:14">
      <c r="A721" s="537" t="s">
        <v>404</v>
      </c>
      <c r="B721" s="536" t="s">
        <v>403</v>
      </c>
      <c r="C721" s="535">
        <v>42766</v>
      </c>
      <c r="D721" s="534">
        <v>1332.8710000000001</v>
      </c>
      <c r="E721" s="529"/>
      <c r="F721" s="529"/>
      <c r="G721" s="529"/>
      <c r="H721" s="529"/>
      <c r="I721" s="529"/>
      <c r="J721" s="529"/>
      <c r="K721" s="529"/>
      <c r="L721" s="529"/>
      <c r="M721" s="529"/>
      <c r="N721" s="529"/>
    </row>
    <row r="722" spans="1:14">
      <c r="A722" s="537" t="s">
        <v>488</v>
      </c>
      <c r="B722" s="536" t="s">
        <v>487</v>
      </c>
      <c r="C722" s="535">
        <v>42766</v>
      </c>
      <c r="D722" s="534">
        <v>4669.7089999999998</v>
      </c>
      <c r="E722" s="529"/>
      <c r="F722" s="529"/>
      <c r="G722" s="529"/>
      <c r="H722" s="529"/>
      <c r="I722" s="529"/>
      <c r="J722" s="529"/>
      <c r="K722" s="529"/>
      <c r="L722" s="529"/>
      <c r="M722" s="529"/>
      <c r="N722" s="529"/>
    </row>
    <row r="723" spans="1:14">
      <c r="A723" s="537" t="s">
        <v>396</v>
      </c>
      <c r="B723" s="536" t="s">
        <v>395</v>
      </c>
      <c r="C723" s="535">
        <v>42766</v>
      </c>
      <c r="D723" s="534">
        <v>4433.5739999999996</v>
      </c>
      <c r="E723" s="529"/>
      <c r="F723" s="529"/>
      <c r="G723" s="529"/>
      <c r="H723" s="529"/>
      <c r="I723" s="529"/>
      <c r="J723" s="529"/>
      <c r="K723" s="529"/>
      <c r="L723" s="529"/>
      <c r="M723" s="529"/>
      <c r="N723" s="529"/>
    </row>
    <row r="724" spans="1:14">
      <c r="A724" s="537" t="s">
        <v>627</v>
      </c>
      <c r="B724" s="536" t="s">
        <v>628</v>
      </c>
      <c r="C724" s="535">
        <v>42766</v>
      </c>
      <c r="D724" s="534">
        <v>1188.877</v>
      </c>
      <c r="E724" s="529"/>
      <c r="F724" s="529"/>
      <c r="G724" s="529"/>
      <c r="H724" s="529"/>
      <c r="I724" s="529"/>
      <c r="J724" s="529"/>
      <c r="K724" s="529"/>
      <c r="L724" s="529"/>
      <c r="M724" s="529"/>
      <c r="N724" s="529"/>
    </row>
    <row r="725" spans="1:14">
      <c r="A725" s="537" t="s">
        <v>486</v>
      </c>
      <c r="B725" s="536" t="s">
        <v>485</v>
      </c>
      <c r="C725" s="535">
        <v>42766</v>
      </c>
      <c r="D725" s="534">
        <v>375.13799999999998</v>
      </c>
      <c r="E725" s="529"/>
      <c r="F725" s="529"/>
      <c r="G725" s="529"/>
      <c r="H725" s="529"/>
      <c r="I725" s="529"/>
      <c r="J725" s="529"/>
      <c r="K725" s="529"/>
      <c r="L725" s="529"/>
      <c r="M725" s="529"/>
      <c r="N725" s="529"/>
    </row>
    <row r="726" spans="1:14" ht="15.75" thickBot="1">
      <c r="A726" s="533" t="s">
        <v>660</v>
      </c>
      <c r="B726" s="532" t="s">
        <v>661</v>
      </c>
      <c r="C726" s="531">
        <v>42766</v>
      </c>
      <c r="D726" s="530">
        <v>5921.3620000000001</v>
      </c>
      <c r="E726" s="529"/>
      <c r="F726" s="529"/>
      <c r="G726" s="529"/>
      <c r="H726" s="529"/>
      <c r="I726" s="529"/>
      <c r="J726" s="529"/>
      <c r="K726" s="529"/>
      <c r="L726" s="529"/>
      <c r="M726" s="529"/>
      <c r="N726" s="529"/>
    </row>
    <row r="727" spans="1:14" s="527" customFormat="1" ht="15.75" thickBot="1">
      <c r="A727" s="677" t="s">
        <v>680</v>
      </c>
      <c r="B727" s="678"/>
      <c r="C727" s="678"/>
      <c r="D727" s="528">
        <f>SUM(D393:D726)</f>
        <v>619363.30700000038</v>
      </c>
    </row>
    <row r="728" spans="1:14">
      <c r="A728" s="549" t="s">
        <v>265</v>
      </c>
      <c r="B728" s="548" t="s">
        <v>264</v>
      </c>
      <c r="C728" s="547">
        <v>42767</v>
      </c>
      <c r="D728" s="546">
        <v>582.14700000000005</v>
      </c>
    </row>
    <row r="729" spans="1:14">
      <c r="A729" s="537" t="s">
        <v>333</v>
      </c>
      <c r="B729" s="536" t="s">
        <v>332</v>
      </c>
      <c r="C729" s="535">
        <v>42767</v>
      </c>
      <c r="D729" s="534">
        <v>4464.7020000000002</v>
      </c>
      <c r="E729" s="529"/>
      <c r="F729" s="529"/>
      <c r="G729" s="529"/>
      <c r="H729" s="529"/>
      <c r="I729" s="529"/>
      <c r="J729" s="529"/>
      <c r="K729" s="529"/>
      <c r="L729" s="529"/>
      <c r="M729" s="529"/>
      <c r="N729" s="529"/>
    </row>
    <row r="730" spans="1:14">
      <c r="A730" s="545" t="s">
        <v>557</v>
      </c>
      <c r="B730" s="544" t="s">
        <v>556</v>
      </c>
      <c r="C730" s="543">
        <v>42768</v>
      </c>
      <c r="D730" s="542">
        <v>1237.912</v>
      </c>
    </row>
    <row r="731" spans="1:14">
      <c r="A731" s="545" t="s">
        <v>795</v>
      </c>
      <c r="B731" s="544" t="s">
        <v>794</v>
      </c>
      <c r="C731" s="543">
        <v>42768</v>
      </c>
      <c r="D731" s="542">
        <v>1352.1310000000001</v>
      </c>
    </row>
    <row r="732" spans="1:14">
      <c r="A732" s="545" t="s">
        <v>648</v>
      </c>
      <c r="B732" s="544" t="s">
        <v>649</v>
      </c>
      <c r="C732" s="543">
        <v>42769</v>
      </c>
      <c r="D732" s="542">
        <v>2266.3850000000002</v>
      </c>
    </row>
    <row r="733" spans="1:14">
      <c r="A733" s="545" t="s">
        <v>203</v>
      </c>
      <c r="B733" s="544" t="s">
        <v>202</v>
      </c>
      <c r="C733" s="543">
        <v>42770</v>
      </c>
      <c r="D733" s="542">
        <v>1089.7349999999999</v>
      </c>
    </row>
    <row r="734" spans="1:14">
      <c r="A734" s="537" t="s">
        <v>615</v>
      </c>
      <c r="B734" s="536" t="s">
        <v>616</v>
      </c>
      <c r="C734" s="535">
        <v>42770</v>
      </c>
      <c r="D734" s="534">
        <v>3000</v>
      </c>
      <c r="E734" s="529"/>
      <c r="F734" s="529"/>
      <c r="G734" s="529"/>
      <c r="H734" s="529"/>
      <c r="I734" s="529"/>
      <c r="J734" s="529"/>
      <c r="K734" s="529"/>
      <c r="L734" s="529"/>
      <c r="M734" s="529"/>
      <c r="N734" s="529"/>
    </row>
    <row r="735" spans="1:14">
      <c r="A735" s="545" t="s">
        <v>174</v>
      </c>
      <c r="B735" s="544" t="s">
        <v>173</v>
      </c>
      <c r="C735" s="543">
        <v>42771</v>
      </c>
      <c r="D735" s="542">
        <v>643.95500000000004</v>
      </c>
    </row>
    <row r="736" spans="1:14">
      <c r="A736" s="545" t="s">
        <v>215</v>
      </c>
      <c r="B736" s="544" t="s">
        <v>214</v>
      </c>
      <c r="C736" s="543">
        <v>42771</v>
      </c>
      <c r="D736" s="542">
        <v>350.39299999999997</v>
      </c>
    </row>
    <row r="737" spans="1:14">
      <c r="A737" s="545" t="s">
        <v>623</v>
      </c>
      <c r="B737" s="544" t="s">
        <v>624</v>
      </c>
      <c r="C737" s="543">
        <v>42771</v>
      </c>
      <c r="D737" s="542">
        <v>1140.9110000000001</v>
      </c>
    </row>
    <row r="738" spans="1:14">
      <c r="A738" s="545" t="s">
        <v>550</v>
      </c>
      <c r="B738" s="544" t="s">
        <v>551</v>
      </c>
      <c r="C738" s="543">
        <v>42771</v>
      </c>
      <c r="D738" s="542">
        <v>2500</v>
      </c>
    </row>
    <row r="739" spans="1:14">
      <c r="A739" s="545" t="s">
        <v>293</v>
      </c>
      <c r="B739" s="544" t="s">
        <v>292</v>
      </c>
      <c r="C739" s="543">
        <v>42771</v>
      </c>
      <c r="D739" s="542">
        <v>596.28499999999997</v>
      </c>
    </row>
    <row r="740" spans="1:14">
      <c r="A740" s="545" t="s">
        <v>283</v>
      </c>
      <c r="B740" s="544" t="s">
        <v>282</v>
      </c>
      <c r="C740" s="543">
        <v>42771</v>
      </c>
      <c r="D740" s="542">
        <v>3104.9319999999998</v>
      </c>
    </row>
    <row r="741" spans="1:14">
      <c r="A741" s="545" t="s">
        <v>311</v>
      </c>
      <c r="B741" s="544" t="s">
        <v>310</v>
      </c>
      <c r="C741" s="543">
        <v>42771</v>
      </c>
      <c r="D741" s="542">
        <v>3187.6790000000001</v>
      </c>
    </row>
    <row r="742" spans="1:14">
      <c r="A742" s="545" t="s">
        <v>791</v>
      </c>
      <c r="B742" s="544" t="s">
        <v>790</v>
      </c>
      <c r="C742" s="543">
        <v>42771</v>
      </c>
      <c r="D742" s="542">
        <v>2100</v>
      </c>
    </row>
    <row r="743" spans="1:14">
      <c r="A743" s="545" t="s">
        <v>307</v>
      </c>
      <c r="B743" s="544" t="s">
        <v>306</v>
      </c>
      <c r="C743" s="543">
        <v>42771</v>
      </c>
      <c r="D743" s="542">
        <v>1000</v>
      </c>
    </row>
    <row r="744" spans="1:14">
      <c r="A744" s="537" t="s">
        <v>613</v>
      </c>
      <c r="B744" s="536" t="s">
        <v>614</v>
      </c>
      <c r="C744" s="535">
        <v>42771</v>
      </c>
      <c r="D744" s="534">
        <v>500</v>
      </c>
      <c r="E744" s="529"/>
      <c r="F744" s="529"/>
      <c r="G744" s="529"/>
      <c r="H744" s="529"/>
      <c r="I744" s="529"/>
      <c r="J744" s="529"/>
      <c r="K744" s="529"/>
      <c r="L744" s="529"/>
      <c r="M744" s="529"/>
      <c r="N744" s="529"/>
    </row>
    <row r="745" spans="1:14">
      <c r="A745" s="545" t="s">
        <v>362</v>
      </c>
      <c r="B745" s="544" t="s">
        <v>361</v>
      </c>
      <c r="C745" s="543">
        <v>42772</v>
      </c>
      <c r="D745" s="542">
        <v>922.32</v>
      </c>
    </row>
    <row r="746" spans="1:14">
      <c r="A746" s="545" t="s">
        <v>197</v>
      </c>
      <c r="B746" s="544" t="s">
        <v>196</v>
      </c>
      <c r="C746" s="543">
        <v>42772</v>
      </c>
      <c r="D746" s="542">
        <v>4251.451</v>
      </c>
    </row>
    <row r="747" spans="1:14">
      <c r="A747" s="545" t="s">
        <v>428</v>
      </c>
      <c r="B747" s="544" t="s">
        <v>427</v>
      </c>
      <c r="C747" s="543">
        <v>42772</v>
      </c>
      <c r="D747" s="542">
        <v>683.55899999999997</v>
      </c>
    </row>
    <row r="748" spans="1:14">
      <c r="A748" s="545" t="s">
        <v>305</v>
      </c>
      <c r="B748" s="544" t="s">
        <v>304</v>
      </c>
      <c r="C748" s="543">
        <v>42773</v>
      </c>
      <c r="D748" s="542">
        <v>1089.97</v>
      </c>
    </row>
    <row r="749" spans="1:14">
      <c r="A749" s="545" t="s">
        <v>162</v>
      </c>
      <c r="B749" s="544" t="s">
        <v>161</v>
      </c>
      <c r="C749" s="543">
        <v>42774</v>
      </c>
      <c r="D749" s="542">
        <v>1494.133</v>
      </c>
    </row>
    <row r="750" spans="1:14">
      <c r="A750" s="545" t="s">
        <v>199</v>
      </c>
      <c r="B750" s="544" t="s">
        <v>198</v>
      </c>
      <c r="C750" s="543">
        <v>42774</v>
      </c>
      <c r="D750" s="542">
        <v>1630</v>
      </c>
    </row>
    <row r="751" spans="1:14">
      <c r="A751" s="545" t="s">
        <v>179</v>
      </c>
      <c r="B751" s="544" t="s">
        <v>178</v>
      </c>
      <c r="C751" s="543">
        <v>42774</v>
      </c>
      <c r="D751" s="542">
        <v>2950</v>
      </c>
    </row>
    <row r="752" spans="1:14">
      <c r="A752" s="545" t="s">
        <v>297</v>
      </c>
      <c r="B752" s="544" t="s">
        <v>296</v>
      </c>
      <c r="C752" s="543">
        <v>42774</v>
      </c>
      <c r="D752" s="542">
        <v>2000</v>
      </c>
    </row>
    <row r="753" spans="1:14">
      <c r="A753" s="537" t="s">
        <v>265</v>
      </c>
      <c r="B753" s="536" t="s">
        <v>264</v>
      </c>
      <c r="C753" s="535">
        <v>42774</v>
      </c>
      <c r="D753" s="534">
        <v>775</v>
      </c>
      <c r="E753" s="529"/>
      <c r="F753" s="529"/>
      <c r="G753" s="529"/>
      <c r="H753" s="529"/>
      <c r="I753" s="529"/>
      <c r="J753" s="529"/>
      <c r="K753" s="529"/>
      <c r="L753" s="529"/>
      <c r="M753" s="529"/>
      <c r="N753" s="529"/>
    </row>
    <row r="754" spans="1:14">
      <c r="A754" s="545" t="s">
        <v>174</v>
      </c>
      <c r="B754" s="544" t="s">
        <v>173</v>
      </c>
      <c r="C754" s="543">
        <v>42776</v>
      </c>
      <c r="D754" s="542">
        <v>645.91600000000005</v>
      </c>
    </row>
    <row r="755" spans="1:14">
      <c r="A755" s="545" t="s">
        <v>170</v>
      </c>
      <c r="B755" s="544" t="s">
        <v>169</v>
      </c>
      <c r="C755" s="543">
        <v>42776</v>
      </c>
      <c r="D755" s="542">
        <v>1000</v>
      </c>
    </row>
    <row r="756" spans="1:14">
      <c r="A756" s="545" t="s">
        <v>402</v>
      </c>
      <c r="B756" s="544" t="s">
        <v>401</v>
      </c>
      <c r="C756" s="543">
        <v>42776</v>
      </c>
      <c r="D756" s="542">
        <v>4459.2489999999998</v>
      </c>
    </row>
    <row r="757" spans="1:14">
      <c r="A757" s="545" t="s">
        <v>530</v>
      </c>
      <c r="B757" s="544" t="s">
        <v>531</v>
      </c>
      <c r="C757" s="543">
        <v>42776</v>
      </c>
      <c r="D757" s="542">
        <v>1397.607</v>
      </c>
    </row>
    <row r="758" spans="1:14">
      <c r="A758" s="545" t="s">
        <v>257</v>
      </c>
      <c r="B758" s="544" t="s">
        <v>256</v>
      </c>
      <c r="C758" s="543">
        <v>42776</v>
      </c>
      <c r="D758" s="542">
        <v>350</v>
      </c>
    </row>
    <row r="759" spans="1:14">
      <c r="A759" s="545" t="s">
        <v>207</v>
      </c>
      <c r="B759" s="544" t="s">
        <v>206</v>
      </c>
      <c r="C759" s="543">
        <v>42776</v>
      </c>
      <c r="D759" s="542">
        <v>3750</v>
      </c>
    </row>
    <row r="760" spans="1:14">
      <c r="A760" s="545" t="s">
        <v>211</v>
      </c>
      <c r="B760" s="544" t="s">
        <v>210</v>
      </c>
      <c r="C760" s="543">
        <v>42776</v>
      </c>
      <c r="D760" s="542">
        <v>9151.5879999999997</v>
      </c>
    </row>
    <row r="761" spans="1:14">
      <c r="A761" s="545" t="s">
        <v>281</v>
      </c>
      <c r="B761" s="544" t="s">
        <v>280</v>
      </c>
      <c r="C761" s="543">
        <v>42776</v>
      </c>
      <c r="D761" s="542">
        <v>926.38300000000004</v>
      </c>
    </row>
    <row r="762" spans="1:14">
      <c r="A762" s="545" t="s">
        <v>573</v>
      </c>
      <c r="B762" s="544" t="s">
        <v>574</v>
      </c>
      <c r="C762" s="543">
        <v>42776</v>
      </c>
      <c r="D762" s="542">
        <v>458</v>
      </c>
    </row>
    <row r="763" spans="1:14">
      <c r="A763" s="545" t="s">
        <v>315</v>
      </c>
      <c r="B763" s="544" t="s">
        <v>314</v>
      </c>
      <c r="C763" s="543">
        <v>42776</v>
      </c>
      <c r="D763" s="542">
        <v>255.976</v>
      </c>
    </row>
    <row r="764" spans="1:14">
      <c r="A764" s="545" t="s">
        <v>301</v>
      </c>
      <c r="B764" s="544" t="s">
        <v>300</v>
      </c>
      <c r="C764" s="543">
        <v>42776</v>
      </c>
      <c r="D764" s="542">
        <v>2500</v>
      </c>
    </row>
    <row r="765" spans="1:14">
      <c r="A765" s="545" t="s">
        <v>307</v>
      </c>
      <c r="B765" s="544" t="s">
        <v>306</v>
      </c>
      <c r="C765" s="543">
        <v>42776</v>
      </c>
      <c r="D765" s="542">
        <v>1000</v>
      </c>
    </row>
    <row r="766" spans="1:14">
      <c r="A766" s="545" t="s">
        <v>269</v>
      </c>
      <c r="B766" s="544" t="s">
        <v>268</v>
      </c>
      <c r="C766" s="543">
        <v>42776</v>
      </c>
      <c r="D766" s="542">
        <v>3000</v>
      </c>
    </row>
    <row r="767" spans="1:14">
      <c r="A767" s="545" t="s">
        <v>277</v>
      </c>
      <c r="B767" s="544" t="s">
        <v>276</v>
      </c>
      <c r="C767" s="543">
        <v>42776</v>
      </c>
      <c r="D767" s="542">
        <v>600</v>
      </c>
    </row>
    <row r="768" spans="1:14">
      <c r="A768" s="545" t="s">
        <v>426</v>
      </c>
      <c r="B768" s="544" t="s">
        <v>425</v>
      </c>
      <c r="C768" s="543">
        <v>42776</v>
      </c>
      <c r="D768" s="542">
        <v>693</v>
      </c>
    </row>
    <row r="769" spans="1:14">
      <c r="A769" s="545" t="s">
        <v>221</v>
      </c>
      <c r="B769" s="544" t="s">
        <v>220</v>
      </c>
      <c r="C769" s="543">
        <v>42776</v>
      </c>
      <c r="D769" s="542">
        <v>1146</v>
      </c>
    </row>
    <row r="770" spans="1:14">
      <c r="A770" s="545" t="s">
        <v>241</v>
      </c>
      <c r="B770" s="544" t="s">
        <v>240</v>
      </c>
      <c r="C770" s="543">
        <v>42776</v>
      </c>
      <c r="D770" s="542">
        <v>600</v>
      </c>
    </row>
    <row r="771" spans="1:14">
      <c r="A771" s="537" t="s">
        <v>635</v>
      </c>
      <c r="B771" s="536" t="s">
        <v>636</v>
      </c>
      <c r="C771" s="535">
        <v>42776</v>
      </c>
      <c r="D771" s="534">
        <v>3600</v>
      </c>
      <c r="E771" s="529"/>
      <c r="F771" s="529"/>
      <c r="G771" s="529"/>
      <c r="H771" s="529"/>
      <c r="I771" s="529"/>
      <c r="J771" s="529"/>
      <c r="K771" s="529"/>
      <c r="L771" s="529"/>
      <c r="M771" s="529"/>
      <c r="N771" s="529"/>
    </row>
    <row r="772" spans="1:14">
      <c r="A772" s="537" t="s">
        <v>358</v>
      </c>
      <c r="B772" s="536" t="s">
        <v>357</v>
      </c>
      <c r="C772" s="535">
        <v>42776</v>
      </c>
      <c r="D772" s="534">
        <v>600</v>
      </c>
      <c r="E772" s="529"/>
      <c r="F772" s="529"/>
      <c r="G772" s="529"/>
      <c r="H772" s="529"/>
      <c r="I772" s="529"/>
      <c r="J772" s="529"/>
      <c r="K772" s="529"/>
      <c r="L772" s="529"/>
      <c r="M772" s="529"/>
      <c r="N772" s="529"/>
    </row>
    <row r="773" spans="1:14">
      <c r="A773" s="537" t="s">
        <v>739</v>
      </c>
      <c r="B773" s="536" t="s">
        <v>740</v>
      </c>
      <c r="C773" s="535">
        <v>42776</v>
      </c>
      <c r="D773" s="534">
        <v>1173.277</v>
      </c>
      <c r="E773" s="529"/>
      <c r="F773" s="529"/>
      <c r="G773" s="529"/>
      <c r="H773" s="529"/>
      <c r="I773" s="529"/>
      <c r="J773" s="529"/>
      <c r="K773" s="529"/>
      <c r="L773" s="529"/>
      <c r="M773" s="529"/>
      <c r="N773" s="529"/>
    </row>
    <row r="774" spans="1:14">
      <c r="A774" s="537" t="s">
        <v>279</v>
      </c>
      <c r="B774" s="536" t="s">
        <v>278</v>
      </c>
      <c r="C774" s="535">
        <v>42776</v>
      </c>
      <c r="D774" s="534">
        <v>174.256</v>
      </c>
      <c r="E774" s="529"/>
      <c r="F774" s="529"/>
      <c r="G774" s="529"/>
      <c r="H774" s="529"/>
      <c r="I774" s="529"/>
      <c r="J774" s="529"/>
      <c r="K774" s="529"/>
      <c r="L774" s="529"/>
      <c r="M774" s="529"/>
      <c r="N774" s="529"/>
    </row>
    <row r="775" spans="1:14">
      <c r="A775" s="545" t="s">
        <v>162</v>
      </c>
      <c r="B775" s="544" t="s">
        <v>161</v>
      </c>
      <c r="C775" s="543">
        <v>42777</v>
      </c>
      <c r="D775" s="542">
        <v>1494.134</v>
      </c>
    </row>
    <row r="776" spans="1:14">
      <c r="A776" s="537" t="s">
        <v>615</v>
      </c>
      <c r="B776" s="536" t="s">
        <v>616</v>
      </c>
      <c r="C776" s="535">
        <v>42777</v>
      </c>
      <c r="D776" s="534">
        <v>3000</v>
      </c>
      <c r="E776" s="529"/>
      <c r="F776" s="529"/>
      <c r="G776" s="529"/>
      <c r="H776" s="529"/>
      <c r="I776" s="529"/>
      <c r="J776" s="529"/>
      <c r="K776" s="529"/>
      <c r="L776" s="529"/>
      <c r="M776" s="529"/>
      <c r="N776" s="529"/>
    </row>
    <row r="777" spans="1:14">
      <c r="A777" s="545" t="s">
        <v>791</v>
      </c>
      <c r="B777" s="544" t="s">
        <v>790</v>
      </c>
      <c r="C777" s="543">
        <v>42778</v>
      </c>
      <c r="D777" s="542">
        <v>2100</v>
      </c>
    </row>
    <row r="778" spans="1:14">
      <c r="A778" s="545" t="s">
        <v>297</v>
      </c>
      <c r="B778" s="544" t="s">
        <v>296</v>
      </c>
      <c r="C778" s="543">
        <v>42778</v>
      </c>
      <c r="D778" s="542">
        <v>1953.1849999999999</v>
      </c>
    </row>
    <row r="779" spans="1:14">
      <c r="A779" s="545" t="s">
        <v>174</v>
      </c>
      <c r="B779" s="544" t="s">
        <v>173</v>
      </c>
      <c r="C779" s="543">
        <v>42779</v>
      </c>
      <c r="D779" s="542">
        <v>644.69299999999998</v>
      </c>
    </row>
    <row r="780" spans="1:14">
      <c r="A780" s="545" t="s">
        <v>223</v>
      </c>
      <c r="B780" s="544" t="s">
        <v>222</v>
      </c>
      <c r="C780" s="543">
        <v>42779</v>
      </c>
      <c r="D780" s="542">
        <v>2936</v>
      </c>
    </row>
    <row r="781" spans="1:14">
      <c r="A781" s="537" t="s">
        <v>428</v>
      </c>
      <c r="B781" s="536" t="s">
        <v>427</v>
      </c>
      <c r="C781" s="535">
        <v>42779</v>
      </c>
      <c r="D781" s="534">
        <v>1055</v>
      </c>
      <c r="E781" s="529"/>
      <c r="F781" s="529"/>
      <c r="G781" s="529"/>
      <c r="H781" s="529"/>
      <c r="I781" s="529"/>
      <c r="J781" s="529"/>
      <c r="K781" s="529"/>
      <c r="L781" s="529"/>
      <c r="M781" s="529"/>
      <c r="N781" s="529"/>
    </row>
    <row r="782" spans="1:14">
      <c r="A782" s="545" t="s">
        <v>285</v>
      </c>
      <c r="B782" s="544" t="s">
        <v>284</v>
      </c>
      <c r="C782" s="543">
        <v>42780</v>
      </c>
      <c r="D782" s="542">
        <v>10000</v>
      </c>
    </row>
    <row r="783" spans="1:14">
      <c r="A783" s="537" t="s">
        <v>650</v>
      </c>
      <c r="B783" s="536" t="s">
        <v>651</v>
      </c>
      <c r="C783" s="535">
        <v>42780</v>
      </c>
      <c r="D783" s="534">
        <v>1652.538</v>
      </c>
      <c r="E783" s="529"/>
      <c r="F783" s="529"/>
      <c r="G783" s="529"/>
      <c r="H783" s="529"/>
      <c r="I783" s="529"/>
      <c r="J783" s="529"/>
      <c r="K783" s="529"/>
      <c r="L783" s="529"/>
      <c r="M783" s="529"/>
      <c r="N783" s="529"/>
    </row>
    <row r="784" spans="1:14">
      <c r="A784" s="537" t="s">
        <v>265</v>
      </c>
      <c r="B784" s="536" t="s">
        <v>264</v>
      </c>
      <c r="C784" s="535">
        <v>42780</v>
      </c>
      <c r="D784" s="534">
        <v>770</v>
      </c>
      <c r="E784" s="529"/>
      <c r="F784" s="529"/>
      <c r="G784" s="529"/>
      <c r="H784" s="529"/>
      <c r="I784" s="529"/>
      <c r="J784" s="529"/>
      <c r="K784" s="529"/>
      <c r="L784" s="529"/>
      <c r="M784" s="529"/>
      <c r="N784" s="529"/>
    </row>
    <row r="785" spans="1:14">
      <c r="A785" s="545" t="s">
        <v>789</v>
      </c>
      <c r="B785" s="544" t="s">
        <v>788</v>
      </c>
      <c r="C785" s="543">
        <v>42781</v>
      </c>
      <c r="D785" s="542">
        <v>874.32899999999995</v>
      </c>
    </row>
    <row r="786" spans="1:14">
      <c r="A786" s="545" t="s">
        <v>197</v>
      </c>
      <c r="B786" s="544" t="s">
        <v>196</v>
      </c>
      <c r="C786" s="543">
        <v>42781</v>
      </c>
      <c r="D786" s="542">
        <v>3489.8449999999998</v>
      </c>
    </row>
    <row r="787" spans="1:14">
      <c r="A787" s="545" t="s">
        <v>420</v>
      </c>
      <c r="B787" s="544" t="s">
        <v>419</v>
      </c>
      <c r="C787" s="543">
        <v>42781</v>
      </c>
      <c r="D787" s="542">
        <v>1085.432</v>
      </c>
    </row>
    <row r="788" spans="1:14">
      <c r="A788" s="545" t="s">
        <v>502</v>
      </c>
      <c r="B788" s="544" t="s">
        <v>501</v>
      </c>
      <c r="C788" s="543">
        <v>42781</v>
      </c>
      <c r="D788" s="542">
        <v>2600</v>
      </c>
    </row>
    <row r="789" spans="1:14">
      <c r="A789" s="545" t="s">
        <v>201</v>
      </c>
      <c r="B789" s="544" t="s">
        <v>200</v>
      </c>
      <c r="C789" s="543">
        <v>42781</v>
      </c>
      <c r="D789" s="542">
        <v>2500</v>
      </c>
    </row>
    <row r="790" spans="1:14">
      <c r="A790" s="545" t="s">
        <v>257</v>
      </c>
      <c r="B790" s="544" t="s">
        <v>256</v>
      </c>
      <c r="C790" s="543">
        <v>42781</v>
      </c>
      <c r="D790" s="542">
        <v>1070</v>
      </c>
    </row>
    <row r="791" spans="1:14">
      <c r="A791" s="545" t="s">
        <v>189</v>
      </c>
      <c r="B791" s="544" t="s">
        <v>188</v>
      </c>
      <c r="C791" s="543">
        <v>42781</v>
      </c>
      <c r="D791" s="542">
        <v>2300</v>
      </c>
    </row>
    <row r="792" spans="1:14">
      <c r="A792" s="545" t="s">
        <v>172</v>
      </c>
      <c r="B792" s="544" t="s">
        <v>171</v>
      </c>
      <c r="C792" s="543">
        <v>42781</v>
      </c>
      <c r="D792" s="542">
        <v>3778.1579999999999</v>
      </c>
    </row>
    <row r="793" spans="1:14">
      <c r="A793" s="545" t="s">
        <v>350</v>
      </c>
      <c r="B793" s="544" t="s">
        <v>349</v>
      </c>
      <c r="C793" s="543">
        <v>42781</v>
      </c>
      <c r="D793" s="542">
        <v>985.62099999999998</v>
      </c>
    </row>
    <row r="794" spans="1:14">
      <c r="A794" s="545" t="s">
        <v>510</v>
      </c>
      <c r="B794" s="544" t="s">
        <v>509</v>
      </c>
      <c r="C794" s="543">
        <v>42781</v>
      </c>
      <c r="D794" s="542">
        <v>1571.894</v>
      </c>
    </row>
    <row r="795" spans="1:14">
      <c r="A795" s="545" t="s">
        <v>168</v>
      </c>
      <c r="B795" s="544" t="s">
        <v>167</v>
      </c>
      <c r="C795" s="543">
        <v>42781</v>
      </c>
      <c r="D795" s="542">
        <v>10491.438</v>
      </c>
    </row>
    <row r="796" spans="1:14">
      <c r="A796" s="545" t="s">
        <v>767</v>
      </c>
      <c r="B796" s="544" t="s">
        <v>768</v>
      </c>
      <c r="C796" s="543">
        <v>42781</v>
      </c>
      <c r="D796" s="542">
        <v>1500</v>
      </c>
    </row>
    <row r="797" spans="1:14">
      <c r="A797" s="545" t="s">
        <v>291</v>
      </c>
      <c r="B797" s="544" t="s">
        <v>290</v>
      </c>
      <c r="C797" s="543">
        <v>42781</v>
      </c>
      <c r="D797" s="542">
        <v>4500</v>
      </c>
    </row>
    <row r="798" spans="1:14">
      <c r="A798" s="545" t="s">
        <v>291</v>
      </c>
      <c r="B798" s="544" t="s">
        <v>290</v>
      </c>
      <c r="C798" s="543">
        <v>42781</v>
      </c>
      <c r="D798" s="542">
        <v>1799.1130000000001</v>
      </c>
    </row>
    <row r="799" spans="1:14">
      <c r="A799" s="545" t="s">
        <v>179</v>
      </c>
      <c r="B799" s="544" t="s">
        <v>178</v>
      </c>
      <c r="C799" s="543">
        <v>42781</v>
      </c>
      <c r="D799" s="542">
        <v>2950</v>
      </c>
    </row>
    <row r="800" spans="1:14">
      <c r="A800" s="537" t="s">
        <v>358</v>
      </c>
      <c r="B800" s="536" t="s">
        <v>357</v>
      </c>
      <c r="C800" s="535">
        <v>42781</v>
      </c>
      <c r="D800" s="534">
        <v>600</v>
      </c>
      <c r="E800" s="529"/>
      <c r="F800" s="529"/>
      <c r="G800" s="529"/>
      <c r="H800" s="529"/>
      <c r="I800" s="529"/>
      <c r="J800" s="529"/>
      <c r="K800" s="529"/>
      <c r="L800" s="529"/>
      <c r="M800" s="529"/>
      <c r="N800" s="529"/>
    </row>
    <row r="801" spans="1:14">
      <c r="A801" s="537" t="s">
        <v>265</v>
      </c>
      <c r="B801" s="536" t="s">
        <v>264</v>
      </c>
      <c r="C801" s="535">
        <v>42781</v>
      </c>
      <c r="D801" s="534">
        <v>597.39</v>
      </c>
      <c r="E801" s="529"/>
      <c r="F801" s="529"/>
      <c r="G801" s="529"/>
      <c r="H801" s="529"/>
      <c r="I801" s="529"/>
      <c r="J801" s="529"/>
      <c r="K801" s="529"/>
      <c r="L801" s="529"/>
      <c r="M801" s="529"/>
      <c r="N801" s="529"/>
    </row>
    <row r="802" spans="1:14">
      <c r="A802" s="537" t="s">
        <v>613</v>
      </c>
      <c r="B802" s="536" t="s">
        <v>614</v>
      </c>
      <c r="C802" s="535">
        <v>42781</v>
      </c>
      <c r="D802" s="534">
        <v>500</v>
      </c>
      <c r="E802" s="529"/>
      <c r="F802" s="529"/>
      <c r="G802" s="529"/>
      <c r="H802" s="529"/>
      <c r="I802" s="529"/>
      <c r="J802" s="529"/>
      <c r="K802" s="529"/>
      <c r="L802" s="529"/>
      <c r="M802" s="529"/>
      <c r="N802" s="529"/>
    </row>
    <row r="803" spans="1:14">
      <c r="A803" s="537" t="s">
        <v>797</v>
      </c>
      <c r="B803" s="536" t="s">
        <v>796</v>
      </c>
      <c r="C803" s="535">
        <v>42781</v>
      </c>
      <c r="D803" s="534">
        <v>9355.8050000000003</v>
      </c>
      <c r="E803" s="529"/>
      <c r="F803" s="529"/>
      <c r="G803" s="529"/>
      <c r="H803" s="529"/>
      <c r="I803" s="529"/>
      <c r="J803" s="529"/>
      <c r="K803" s="529"/>
      <c r="L803" s="529"/>
      <c r="M803" s="529"/>
      <c r="N803" s="529"/>
    </row>
    <row r="804" spans="1:14">
      <c r="A804" s="545" t="s">
        <v>557</v>
      </c>
      <c r="B804" s="544" t="s">
        <v>556</v>
      </c>
      <c r="C804" s="543">
        <v>42782</v>
      </c>
      <c r="D804" s="542">
        <v>1237.912</v>
      </c>
    </row>
    <row r="805" spans="1:14">
      <c r="A805" s="545" t="s">
        <v>795</v>
      </c>
      <c r="B805" s="544" t="s">
        <v>794</v>
      </c>
      <c r="C805" s="543">
        <v>42782</v>
      </c>
      <c r="D805" s="542">
        <v>1481.1769999999999</v>
      </c>
    </row>
    <row r="806" spans="1:14">
      <c r="A806" s="545" t="s">
        <v>257</v>
      </c>
      <c r="B806" s="544" t="s">
        <v>256</v>
      </c>
      <c r="C806" s="543">
        <v>42783</v>
      </c>
      <c r="D806" s="542">
        <v>2300</v>
      </c>
    </row>
    <row r="807" spans="1:14">
      <c r="A807" s="545" t="s">
        <v>187</v>
      </c>
      <c r="B807" s="544" t="s">
        <v>186</v>
      </c>
      <c r="C807" s="543">
        <v>42783</v>
      </c>
      <c r="D807" s="542">
        <v>1540</v>
      </c>
    </row>
    <row r="808" spans="1:14">
      <c r="A808" s="545" t="s">
        <v>510</v>
      </c>
      <c r="B808" s="544" t="s">
        <v>509</v>
      </c>
      <c r="C808" s="543">
        <v>42783</v>
      </c>
      <c r="D808" s="542">
        <v>1889</v>
      </c>
    </row>
    <row r="809" spans="1:14">
      <c r="A809" s="545" t="s">
        <v>585</v>
      </c>
      <c r="B809" s="544" t="s">
        <v>586</v>
      </c>
      <c r="C809" s="543">
        <v>42783</v>
      </c>
      <c r="D809" s="542">
        <v>2584</v>
      </c>
    </row>
    <row r="810" spans="1:14">
      <c r="A810" s="545" t="s">
        <v>255</v>
      </c>
      <c r="B810" s="544" t="s">
        <v>254</v>
      </c>
      <c r="C810" s="543">
        <v>42784</v>
      </c>
      <c r="D810" s="542">
        <v>2049.7759999999998</v>
      </c>
    </row>
    <row r="811" spans="1:14">
      <c r="A811" s="537" t="s">
        <v>450</v>
      </c>
      <c r="B811" s="536" t="s">
        <v>449</v>
      </c>
      <c r="C811" s="535">
        <v>42784</v>
      </c>
      <c r="D811" s="534">
        <v>461.654</v>
      </c>
      <c r="E811" s="529"/>
      <c r="F811" s="529"/>
      <c r="G811" s="529"/>
      <c r="H811" s="529"/>
      <c r="I811" s="529"/>
      <c r="J811" s="529"/>
      <c r="K811" s="529"/>
      <c r="L811" s="529"/>
      <c r="M811" s="529"/>
      <c r="N811" s="529"/>
    </row>
    <row r="812" spans="1:14">
      <c r="A812" s="537" t="s">
        <v>615</v>
      </c>
      <c r="B812" s="536" t="s">
        <v>616</v>
      </c>
      <c r="C812" s="535">
        <v>42784</v>
      </c>
      <c r="D812" s="534">
        <v>3000</v>
      </c>
      <c r="E812" s="529"/>
      <c r="F812" s="529"/>
      <c r="G812" s="529"/>
      <c r="H812" s="529"/>
      <c r="I812" s="529"/>
      <c r="J812" s="529"/>
      <c r="K812" s="529"/>
      <c r="L812" s="529"/>
      <c r="M812" s="529"/>
      <c r="N812" s="529"/>
    </row>
    <row r="813" spans="1:14">
      <c r="A813" s="545" t="s">
        <v>530</v>
      </c>
      <c r="B813" s="544" t="s">
        <v>531</v>
      </c>
      <c r="C813" s="543">
        <v>42785</v>
      </c>
      <c r="D813" s="542">
        <v>1397.607</v>
      </c>
    </row>
    <row r="814" spans="1:14">
      <c r="A814" s="545" t="s">
        <v>257</v>
      </c>
      <c r="B814" s="544" t="s">
        <v>256</v>
      </c>
      <c r="C814" s="543">
        <v>42785</v>
      </c>
      <c r="D814" s="542">
        <v>2000</v>
      </c>
    </row>
    <row r="815" spans="1:14">
      <c r="A815" s="545" t="s">
        <v>791</v>
      </c>
      <c r="B815" s="544" t="s">
        <v>790</v>
      </c>
      <c r="C815" s="543">
        <v>42785</v>
      </c>
      <c r="D815" s="542">
        <v>2100</v>
      </c>
    </row>
    <row r="816" spans="1:14">
      <c r="A816" s="545" t="s">
        <v>174</v>
      </c>
      <c r="B816" s="544" t="s">
        <v>173</v>
      </c>
      <c r="C816" s="543">
        <v>42786</v>
      </c>
      <c r="D816" s="542">
        <v>658.43600000000004</v>
      </c>
    </row>
    <row r="817" spans="1:14">
      <c r="A817" s="545" t="s">
        <v>550</v>
      </c>
      <c r="B817" s="544" t="s">
        <v>551</v>
      </c>
      <c r="C817" s="543">
        <v>42786</v>
      </c>
      <c r="D817" s="542">
        <v>2928.6610000000001</v>
      </c>
    </row>
    <row r="818" spans="1:14">
      <c r="A818" s="545" t="s">
        <v>257</v>
      </c>
      <c r="B818" s="544" t="s">
        <v>256</v>
      </c>
      <c r="C818" s="543">
        <v>42786</v>
      </c>
      <c r="D818" s="542">
        <v>312</v>
      </c>
    </row>
    <row r="819" spans="1:14">
      <c r="A819" s="545" t="s">
        <v>207</v>
      </c>
      <c r="B819" s="544" t="s">
        <v>206</v>
      </c>
      <c r="C819" s="543">
        <v>42786</v>
      </c>
      <c r="D819" s="542">
        <v>3750</v>
      </c>
    </row>
    <row r="820" spans="1:14">
      <c r="A820" s="545" t="s">
        <v>434</v>
      </c>
      <c r="B820" s="544" t="s">
        <v>433</v>
      </c>
      <c r="C820" s="543">
        <v>42786</v>
      </c>
      <c r="D820" s="542">
        <v>3360.6779999999999</v>
      </c>
    </row>
    <row r="821" spans="1:14">
      <c r="A821" s="545" t="s">
        <v>281</v>
      </c>
      <c r="B821" s="544" t="s">
        <v>280</v>
      </c>
      <c r="C821" s="543">
        <v>42786</v>
      </c>
      <c r="D821" s="542">
        <v>897</v>
      </c>
    </row>
    <row r="822" spans="1:14">
      <c r="A822" s="545" t="s">
        <v>199</v>
      </c>
      <c r="B822" s="544" t="s">
        <v>198</v>
      </c>
      <c r="C822" s="543">
        <v>42786</v>
      </c>
      <c r="D822" s="542">
        <v>1637.7760000000001</v>
      </c>
    </row>
    <row r="823" spans="1:14">
      <c r="A823" s="545" t="s">
        <v>492</v>
      </c>
      <c r="B823" s="544" t="s">
        <v>491</v>
      </c>
      <c r="C823" s="543">
        <v>42786</v>
      </c>
      <c r="D823" s="542">
        <v>896.51499999999999</v>
      </c>
    </row>
    <row r="824" spans="1:14">
      <c r="A824" s="545" t="s">
        <v>269</v>
      </c>
      <c r="B824" s="544" t="s">
        <v>268</v>
      </c>
      <c r="C824" s="543">
        <v>42786</v>
      </c>
      <c r="D824" s="542">
        <v>3000</v>
      </c>
    </row>
    <row r="825" spans="1:14">
      <c r="A825" s="545" t="s">
        <v>426</v>
      </c>
      <c r="B825" s="544" t="s">
        <v>425</v>
      </c>
      <c r="C825" s="543">
        <v>42786</v>
      </c>
      <c r="D825" s="542">
        <v>694.40300000000002</v>
      </c>
    </row>
    <row r="826" spans="1:14">
      <c r="A826" s="545" t="s">
        <v>221</v>
      </c>
      <c r="B826" s="544" t="s">
        <v>220</v>
      </c>
      <c r="C826" s="543">
        <v>42786</v>
      </c>
      <c r="D826" s="542">
        <v>1129.71</v>
      </c>
    </row>
    <row r="827" spans="1:14">
      <c r="A827" s="545" t="s">
        <v>241</v>
      </c>
      <c r="B827" s="544" t="s">
        <v>240</v>
      </c>
      <c r="C827" s="543">
        <v>42786</v>
      </c>
      <c r="D827" s="542">
        <v>600</v>
      </c>
    </row>
    <row r="828" spans="1:14">
      <c r="A828" s="537" t="s">
        <v>358</v>
      </c>
      <c r="B828" s="536" t="s">
        <v>357</v>
      </c>
      <c r="C828" s="535">
        <v>42786</v>
      </c>
      <c r="D828" s="534">
        <v>600</v>
      </c>
      <c r="E828" s="529"/>
      <c r="F828" s="529"/>
      <c r="G828" s="529"/>
      <c r="H828" s="529"/>
      <c r="I828" s="529"/>
      <c r="J828" s="529"/>
      <c r="K828" s="529"/>
      <c r="L828" s="529"/>
      <c r="M828" s="529"/>
      <c r="N828" s="529"/>
    </row>
    <row r="829" spans="1:14">
      <c r="A829" s="537" t="s">
        <v>265</v>
      </c>
      <c r="B829" s="536" t="s">
        <v>264</v>
      </c>
      <c r="C829" s="535">
        <v>42786</v>
      </c>
      <c r="D829" s="534">
        <v>780</v>
      </c>
      <c r="E829" s="529"/>
      <c r="F829" s="529"/>
      <c r="G829" s="529"/>
      <c r="H829" s="529"/>
      <c r="I829" s="529"/>
      <c r="J829" s="529"/>
      <c r="K829" s="529"/>
      <c r="L829" s="529"/>
      <c r="M829" s="529"/>
      <c r="N829" s="529"/>
    </row>
    <row r="830" spans="1:14">
      <c r="A830" s="537" t="s">
        <v>428</v>
      </c>
      <c r="B830" s="536" t="s">
        <v>427</v>
      </c>
      <c r="C830" s="535">
        <v>42786</v>
      </c>
      <c r="D830" s="534">
        <v>1065</v>
      </c>
      <c r="E830" s="529"/>
      <c r="F830" s="529"/>
      <c r="G830" s="529"/>
      <c r="H830" s="529"/>
      <c r="I830" s="529"/>
      <c r="J830" s="529"/>
      <c r="K830" s="529"/>
      <c r="L830" s="529"/>
      <c r="M830" s="529"/>
      <c r="N830" s="529"/>
    </row>
    <row r="831" spans="1:14">
      <c r="A831" s="545" t="s">
        <v>197</v>
      </c>
      <c r="B831" s="544" t="s">
        <v>196</v>
      </c>
      <c r="C831" s="543">
        <v>42788</v>
      </c>
      <c r="D831" s="542">
        <v>5000</v>
      </c>
    </row>
    <row r="832" spans="1:14">
      <c r="A832" s="545" t="s">
        <v>219</v>
      </c>
      <c r="B832" s="544" t="s">
        <v>218</v>
      </c>
      <c r="C832" s="543">
        <v>42788</v>
      </c>
      <c r="D832" s="542">
        <v>1274.798</v>
      </c>
    </row>
    <row r="833" spans="1:14">
      <c r="A833" s="545" t="s">
        <v>179</v>
      </c>
      <c r="B833" s="544" t="s">
        <v>178</v>
      </c>
      <c r="C833" s="543">
        <v>42788</v>
      </c>
      <c r="D833" s="542">
        <v>2950</v>
      </c>
    </row>
    <row r="834" spans="1:14">
      <c r="A834" s="537" t="s">
        <v>275</v>
      </c>
      <c r="B834" s="536" t="s">
        <v>274</v>
      </c>
      <c r="C834" s="535">
        <v>42788</v>
      </c>
      <c r="D834" s="534">
        <v>1597.4749999999999</v>
      </c>
      <c r="E834" s="529"/>
      <c r="F834" s="529"/>
      <c r="G834" s="529"/>
      <c r="H834" s="529"/>
      <c r="I834" s="529"/>
      <c r="J834" s="529"/>
      <c r="K834" s="529"/>
      <c r="L834" s="529"/>
      <c r="M834" s="529"/>
      <c r="N834" s="529"/>
    </row>
    <row r="835" spans="1:14">
      <c r="A835" s="545" t="s">
        <v>187</v>
      </c>
      <c r="B835" s="544" t="s">
        <v>186</v>
      </c>
      <c r="C835" s="543">
        <v>42789</v>
      </c>
      <c r="D835" s="542">
        <v>1540</v>
      </c>
    </row>
    <row r="836" spans="1:14">
      <c r="A836" s="545" t="s">
        <v>285</v>
      </c>
      <c r="B836" s="544" t="s">
        <v>284</v>
      </c>
      <c r="C836" s="543">
        <v>42789</v>
      </c>
      <c r="D836" s="542">
        <v>11439.177</v>
      </c>
    </row>
    <row r="837" spans="1:14">
      <c r="A837" s="545" t="s">
        <v>557</v>
      </c>
      <c r="B837" s="544" t="s">
        <v>556</v>
      </c>
      <c r="C837" s="543">
        <v>42791</v>
      </c>
      <c r="D837" s="542">
        <v>1237.912</v>
      </c>
    </row>
    <row r="838" spans="1:14">
      <c r="A838" s="545" t="s">
        <v>166</v>
      </c>
      <c r="B838" s="544" t="s">
        <v>165</v>
      </c>
      <c r="C838" s="543">
        <v>42791</v>
      </c>
      <c r="D838" s="542">
        <v>725</v>
      </c>
    </row>
    <row r="839" spans="1:14">
      <c r="A839" s="545" t="s">
        <v>164</v>
      </c>
      <c r="B839" s="544" t="s">
        <v>163</v>
      </c>
      <c r="C839" s="543">
        <v>42791</v>
      </c>
      <c r="D839" s="542">
        <v>1800</v>
      </c>
    </row>
    <row r="840" spans="1:14">
      <c r="A840" s="545" t="s">
        <v>656</v>
      </c>
      <c r="B840" s="544" t="s">
        <v>657</v>
      </c>
      <c r="C840" s="543">
        <v>42791</v>
      </c>
      <c r="D840" s="542">
        <v>556.96400000000006</v>
      </c>
    </row>
    <row r="841" spans="1:14">
      <c r="A841" s="545" t="s">
        <v>311</v>
      </c>
      <c r="B841" s="544" t="s">
        <v>310</v>
      </c>
      <c r="C841" s="543">
        <v>42791</v>
      </c>
      <c r="D841" s="542">
        <v>3187.6790000000001</v>
      </c>
    </row>
    <row r="842" spans="1:14">
      <c r="A842" s="545" t="s">
        <v>510</v>
      </c>
      <c r="B842" s="544" t="s">
        <v>509</v>
      </c>
      <c r="C842" s="543">
        <v>42791</v>
      </c>
      <c r="D842" s="542">
        <v>3566.9</v>
      </c>
    </row>
    <row r="843" spans="1:14">
      <c r="A843" s="545" t="s">
        <v>225</v>
      </c>
      <c r="B843" s="544" t="s">
        <v>224</v>
      </c>
      <c r="C843" s="543">
        <v>42791</v>
      </c>
      <c r="D843" s="542">
        <v>2446.2539999999999</v>
      </c>
    </row>
    <row r="844" spans="1:14">
      <c r="A844" s="545" t="s">
        <v>269</v>
      </c>
      <c r="B844" s="544" t="s">
        <v>268</v>
      </c>
      <c r="C844" s="543">
        <v>42791</v>
      </c>
      <c r="D844" s="542">
        <v>3000</v>
      </c>
    </row>
    <row r="845" spans="1:14">
      <c r="A845" s="537" t="s">
        <v>358</v>
      </c>
      <c r="B845" s="536" t="s">
        <v>357</v>
      </c>
      <c r="C845" s="535">
        <v>42791</v>
      </c>
      <c r="D845" s="534">
        <v>600</v>
      </c>
      <c r="E845" s="529"/>
      <c r="F845" s="529"/>
      <c r="G845" s="529"/>
      <c r="H845" s="529"/>
      <c r="I845" s="529"/>
      <c r="J845" s="529"/>
      <c r="K845" s="529"/>
      <c r="L845" s="529"/>
      <c r="M845" s="529"/>
      <c r="N845" s="529"/>
    </row>
    <row r="846" spans="1:14">
      <c r="A846" s="537" t="s">
        <v>221</v>
      </c>
      <c r="B846" s="536" t="s">
        <v>220</v>
      </c>
      <c r="C846" s="535">
        <v>42791</v>
      </c>
      <c r="D846" s="534">
        <v>1100</v>
      </c>
      <c r="E846" s="529"/>
      <c r="F846" s="529"/>
      <c r="G846" s="529"/>
      <c r="H846" s="529"/>
      <c r="I846" s="529"/>
      <c r="J846" s="529"/>
      <c r="K846" s="529"/>
      <c r="L846" s="529"/>
      <c r="M846" s="529"/>
      <c r="N846" s="529"/>
    </row>
    <row r="847" spans="1:14">
      <c r="A847" s="537" t="s">
        <v>739</v>
      </c>
      <c r="B847" s="536" t="s">
        <v>740</v>
      </c>
      <c r="C847" s="535">
        <v>42791</v>
      </c>
      <c r="D847" s="534">
        <v>1173.277</v>
      </c>
      <c r="E847" s="529"/>
      <c r="F847" s="529"/>
      <c r="G847" s="529"/>
      <c r="H847" s="529"/>
      <c r="I847" s="529"/>
      <c r="J847" s="529"/>
      <c r="K847" s="529"/>
      <c r="L847" s="529"/>
      <c r="M847" s="529"/>
      <c r="N847" s="529"/>
    </row>
    <row r="848" spans="1:14">
      <c r="A848" s="537" t="s">
        <v>195</v>
      </c>
      <c r="B848" s="536" t="s">
        <v>194</v>
      </c>
      <c r="C848" s="535">
        <v>42791</v>
      </c>
      <c r="D848" s="534">
        <v>2450</v>
      </c>
      <c r="E848" s="529"/>
      <c r="F848" s="529"/>
      <c r="G848" s="529"/>
      <c r="H848" s="529"/>
      <c r="I848" s="529"/>
      <c r="J848" s="529"/>
      <c r="K848" s="529"/>
      <c r="L848" s="529"/>
      <c r="M848" s="529"/>
      <c r="N848" s="529"/>
    </row>
    <row r="849" spans="1:14">
      <c r="A849" s="537" t="s">
        <v>615</v>
      </c>
      <c r="B849" s="536" t="s">
        <v>616</v>
      </c>
      <c r="C849" s="535">
        <v>42791</v>
      </c>
      <c r="D849" s="534">
        <v>3000</v>
      </c>
      <c r="E849" s="529"/>
      <c r="F849" s="529"/>
      <c r="G849" s="529"/>
      <c r="H849" s="529"/>
      <c r="I849" s="529"/>
      <c r="J849" s="529"/>
      <c r="K849" s="529"/>
      <c r="L849" s="529"/>
      <c r="M849" s="529"/>
      <c r="N849" s="529"/>
    </row>
    <row r="850" spans="1:14">
      <c r="A850" s="537" t="s">
        <v>297</v>
      </c>
      <c r="B850" s="536" t="s">
        <v>296</v>
      </c>
      <c r="C850" s="535">
        <v>42792</v>
      </c>
      <c r="D850" s="534">
        <v>337.00299999999999</v>
      </c>
      <c r="E850" s="529"/>
      <c r="F850" s="529"/>
      <c r="G850" s="529"/>
      <c r="H850" s="529"/>
      <c r="I850" s="529"/>
      <c r="J850" s="529"/>
      <c r="K850" s="529"/>
      <c r="L850" s="529"/>
      <c r="M850" s="529"/>
      <c r="N850" s="529"/>
    </row>
    <row r="851" spans="1:14">
      <c r="A851" s="545" t="s">
        <v>166</v>
      </c>
      <c r="B851" s="544" t="s">
        <v>165</v>
      </c>
      <c r="C851" s="543">
        <v>42792</v>
      </c>
      <c r="D851" s="542">
        <v>725</v>
      </c>
    </row>
    <row r="852" spans="1:14">
      <c r="A852" s="545" t="s">
        <v>291</v>
      </c>
      <c r="B852" s="544" t="s">
        <v>290</v>
      </c>
      <c r="C852" s="543">
        <v>42792</v>
      </c>
      <c r="D852" s="542">
        <v>3580</v>
      </c>
    </row>
    <row r="853" spans="1:14">
      <c r="A853" s="537" t="s">
        <v>265</v>
      </c>
      <c r="B853" s="536" t="s">
        <v>264</v>
      </c>
      <c r="C853" s="535">
        <v>42792</v>
      </c>
      <c r="D853" s="534">
        <v>790</v>
      </c>
      <c r="E853" s="529"/>
      <c r="F853" s="529"/>
      <c r="G853" s="529"/>
      <c r="H853" s="529"/>
      <c r="I853" s="529"/>
      <c r="J853" s="529"/>
      <c r="K853" s="529"/>
      <c r="L853" s="529"/>
      <c r="M853" s="529"/>
      <c r="N853" s="529"/>
    </row>
    <row r="854" spans="1:14">
      <c r="A854" s="545" t="s">
        <v>166</v>
      </c>
      <c r="B854" s="544" t="s">
        <v>165</v>
      </c>
      <c r="C854" s="543">
        <v>42793</v>
      </c>
      <c r="D854" s="542">
        <v>725</v>
      </c>
    </row>
    <row r="855" spans="1:14">
      <c r="A855" s="537" t="s">
        <v>428</v>
      </c>
      <c r="B855" s="536" t="s">
        <v>427</v>
      </c>
      <c r="C855" s="535">
        <v>42793</v>
      </c>
      <c r="D855" s="534">
        <v>1070</v>
      </c>
      <c r="E855" s="529"/>
      <c r="F855" s="529"/>
      <c r="G855" s="529"/>
      <c r="H855" s="529"/>
      <c r="I855" s="529"/>
      <c r="J855" s="529"/>
      <c r="K855" s="529"/>
      <c r="L855" s="529"/>
      <c r="M855" s="529"/>
      <c r="N855" s="529"/>
    </row>
    <row r="856" spans="1:14">
      <c r="A856" s="537" t="s">
        <v>239</v>
      </c>
      <c r="B856" s="536" t="s">
        <v>238</v>
      </c>
      <c r="C856" s="535">
        <v>42794</v>
      </c>
      <c r="D856" s="534">
        <v>808.03499999999997</v>
      </c>
      <c r="E856" s="529"/>
      <c r="F856" s="529"/>
      <c r="G856" s="529"/>
      <c r="H856" s="529"/>
      <c r="I856" s="529"/>
      <c r="J856" s="529"/>
      <c r="K856" s="529"/>
      <c r="L856" s="529"/>
      <c r="M856" s="529"/>
      <c r="N856" s="529"/>
    </row>
    <row r="857" spans="1:14">
      <c r="A857" s="545" t="s">
        <v>235</v>
      </c>
      <c r="B857" s="544" t="s">
        <v>234</v>
      </c>
      <c r="C857" s="543">
        <v>42794</v>
      </c>
      <c r="D857" s="542">
        <v>5543.7910000000002</v>
      </c>
    </row>
    <row r="858" spans="1:14">
      <c r="A858" s="545" t="s">
        <v>233</v>
      </c>
      <c r="B858" s="544" t="s">
        <v>232</v>
      </c>
      <c r="C858" s="543">
        <v>42794</v>
      </c>
      <c r="D858" s="542">
        <v>1395.037</v>
      </c>
    </row>
    <row r="859" spans="1:14">
      <c r="A859" s="545" t="s">
        <v>406</v>
      </c>
      <c r="B859" s="544" t="s">
        <v>405</v>
      </c>
      <c r="C859" s="543">
        <v>42794</v>
      </c>
      <c r="D859" s="542">
        <v>4846.9430000000002</v>
      </c>
    </row>
    <row r="860" spans="1:14">
      <c r="A860" s="545" t="s">
        <v>174</v>
      </c>
      <c r="B860" s="544" t="s">
        <v>173</v>
      </c>
      <c r="C860" s="543">
        <v>42794</v>
      </c>
      <c r="D860" s="542">
        <v>671.4</v>
      </c>
    </row>
    <row r="861" spans="1:14">
      <c r="A861" s="545" t="s">
        <v>197</v>
      </c>
      <c r="B861" s="544" t="s">
        <v>196</v>
      </c>
      <c r="C861" s="543">
        <v>42794</v>
      </c>
      <c r="D861" s="542">
        <v>5000</v>
      </c>
    </row>
    <row r="862" spans="1:14">
      <c r="A862" s="545" t="s">
        <v>255</v>
      </c>
      <c r="B862" s="544" t="s">
        <v>254</v>
      </c>
      <c r="C862" s="543">
        <v>42794</v>
      </c>
      <c r="D862" s="542">
        <v>2000</v>
      </c>
    </row>
    <row r="863" spans="1:14">
      <c r="A863" s="545" t="s">
        <v>360</v>
      </c>
      <c r="B863" s="544" t="s">
        <v>359</v>
      </c>
      <c r="C863" s="543">
        <v>42794</v>
      </c>
      <c r="D863" s="542">
        <v>725.11400000000003</v>
      </c>
    </row>
    <row r="864" spans="1:14">
      <c r="A864" s="545" t="s">
        <v>658</v>
      </c>
      <c r="B864" s="544" t="s">
        <v>659</v>
      </c>
      <c r="C864" s="543">
        <v>42794</v>
      </c>
      <c r="D864" s="542">
        <v>1014.497</v>
      </c>
    </row>
    <row r="865" spans="1:14">
      <c r="A865" s="545" t="s">
        <v>418</v>
      </c>
      <c r="B865" s="544" t="s">
        <v>417</v>
      </c>
      <c r="C865" s="543">
        <v>42794</v>
      </c>
      <c r="D865" s="542">
        <v>390.048</v>
      </c>
    </row>
    <row r="866" spans="1:14">
      <c r="A866" s="545" t="s">
        <v>769</v>
      </c>
      <c r="B866" s="544" t="s">
        <v>770</v>
      </c>
      <c r="C866" s="543">
        <v>42794</v>
      </c>
      <c r="D866" s="542">
        <v>2101.5239999999999</v>
      </c>
    </row>
    <row r="867" spans="1:14">
      <c r="A867" s="545" t="s">
        <v>253</v>
      </c>
      <c r="B867" s="544" t="s">
        <v>252</v>
      </c>
      <c r="C867" s="543">
        <v>42794</v>
      </c>
      <c r="D867" s="542">
        <v>3682.203</v>
      </c>
    </row>
    <row r="868" spans="1:14">
      <c r="A868" s="545" t="s">
        <v>201</v>
      </c>
      <c r="B868" s="544" t="s">
        <v>200</v>
      </c>
      <c r="C868" s="543">
        <v>42794</v>
      </c>
      <c r="D868" s="542">
        <v>2500</v>
      </c>
    </row>
    <row r="869" spans="1:14">
      <c r="A869" s="545" t="s">
        <v>166</v>
      </c>
      <c r="B869" s="544" t="s">
        <v>165</v>
      </c>
      <c r="C869" s="543">
        <v>42794</v>
      </c>
      <c r="D869" s="542">
        <v>736.45</v>
      </c>
    </row>
    <row r="870" spans="1:14">
      <c r="A870" s="545" t="s">
        <v>166</v>
      </c>
      <c r="B870" s="544" t="s">
        <v>165</v>
      </c>
      <c r="C870" s="543">
        <v>42794</v>
      </c>
      <c r="D870" s="542">
        <v>725</v>
      </c>
    </row>
    <row r="871" spans="1:14">
      <c r="A871" s="545" t="s">
        <v>170</v>
      </c>
      <c r="B871" s="544" t="s">
        <v>169</v>
      </c>
      <c r="C871" s="543">
        <v>42794</v>
      </c>
      <c r="D871" s="542">
        <v>1312.242</v>
      </c>
    </row>
    <row r="872" spans="1:14">
      <c r="A872" s="545" t="s">
        <v>530</v>
      </c>
      <c r="B872" s="544" t="s">
        <v>531</v>
      </c>
      <c r="C872" s="543">
        <v>42794</v>
      </c>
      <c r="D872" s="542">
        <v>1397.607</v>
      </c>
    </row>
    <row r="873" spans="1:14">
      <c r="A873" s="545" t="s">
        <v>189</v>
      </c>
      <c r="B873" s="544" t="s">
        <v>188</v>
      </c>
      <c r="C873" s="543">
        <v>42794</v>
      </c>
      <c r="D873" s="542">
        <v>3500</v>
      </c>
    </row>
    <row r="874" spans="1:14">
      <c r="A874" s="545" t="s">
        <v>164</v>
      </c>
      <c r="B874" s="544" t="s">
        <v>163</v>
      </c>
      <c r="C874" s="543">
        <v>42794</v>
      </c>
      <c r="D874" s="542">
        <v>1854.86</v>
      </c>
    </row>
    <row r="875" spans="1:14">
      <c r="A875" s="545" t="s">
        <v>227</v>
      </c>
      <c r="B875" s="544" t="s">
        <v>226</v>
      </c>
      <c r="C875" s="543">
        <v>42794</v>
      </c>
      <c r="D875" s="542">
        <v>5233.1139999999996</v>
      </c>
    </row>
    <row r="876" spans="1:14">
      <c r="A876" s="545" t="s">
        <v>187</v>
      </c>
      <c r="B876" s="544" t="s">
        <v>186</v>
      </c>
      <c r="C876" s="543">
        <v>42794</v>
      </c>
      <c r="D876" s="542">
        <v>1536.2059999999999</v>
      </c>
    </row>
    <row r="877" spans="1:14">
      <c r="A877" s="545" t="s">
        <v>281</v>
      </c>
      <c r="B877" s="544" t="s">
        <v>280</v>
      </c>
      <c r="C877" s="543">
        <v>42794</v>
      </c>
      <c r="D877" s="542">
        <v>897</v>
      </c>
    </row>
    <row r="878" spans="1:14" s="529" customFormat="1">
      <c r="A878" s="545" t="s">
        <v>229</v>
      </c>
      <c r="B878" s="544" t="s">
        <v>228</v>
      </c>
      <c r="C878" s="543">
        <v>42794</v>
      </c>
      <c r="D878" s="542">
        <v>5238.6239999999998</v>
      </c>
      <c r="E878" s="525"/>
      <c r="F878" s="525"/>
      <c r="G878" s="525"/>
      <c r="H878" s="525"/>
      <c r="I878" s="525"/>
      <c r="J878" s="525"/>
      <c r="K878" s="525"/>
      <c r="L878" s="525"/>
      <c r="M878" s="525"/>
      <c r="N878" s="525"/>
    </row>
    <row r="879" spans="1:14" s="529" customFormat="1">
      <c r="A879" s="545" t="s">
        <v>668</v>
      </c>
      <c r="B879" s="544" t="s">
        <v>669</v>
      </c>
      <c r="C879" s="543">
        <v>42794</v>
      </c>
      <c r="D879" s="542">
        <v>2018.5</v>
      </c>
      <c r="E879" s="525"/>
      <c r="F879" s="525"/>
      <c r="G879" s="525"/>
      <c r="H879" s="525"/>
      <c r="I879" s="525"/>
      <c r="J879" s="525"/>
      <c r="K879" s="525"/>
      <c r="L879" s="525"/>
      <c r="M879" s="525"/>
      <c r="N879" s="525"/>
    </row>
    <row r="880" spans="1:14" s="529" customFormat="1">
      <c r="A880" s="545" t="s">
        <v>484</v>
      </c>
      <c r="B880" s="544" t="s">
        <v>483</v>
      </c>
      <c r="C880" s="543">
        <v>42794</v>
      </c>
      <c r="D880" s="542">
        <v>790.33100000000002</v>
      </c>
      <c r="E880" s="525"/>
      <c r="F880" s="525"/>
      <c r="G880" s="525"/>
      <c r="H880" s="525"/>
      <c r="I880" s="525"/>
      <c r="J880" s="525"/>
      <c r="K880" s="525"/>
      <c r="L880" s="525"/>
      <c r="M880" s="525"/>
      <c r="N880" s="525"/>
    </row>
    <row r="881" spans="1:14" s="529" customFormat="1">
      <c r="A881" s="545" t="s">
        <v>185</v>
      </c>
      <c r="B881" s="544" t="s">
        <v>184</v>
      </c>
      <c r="C881" s="543">
        <v>42794</v>
      </c>
      <c r="D881" s="542">
        <v>6527.2870000000003</v>
      </c>
      <c r="E881" s="525"/>
      <c r="F881" s="525"/>
      <c r="G881" s="525"/>
      <c r="H881" s="525"/>
      <c r="I881" s="525"/>
      <c r="J881" s="525"/>
      <c r="K881" s="525"/>
      <c r="L881" s="525"/>
      <c r="M881" s="525"/>
      <c r="N881" s="525"/>
    </row>
    <row r="882" spans="1:14" s="529" customFormat="1">
      <c r="A882" s="545" t="s">
        <v>573</v>
      </c>
      <c r="B882" s="544" t="s">
        <v>574</v>
      </c>
      <c r="C882" s="543">
        <v>42794</v>
      </c>
      <c r="D882" s="542">
        <v>458</v>
      </c>
      <c r="E882" s="525"/>
      <c r="F882" s="525"/>
      <c r="G882" s="525"/>
      <c r="H882" s="525"/>
      <c r="I882" s="525"/>
      <c r="J882" s="525"/>
      <c r="K882" s="525"/>
      <c r="L882" s="525"/>
      <c r="M882" s="525"/>
      <c r="N882" s="525"/>
    </row>
    <row r="883" spans="1:14" s="529" customFormat="1">
      <c r="A883" s="545" t="s">
        <v>793</v>
      </c>
      <c r="B883" s="544" t="s">
        <v>792</v>
      </c>
      <c r="C883" s="543">
        <v>42794</v>
      </c>
      <c r="D883" s="542">
        <v>1172.0139999999999</v>
      </c>
      <c r="E883" s="525"/>
      <c r="F883" s="525"/>
      <c r="G883" s="525"/>
      <c r="H883" s="525"/>
      <c r="I883" s="525"/>
      <c r="J883" s="525"/>
      <c r="K883" s="525"/>
      <c r="L883" s="525"/>
      <c r="M883" s="525"/>
      <c r="N883" s="525"/>
    </row>
    <row r="884" spans="1:14" s="529" customFormat="1">
      <c r="A884" s="545" t="s">
        <v>791</v>
      </c>
      <c r="B884" s="544" t="s">
        <v>790</v>
      </c>
      <c r="C884" s="543">
        <v>42794</v>
      </c>
      <c r="D884" s="542">
        <v>1875.634</v>
      </c>
      <c r="E884" s="525"/>
      <c r="F884" s="525"/>
      <c r="G884" s="525"/>
      <c r="H884" s="525"/>
      <c r="I884" s="525"/>
      <c r="J884" s="525"/>
      <c r="K884" s="525"/>
      <c r="L884" s="525"/>
      <c r="M884" s="525"/>
      <c r="N884" s="525"/>
    </row>
    <row r="885" spans="1:14" s="529" customFormat="1">
      <c r="A885" s="545" t="s">
        <v>301</v>
      </c>
      <c r="B885" s="544" t="s">
        <v>300</v>
      </c>
      <c r="C885" s="543">
        <v>42794</v>
      </c>
      <c r="D885" s="542">
        <v>2500</v>
      </c>
      <c r="E885" s="525"/>
      <c r="F885" s="525"/>
      <c r="G885" s="525"/>
      <c r="H885" s="525"/>
      <c r="I885" s="525"/>
      <c r="J885" s="525"/>
      <c r="K885" s="525"/>
      <c r="L885" s="525"/>
      <c r="M885" s="525"/>
      <c r="N885" s="525"/>
    </row>
    <row r="886" spans="1:14" s="529" customFormat="1">
      <c r="A886" s="545" t="s">
        <v>203</v>
      </c>
      <c r="B886" s="544" t="s">
        <v>202</v>
      </c>
      <c r="C886" s="543">
        <v>42794</v>
      </c>
      <c r="D886" s="542">
        <v>1000</v>
      </c>
      <c r="E886" s="525"/>
      <c r="F886" s="525"/>
      <c r="G886" s="525"/>
      <c r="H886" s="525"/>
      <c r="I886" s="525"/>
      <c r="J886" s="525"/>
      <c r="K886" s="525"/>
      <c r="L886" s="525"/>
      <c r="M886" s="525"/>
      <c r="N886" s="525"/>
    </row>
    <row r="887" spans="1:14" s="529" customFormat="1">
      <c r="A887" s="545" t="s">
        <v>392</v>
      </c>
      <c r="B887" s="544" t="s">
        <v>391</v>
      </c>
      <c r="C887" s="543">
        <v>42794</v>
      </c>
      <c r="D887" s="542">
        <v>759.86599999999999</v>
      </c>
      <c r="E887" s="525"/>
      <c r="F887" s="525"/>
      <c r="G887" s="525"/>
      <c r="H887" s="525"/>
      <c r="I887" s="525"/>
      <c r="J887" s="525"/>
      <c r="K887" s="525"/>
      <c r="L887" s="525"/>
      <c r="M887" s="525"/>
      <c r="N887" s="525"/>
    </row>
    <row r="888" spans="1:14" s="529" customFormat="1">
      <c r="A888" s="545" t="s">
        <v>223</v>
      </c>
      <c r="B888" s="544" t="s">
        <v>222</v>
      </c>
      <c r="C888" s="543">
        <v>42794</v>
      </c>
      <c r="D888" s="542">
        <v>2939.0279999999998</v>
      </c>
      <c r="E888" s="525"/>
      <c r="F888" s="525"/>
      <c r="G888" s="525"/>
      <c r="H888" s="525"/>
      <c r="I888" s="525"/>
      <c r="J888" s="525"/>
      <c r="K888" s="525"/>
      <c r="L888" s="525"/>
      <c r="M888" s="525"/>
      <c r="N888" s="525"/>
    </row>
    <row r="889" spans="1:14" s="529" customFormat="1">
      <c r="A889" s="545" t="s">
        <v>767</v>
      </c>
      <c r="B889" s="544" t="s">
        <v>768</v>
      </c>
      <c r="C889" s="543">
        <v>42794</v>
      </c>
      <c r="D889" s="542">
        <v>1328.96</v>
      </c>
      <c r="E889" s="525"/>
      <c r="F889" s="525"/>
      <c r="G889" s="525"/>
      <c r="H889" s="525"/>
      <c r="I889" s="525"/>
      <c r="J889" s="525"/>
      <c r="K889" s="525"/>
      <c r="L889" s="525"/>
      <c r="M889" s="525"/>
      <c r="N889" s="525"/>
    </row>
    <row r="890" spans="1:14" s="529" customFormat="1">
      <c r="A890" s="545" t="s">
        <v>181</v>
      </c>
      <c r="B890" s="544" t="s">
        <v>180</v>
      </c>
      <c r="C890" s="543">
        <v>42794</v>
      </c>
      <c r="D890" s="542">
        <v>2325</v>
      </c>
      <c r="E890" s="525"/>
      <c r="F890" s="525"/>
      <c r="G890" s="525"/>
      <c r="H890" s="525"/>
      <c r="I890" s="525"/>
      <c r="J890" s="525"/>
      <c r="K890" s="525"/>
      <c r="L890" s="525"/>
      <c r="M890" s="525"/>
      <c r="N890" s="525"/>
    </row>
    <row r="891" spans="1:14" s="529" customFormat="1">
      <c r="A891" s="545" t="s">
        <v>384</v>
      </c>
      <c r="B891" s="544" t="s">
        <v>383</v>
      </c>
      <c r="C891" s="543">
        <v>42794</v>
      </c>
      <c r="D891" s="542">
        <v>0</v>
      </c>
      <c r="E891" s="525"/>
      <c r="F891" s="525"/>
      <c r="G891" s="525"/>
      <c r="H891" s="525"/>
      <c r="I891" s="525"/>
      <c r="J891" s="525"/>
      <c r="K891" s="525"/>
      <c r="L891" s="525"/>
      <c r="M891" s="525"/>
      <c r="N891" s="525"/>
    </row>
    <row r="892" spans="1:14" s="529" customFormat="1">
      <c r="A892" s="545" t="s">
        <v>384</v>
      </c>
      <c r="B892" s="544" t="s">
        <v>383</v>
      </c>
      <c r="C892" s="543">
        <v>42794</v>
      </c>
      <c r="D892" s="542">
        <v>1139.816</v>
      </c>
      <c r="E892" s="525"/>
      <c r="F892" s="525"/>
      <c r="G892" s="525"/>
      <c r="H892" s="525"/>
      <c r="I892" s="525"/>
      <c r="J892" s="525"/>
      <c r="K892" s="525"/>
      <c r="L892" s="525"/>
      <c r="M892" s="525"/>
      <c r="N892" s="525"/>
    </row>
    <row r="893" spans="1:14" s="529" customFormat="1">
      <c r="A893" s="545" t="s">
        <v>179</v>
      </c>
      <c r="B893" s="544" t="s">
        <v>178</v>
      </c>
      <c r="C893" s="543">
        <v>42794</v>
      </c>
      <c r="D893" s="542">
        <v>2950</v>
      </c>
      <c r="E893" s="525"/>
      <c r="F893" s="525"/>
      <c r="G893" s="525"/>
      <c r="H893" s="525"/>
      <c r="I893" s="525"/>
      <c r="J893" s="525"/>
      <c r="K893" s="525"/>
      <c r="L893" s="525"/>
      <c r="M893" s="525"/>
      <c r="N893" s="525"/>
    </row>
    <row r="894" spans="1:14" s="529" customFormat="1">
      <c r="A894" s="545" t="s">
        <v>380</v>
      </c>
      <c r="B894" s="544" t="s">
        <v>379</v>
      </c>
      <c r="C894" s="543">
        <v>42794</v>
      </c>
      <c r="D894" s="542">
        <v>511.57100000000003</v>
      </c>
      <c r="E894" s="525"/>
      <c r="F894" s="525"/>
      <c r="G894" s="525"/>
      <c r="H894" s="525"/>
      <c r="I894" s="525"/>
      <c r="J894" s="525"/>
      <c r="K894" s="525"/>
      <c r="L894" s="525"/>
      <c r="M894" s="525"/>
      <c r="N894" s="525"/>
    </row>
    <row r="895" spans="1:14" s="529" customFormat="1">
      <c r="A895" s="545" t="s">
        <v>309</v>
      </c>
      <c r="B895" s="544" t="s">
        <v>308</v>
      </c>
      <c r="C895" s="543">
        <v>42794</v>
      </c>
      <c r="D895" s="542">
        <v>4263.5420000000004</v>
      </c>
      <c r="E895" s="525"/>
      <c r="F895" s="525"/>
      <c r="G895" s="525"/>
      <c r="H895" s="525"/>
      <c r="I895" s="525"/>
      <c r="J895" s="525"/>
      <c r="K895" s="525"/>
      <c r="L895" s="525"/>
      <c r="M895" s="525"/>
      <c r="N895" s="525"/>
    </row>
    <row r="896" spans="1:14" s="529" customFormat="1">
      <c r="A896" s="545" t="s">
        <v>241</v>
      </c>
      <c r="B896" s="544" t="s">
        <v>240</v>
      </c>
      <c r="C896" s="543">
        <v>42794</v>
      </c>
      <c r="D896" s="542">
        <v>615.09400000000005</v>
      </c>
      <c r="E896" s="525"/>
      <c r="F896" s="525"/>
      <c r="G896" s="525"/>
      <c r="H896" s="525"/>
      <c r="I896" s="525"/>
      <c r="J896" s="525"/>
      <c r="K896" s="525"/>
      <c r="L896" s="525"/>
      <c r="M896" s="525"/>
      <c r="N896" s="525"/>
    </row>
    <row r="897" spans="1:14" s="529" customFormat="1">
      <c r="A897" s="537" t="s">
        <v>635</v>
      </c>
      <c r="B897" s="536" t="s">
        <v>636</v>
      </c>
      <c r="C897" s="535">
        <v>42794</v>
      </c>
      <c r="D897" s="534">
        <v>3600</v>
      </c>
    </row>
    <row r="898" spans="1:14" s="529" customFormat="1">
      <c r="A898" s="537" t="s">
        <v>358</v>
      </c>
      <c r="B898" s="536" t="s">
        <v>357</v>
      </c>
      <c r="C898" s="535">
        <v>42794</v>
      </c>
      <c r="D898" s="534">
        <v>600</v>
      </c>
    </row>
    <row r="899" spans="1:14" s="529" customFormat="1">
      <c r="A899" s="537" t="s">
        <v>757</v>
      </c>
      <c r="B899" s="536" t="s">
        <v>758</v>
      </c>
      <c r="C899" s="535">
        <v>42794</v>
      </c>
      <c r="D899" s="534">
        <v>2285.8339999999998</v>
      </c>
    </row>
    <row r="900" spans="1:14" s="529" customFormat="1">
      <c r="A900" s="537" t="s">
        <v>650</v>
      </c>
      <c r="B900" s="536" t="s">
        <v>651</v>
      </c>
      <c r="C900" s="535">
        <v>42794</v>
      </c>
      <c r="D900" s="534">
        <v>1590.9780000000001</v>
      </c>
    </row>
    <row r="901" spans="1:14" s="529" customFormat="1">
      <c r="A901" s="537" t="s">
        <v>237</v>
      </c>
      <c r="B901" s="536" t="s">
        <v>236</v>
      </c>
      <c r="C901" s="535">
        <v>42794</v>
      </c>
      <c r="D901" s="534">
        <v>2500.0940000000001</v>
      </c>
    </row>
    <row r="902" spans="1:14" s="529" customFormat="1">
      <c r="A902" s="537" t="s">
        <v>263</v>
      </c>
      <c r="B902" s="536" t="s">
        <v>262</v>
      </c>
      <c r="C902" s="535">
        <v>42794</v>
      </c>
      <c r="D902" s="534">
        <v>1360.384</v>
      </c>
    </row>
    <row r="903" spans="1:14" s="529" customFormat="1">
      <c r="A903" s="537" t="s">
        <v>172</v>
      </c>
      <c r="B903" s="536" t="s">
        <v>171</v>
      </c>
      <c r="C903" s="535">
        <v>42794</v>
      </c>
      <c r="D903" s="534">
        <v>110.806</v>
      </c>
    </row>
    <row r="904" spans="1:14" s="529" customFormat="1">
      <c r="A904" s="537" t="s">
        <v>557</v>
      </c>
      <c r="B904" s="536" t="s">
        <v>556</v>
      </c>
      <c r="C904" s="535">
        <v>42794</v>
      </c>
      <c r="D904" s="534">
        <v>1163.6400000000001</v>
      </c>
    </row>
    <row r="905" spans="1:14" s="529" customFormat="1" ht="15.75" thickBot="1">
      <c r="A905" s="533" t="s">
        <v>195</v>
      </c>
      <c r="B905" s="532" t="s">
        <v>194</v>
      </c>
      <c r="C905" s="531">
        <v>42794</v>
      </c>
      <c r="D905" s="530">
        <v>2450</v>
      </c>
    </row>
    <row r="906" spans="1:14" s="527" customFormat="1" ht="15.75" thickBot="1">
      <c r="A906" s="677" t="s">
        <v>771</v>
      </c>
      <c r="B906" s="678"/>
      <c r="C906" s="678"/>
      <c r="D906" s="528">
        <f>SUM(D728:D905)</f>
        <v>362719.24500000017</v>
      </c>
    </row>
    <row r="907" spans="1:14" s="529" customFormat="1">
      <c r="A907" s="549" t="s">
        <v>207</v>
      </c>
      <c r="B907" s="548" t="s">
        <v>206</v>
      </c>
      <c r="C907" s="547">
        <v>42796</v>
      </c>
      <c r="D907" s="546">
        <v>3750</v>
      </c>
      <c r="E907" s="525"/>
      <c r="F907" s="525"/>
      <c r="G907" s="525"/>
      <c r="H907" s="525"/>
      <c r="I907" s="525"/>
      <c r="J907" s="525"/>
      <c r="K907" s="525"/>
      <c r="L907" s="525"/>
      <c r="M907" s="525"/>
      <c r="N907" s="525"/>
    </row>
    <row r="908" spans="1:14" s="529" customFormat="1">
      <c r="A908" s="537" t="s">
        <v>221</v>
      </c>
      <c r="B908" s="536" t="s">
        <v>220</v>
      </c>
      <c r="C908" s="535">
        <v>42796</v>
      </c>
      <c r="D908" s="534">
        <v>1100</v>
      </c>
    </row>
    <row r="909" spans="1:14" s="529" customFormat="1">
      <c r="A909" s="545" t="s">
        <v>174</v>
      </c>
      <c r="B909" s="544" t="s">
        <v>173</v>
      </c>
      <c r="C909" s="543">
        <v>42797</v>
      </c>
      <c r="D909" s="542">
        <v>888.79300000000001</v>
      </c>
      <c r="E909" s="525"/>
      <c r="F909" s="525"/>
      <c r="G909" s="525"/>
      <c r="H909" s="525"/>
      <c r="I909" s="525"/>
      <c r="J909" s="525"/>
      <c r="K909" s="525"/>
      <c r="L909" s="525"/>
      <c r="M909" s="525"/>
      <c r="N909" s="525"/>
    </row>
    <row r="910" spans="1:14" s="529" customFormat="1">
      <c r="A910" s="545" t="s">
        <v>510</v>
      </c>
      <c r="B910" s="544" t="s">
        <v>509</v>
      </c>
      <c r="C910" s="543">
        <v>42797</v>
      </c>
      <c r="D910" s="542">
        <v>1889</v>
      </c>
      <c r="E910" s="525"/>
      <c r="F910" s="525"/>
      <c r="G910" s="525"/>
      <c r="H910" s="525"/>
      <c r="I910" s="525"/>
      <c r="J910" s="525"/>
      <c r="K910" s="525"/>
      <c r="L910" s="525"/>
      <c r="M910" s="525"/>
      <c r="N910" s="525"/>
    </row>
    <row r="911" spans="1:14" s="529" customFormat="1">
      <c r="A911" s="537" t="s">
        <v>265</v>
      </c>
      <c r="B911" s="536" t="s">
        <v>264</v>
      </c>
      <c r="C911" s="535">
        <v>42797</v>
      </c>
      <c r="D911" s="534">
        <v>770</v>
      </c>
    </row>
    <row r="912" spans="1:14" s="529" customFormat="1">
      <c r="A912" s="545" t="s">
        <v>305</v>
      </c>
      <c r="B912" s="544" t="s">
        <v>304</v>
      </c>
      <c r="C912" s="543">
        <v>42799</v>
      </c>
      <c r="D912" s="542">
        <v>1192.768</v>
      </c>
      <c r="E912" s="525"/>
      <c r="F912" s="525"/>
      <c r="G912" s="525"/>
      <c r="H912" s="525"/>
      <c r="I912" s="525"/>
      <c r="J912" s="525"/>
      <c r="K912" s="525"/>
      <c r="L912" s="525"/>
      <c r="M912" s="525"/>
      <c r="N912" s="525"/>
    </row>
    <row r="913" spans="1:14" s="529" customFormat="1">
      <c r="A913" s="545" t="s">
        <v>789</v>
      </c>
      <c r="B913" s="544" t="s">
        <v>788</v>
      </c>
      <c r="C913" s="543">
        <v>42799</v>
      </c>
      <c r="D913" s="542">
        <v>874.32899999999995</v>
      </c>
      <c r="E913" s="525"/>
      <c r="F913" s="525"/>
      <c r="G913" s="525"/>
      <c r="H913" s="525"/>
      <c r="I913" s="525"/>
      <c r="J913" s="525"/>
      <c r="K913" s="525"/>
      <c r="L913" s="525"/>
      <c r="M913" s="525"/>
      <c r="N913" s="525"/>
    </row>
    <row r="914" spans="1:14" s="529" customFormat="1">
      <c r="A914" s="545" t="s">
        <v>170</v>
      </c>
      <c r="B914" s="544" t="s">
        <v>169</v>
      </c>
      <c r="C914" s="543">
        <v>42799</v>
      </c>
      <c r="D914" s="542">
        <v>1300</v>
      </c>
      <c r="E914" s="525"/>
      <c r="F914" s="525"/>
      <c r="G914" s="525"/>
      <c r="H914" s="525"/>
      <c r="I914" s="525"/>
      <c r="J914" s="525"/>
      <c r="K914" s="525"/>
      <c r="L914" s="525"/>
      <c r="M914" s="525"/>
      <c r="N914" s="525"/>
    </row>
    <row r="915" spans="1:14" s="529" customFormat="1">
      <c r="A915" s="545" t="s">
        <v>261</v>
      </c>
      <c r="B915" s="544" t="s">
        <v>260</v>
      </c>
      <c r="C915" s="543">
        <v>42799</v>
      </c>
      <c r="D915" s="542">
        <v>13399.300999999999</v>
      </c>
      <c r="E915" s="525"/>
      <c r="F915" s="525"/>
      <c r="G915" s="525"/>
      <c r="H915" s="525"/>
      <c r="I915" s="525"/>
      <c r="J915" s="525"/>
      <c r="K915" s="525"/>
      <c r="L915" s="525"/>
      <c r="M915" s="525"/>
      <c r="N915" s="525"/>
    </row>
    <row r="916" spans="1:14" s="529" customFormat="1">
      <c r="A916" s="545" t="s">
        <v>283</v>
      </c>
      <c r="B916" s="544" t="s">
        <v>282</v>
      </c>
      <c r="C916" s="543">
        <v>42799</v>
      </c>
      <c r="D916" s="542">
        <v>2281.7710000000002</v>
      </c>
      <c r="E916" s="525"/>
      <c r="F916" s="525"/>
      <c r="G916" s="525"/>
      <c r="H916" s="525"/>
      <c r="I916" s="525"/>
      <c r="J916" s="525"/>
      <c r="K916" s="525"/>
      <c r="L916" s="525"/>
      <c r="M916" s="525"/>
      <c r="N916" s="525"/>
    </row>
    <row r="917" spans="1:14" s="529" customFormat="1">
      <c r="A917" s="537" t="s">
        <v>261</v>
      </c>
      <c r="B917" s="536" t="s">
        <v>260</v>
      </c>
      <c r="C917" s="535">
        <v>42799</v>
      </c>
      <c r="D917" s="534">
        <v>13399.300999999999</v>
      </c>
    </row>
    <row r="918" spans="1:14" s="529" customFormat="1">
      <c r="A918" s="537" t="s">
        <v>215</v>
      </c>
      <c r="B918" s="536" t="s">
        <v>214</v>
      </c>
      <c r="C918" s="535">
        <v>42799</v>
      </c>
      <c r="D918" s="534">
        <v>519.41099999999994</v>
      </c>
    </row>
    <row r="919" spans="1:14" s="529" customFormat="1">
      <c r="A919" s="545" t="s">
        <v>174</v>
      </c>
      <c r="B919" s="544" t="s">
        <v>173</v>
      </c>
      <c r="C919" s="543">
        <v>42800</v>
      </c>
      <c r="D919" s="542">
        <v>886.59400000000005</v>
      </c>
      <c r="E919" s="525"/>
      <c r="F919" s="525"/>
      <c r="G919" s="525"/>
      <c r="H919" s="525"/>
      <c r="I919" s="525"/>
      <c r="J919" s="525"/>
      <c r="K919" s="525"/>
      <c r="L919" s="525"/>
      <c r="M919" s="525"/>
      <c r="N919" s="525"/>
    </row>
    <row r="920" spans="1:14" s="529" customFormat="1">
      <c r="A920" s="537" t="s">
        <v>428</v>
      </c>
      <c r="B920" s="536" t="s">
        <v>427</v>
      </c>
      <c r="C920" s="535">
        <v>42800</v>
      </c>
      <c r="D920" s="534">
        <v>1082.0329999999999</v>
      </c>
    </row>
    <row r="921" spans="1:14" s="529" customFormat="1">
      <c r="A921" s="537" t="s">
        <v>615</v>
      </c>
      <c r="B921" s="536" t="s">
        <v>616</v>
      </c>
      <c r="C921" s="535">
        <v>42800</v>
      </c>
      <c r="D921" s="534">
        <v>3255.2370000000001</v>
      </c>
    </row>
    <row r="922" spans="1:14" s="529" customFormat="1">
      <c r="A922" s="545" t="s">
        <v>197</v>
      </c>
      <c r="B922" s="544" t="s">
        <v>196</v>
      </c>
      <c r="C922" s="543">
        <v>42801</v>
      </c>
      <c r="D922" s="542">
        <v>5000</v>
      </c>
      <c r="E922" s="525"/>
      <c r="F922" s="525"/>
      <c r="G922" s="525"/>
      <c r="H922" s="525"/>
      <c r="I922" s="525"/>
      <c r="J922" s="525"/>
      <c r="K922" s="525"/>
      <c r="L922" s="525"/>
      <c r="M922" s="525"/>
      <c r="N922" s="525"/>
    </row>
    <row r="923" spans="1:14" s="529" customFormat="1">
      <c r="A923" s="545" t="s">
        <v>162</v>
      </c>
      <c r="B923" s="544" t="s">
        <v>161</v>
      </c>
      <c r="C923" s="543">
        <v>42801</v>
      </c>
      <c r="D923" s="542">
        <v>2045.8610000000001</v>
      </c>
      <c r="E923" s="525"/>
      <c r="F923" s="525"/>
      <c r="G923" s="525"/>
      <c r="H923" s="525"/>
      <c r="I923" s="525"/>
      <c r="J923" s="525"/>
      <c r="K923" s="525"/>
      <c r="L923" s="525"/>
      <c r="M923" s="525"/>
      <c r="N923" s="525"/>
    </row>
    <row r="924" spans="1:14" s="529" customFormat="1">
      <c r="A924" s="545" t="s">
        <v>656</v>
      </c>
      <c r="B924" s="544" t="s">
        <v>657</v>
      </c>
      <c r="C924" s="543">
        <v>42801</v>
      </c>
      <c r="D924" s="542">
        <v>556.96400000000006</v>
      </c>
      <c r="E924" s="525"/>
      <c r="F924" s="525"/>
      <c r="G924" s="525"/>
      <c r="H924" s="525"/>
      <c r="I924" s="525"/>
      <c r="J924" s="525"/>
      <c r="K924" s="525"/>
      <c r="L924" s="525"/>
      <c r="M924" s="525"/>
      <c r="N924" s="525"/>
    </row>
    <row r="925" spans="1:14" s="529" customFormat="1">
      <c r="A925" s="545" t="s">
        <v>179</v>
      </c>
      <c r="B925" s="544" t="s">
        <v>178</v>
      </c>
      <c r="C925" s="543">
        <v>42801</v>
      </c>
      <c r="D925" s="542">
        <v>2948.3879999999999</v>
      </c>
      <c r="E925" s="525"/>
      <c r="F925" s="525"/>
      <c r="G925" s="525"/>
      <c r="H925" s="525"/>
      <c r="I925" s="525"/>
      <c r="J925" s="525"/>
      <c r="K925" s="525"/>
      <c r="L925" s="525"/>
      <c r="M925" s="525"/>
      <c r="N925" s="525"/>
    </row>
    <row r="926" spans="1:14" s="529" customFormat="1">
      <c r="A926" s="537" t="s">
        <v>241</v>
      </c>
      <c r="B926" s="536" t="s">
        <v>240</v>
      </c>
      <c r="C926" s="535">
        <v>42801</v>
      </c>
      <c r="D926" s="534">
        <v>641.48500000000001</v>
      </c>
    </row>
    <row r="927" spans="1:14" s="529" customFormat="1">
      <c r="A927" s="537" t="s">
        <v>265</v>
      </c>
      <c r="B927" s="536" t="s">
        <v>264</v>
      </c>
      <c r="C927" s="535">
        <v>42802</v>
      </c>
      <c r="D927" s="534">
        <v>753.50900000000001</v>
      </c>
    </row>
    <row r="928" spans="1:14" s="529" customFormat="1">
      <c r="A928" s="537" t="s">
        <v>221</v>
      </c>
      <c r="B928" s="536" t="s">
        <v>220</v>
      </c>
      <c r="C928" s="535">
        <v>42802</v>
      </c>
      <c r="D928" s="534">
        <v>1100</v>
      </c>
    </row>
    <row r="929" spans="1:14" s="529" customFormat="1">
      <c r="A929" s="545" t="s">
        <v>510</v>
      </c>
      <c r="B929" s="544" t="s">
        <v>509</v>
      </c>
      <c r="C929" s="543">
        <v>42803</v>
      </c>
      <c r="D929" s="542">
        <v>1889.8330000000001</v>
      </c>
      <c r="E929" s="525"/>
      <c r="F929" s="525"/>
      <c r="G929" s="525"/>
      <c r="H929" s="525"/>
      <c r="I929" s="525"/>
      <c r="J929" s="525"/>
      <c r="K929" s="525"/>
      <c r="L929" s="525"/>
      <c r="M929" s="525"/>
      <c r="N929" s="525"/>
    </row>
    <row r="930" spans="1:14" s="529" customFormat="1">
      <c r="A930" s="545" t="s">
        <v>209</v>
      </c>
      <c r="B930" s="544" t="s">
        <v>208</v>
      </c>
      <c r="C930" s="543">
        <v>42803</v>
      </c>
      <c r="D930" s="542">
        <v>1000</v>
      </c>
      <c r="E930" s="525"/>
      <c r="F930" s="525"/>
      <c r="G930" s="525"/>
      <c r="H930" s="525"/>
      <c r="I930" s="525"/>
      <c r="J930" s="525"/>
      <c r="K930" s="525"/>
      <c r="L930" s="525"/>
      <c r="M930" s="525"/>
      <c r="N930" s="525"/>
    </row>
    <row r="931" spans="1:14" s="529" customFormat="1">
      <c r="A931" s="545" t="s">
        <v>193</v>
      </c>
      <c r="B931" s="544" t="s">
        <v>192</v>
      </c>
      <c r="C931" s="543">
        <v>42804</v>
      </c>
      <c r="D931" s="542">
        <v>12589.404</v>
      </c>
      <c r="E931" s="525"/>
      <c r="F931" s="525"/>
      <c r="G931" s="525"/>
      <c r="H931" s="525"/>
      <c r="I931" s="525"/>
      <c r="J931" s="525"/>
      <c r="K931" s="525"/>
      <c r="L931" s="525"/>
      <c r="M931" s="525"/>
      <c r="N931" s="525"/>
    </row>
    <row r="932" spans="1:14" s="529" customFormat="1">
      <c r="A932" s="545" t="s">
        <v>201</v>
      </c>
      <c r="B932" s="544" t="s">
        <v>200</v>
      </c>
      <c r="C932" s="543">
        <v>42804</v>
      </c>
      <c r="D932" s="542">
        <v>2500</v>
      </c>
      <c r="E932" s="525"/>
      <c r="F932" s="525"/>
      <c r="G932" s="525"/>
      <c r="H932" s="525"/>
      <c r="I932" s="525"/>
      <c r="J932" s="525"/>
      <c r="K932" s="525"/>
      <c r="L932" s="525"/>
      <c r="M932" s="525"/>
      <c r="N932" s="525"/>
    </row>
    <row r="933" spans="1:14" s="529" customFormat="1">
      <c r="A933" s="545" t="s">
        <v>211</v>
      </c>
      <c r="B933" s="544" t="s">
        <v>210</v>
      </c>
      <c r="C933" s="543">
        <v>42804</v>
      </c>
      <c r="D933" s="542">
        <v>9227.7880000000005</v>
      </c>
      <c r="E933" s="525"/>
      <c r="F933" s="525"/>
      <c r="G933" s="525"/>
      <c r="H933" s="525"/>
      <c r="I933" s="525"/>
      <c r="J933" s="525"/>
      <c r="K933" s="525"/>
      <c r="L933" s="525"/>
      <c r="M933" s="525"/>
      <c r="N933" s="525"/>
    </row>
    <row r="934" spans="1:14" s="529" customFormat="1">
      <c r="A934" s="545" t="s">
        <v>281</v>
      </c>
      <c r="B934" s="544" t="s">
        <v>280</v>
      </c>
      <c r="C934" s="543">
        <v>42804</v>
      </c>
      <c r="D934" s="542">
        <v>897.39099999999996</v>
      </c>
      <c r="E934" s="525"/>
      <c r="F934" s="525"/>
      <c r="G934" s="525"/>
      <c r="H934" s="525"/>
      <c r="I934" s="525"/>
      <c r="J934" s="525"/>
      <c r="K934" s="525"/>
      <c r="L934" s="525"/>
      <c r="M934" s="525"/>
      <c r="N934" s="525"/>
    </row>
    <row r="935" spans="1:14" s="529" customFormat="1">
      <c r="A935" s="545" t="s">
        <v>484</v>
      </c>
      <c r="B935" s="544" t="s">
        <v>483</v>
      </c>
      <c r="C935" s="543">
        <v>42804</v>
      </c>
      <c r="D935" s="542">
        <v>790.33100000000002</v>
      </c>
      <c r="E935" s="525"/>
      <c r="F935" s="525"/>
      <c r="G935" s="525"/>
      <c r="H935" s="525"/>
      <c r="I935" s="525"/>
      <c r="J935" s="525"/>
      <c r="K935" s="525"/>
      <c r="L935" s="525"/>
      <c r="M935" s="525"/>
      <c r="N935" s="525"/>
    </row>
    <row r="936" spans="1:14" s="529" customFormat="1">
      <c r="A936" s="545" t="s">
        <v>203</v>
      </c>
      <c r="B936" s="544" t="s">
        <v>202</v>
      </c>
      <c r="C936" s="543">
        <v>42804</v>
      </c>
      <c r="D936" s="542">
        <v>907.54899999999998</v>
      </c>
      <c r="E936" s="525"/>
      <c r="F936" s="525"/>
      <c r="G936" s="525"/>
      <c r="H936" s="525"/>
      <c r="I936" s="525"/>
      <c r="J936" s="525"/>
      <c r="K936" s="525"/>
      <c r="L936" s="525"/>
      <c r="M936" s="525"/>
      <c r="N936" s="525"/>
    </row>
    <row r="937" spans="1:14" s="529" customFormat="1">
      <c r="A937" s="545" t="s">
        <v>291</v>
      </c>
      <c r="B937" s="544" t="s">
        <v>290</v>
      </c>
      <c r="C937" s="543">
        <v>42804</v>
      </c>
      <c r="D937" s="542">
        <v>3580</v>
      </c>
      <c r="E937" s="525"/>
      <c r="F937" s="525"/>
      <c r="G937" s="525"/>
      <c r="H937" s="525"/>
      <c r="I937" s="525"/>
      <c r="J937" s="525"/>
      <c r="K937" s="525"/>
      <c r="L937" s="525"/>
      <c r="M937" s="525"/>
      <c r="N937" s="525"/>
    </row>
    <row r="938" spans="1:14" s="529" customFormat="1">
      <c r="A938" s="537" t="s">
        <v>635</v>
      </c>
      <c r="B938" s="536" t="s">
        <v>636</v>
      </c>
      <c r="C938" s="535">
        <v>42804</v>
      </c>
      <c r="D938" s="534">
        <v>3600</v>
      </c>
    </row>
    <row r="939" spans="1:14" s="529" customFormat="1">
      <c r="A939" s="537" t="s">
        <v>358</v>
      </c>
      <c r="B939" s="536" t="s">
        <v>357</v>
      </c>
      <c r="C939" s="535">
        <v>42804</v>
      </c>
      <c r="D939" s="534">
        <v>930</v>
      </c>
    </row>
    <row r="940" spans="1:14" s="529" customFormat="1">
      <c r="A940" s="537" t="s">
        <v>739</v>
      </c>
      <c r="B940" s="536" t="s">
        <v>740</v>
      </c>
      <c r="C940" s="535">
        <v>42804</v>
      </c>
      <c r="D940" s="534">
        <v>1173.2760000000001</v>
      </c>
    </row>
    <row r="941" spans="1:14" s="529" customFormat="1">
      <c r="A941" s="537" t="s">
        <v>557</v>
      </c>
      <c r="B941" s="536" t="s">
        <v>556</v>
      </c>
      <c r="C941" s="535">
        <v>42805</v>
      </c>
      <c r="D941" s="534">
        <v>1957.4760000000001</v>
      </c>
    </row>
    <row r="942" spans="1:14" s="529" customFormat="1">
      <c r="A942" s="545" t="s">
        <v>162</v>
      </c>
      <c r="B942" s="544" t="s">
        <v>161</v>
      </c>
      <c r="C942" s="543">
        <v>42806</v>
      </c>
      <c r="D942" s="542">
        <v>2100</v>
      </c>
      <c r="E942" s="525"/>
      <c r="F942" s="525"/>
      <c r="G942" s="525"/>
      <c r="H942" s="525"/>
      <c r="I942" s="525"/>
      <c r="J942" s="525"/>
      <c r="K942" s="525"/>
      <c r="L942" s="525"/>
      <c r="M942" s="525"/>
      <c r="N942" s="525"/>
    </row>
    <row r="943" spans="1:14" s="529" customFormat="1">
      <c r="A943" s="545" t="s">
        <v>207</v>
      </c>
      <c r="B943" s="544" t="s">
        <v>206</v>
      </c>
      <c r="C943" s="543">
        <v>42807</v>
      </c>
      <c r="D943" s="542">
        <v>3750</v>
      </c>
      <c r="E943" s="525"/>
      <c r="F943" s="525"/>
      <c r="G943" s="525"/>
      <c r="H943" s="525"/>
      <c r="I943" s="525"/>
      <c r="J943" s="525"/>
      <c r="K943" s="525"/>
      <c r="L943" s="525"/>
      <c r="M943" s="525"/>
      <c r="N943" s="525"/>
    </row>
    <row r="944" spans="1:14" s="529" customFormat="1">
      <c r="A944" s="537" t="s">
        <v>195</v>
      </c>
      <c r="B944" s="536" t="s">
        <v>194</v>
      </c>
      <c r="C944" s="535">
        <v>42808</v>
      </c>
      <c r="D944" s="534">
        <v>2002.31</v>
      </c>
    </row>
    <row r="945" spans="1:14" s="529" customFormat="1">
      <c r="A945" s="537" t="s">
        <v>241</v>
      </c>
      <c r="B945" s="536" t="s">
        <v>240</v>
      </c>
      <c r="C945" s="535">
        <v>42809</v>
      </c>
      <c r="D945" s="534">
        <v>641.48500000000001</v>
      </c>
    </row>
    <row r="946" spans="1:14" s="529" customFormat="1">
      <c r="A946" s="545" t="s">
        <v>253</v>
      </c>
      <c r="B946" s="544" t="s">
        <v>252</v>
      </c>
      <c r="C946" s="543">
        <v>42809</v>
      </c>
      <c r="D946" s="542">
        <v>3682.9029999999998</v>
      </c>
      <c r="E946" s="525"/>
      <c r="F946" s="525"/>
      <c r="G946" s="525"/>
      <c r="H946" s="525"/>
      <c r="I946" s="525"/>
      <c r="J946" s="525"/>
      <c r="K946" s="525"/>
      <c r="L946" s="525"/>
      <c r="M946" s="525"/>
      <c r="N946" s="525"/>
    </row>
    <row r="947" spans="1:14" s="529" customFormat="1">
      <c r="A947" s="545" t="s">
        <v>170</v>
      </c>
      <c r="B947" s="544" t="s">
        <v>169</v>
      </c>
      <c r="C947" s="543">
        <v>42809</v>
      </c>
      <c r="D947" s="542">
        <v>1300</v>
      </c>
      <c r="E947" s="525"/>
      <c r="F947" s="525"/>
      <c r="G947" s="525"/>
      <c r="H947" s="525"/>
      <c r="I947" s="525"/>
      <c r="J947" s="525"/>
      <c r="K947" s="525"/>
      <c r="L947" s="525"/>
      <c r="M947" s="525"/>
      <c r="N947" s="525"/>
    </row>
    <row r="948" spans="1:14" s="529" customFormat="1">
      <c r="A948" s="545" t="s">
        <v>189</v>
      </c>
      <c r="B948" s="544" t="s">
        <v>188</v>
      </c>
      <c r="C948" s="543">
        <v>42809</v>
      </c>
      <c r="D948" s="542">
        <v>3500</v>
      </c>
      <c r="E948" s="525"/>
      <c r="F948" s="525"/>
      <c r="G948" s="525"/>
      <c r="H948" s="525"/>
      <c r="I948" s="525"/>
      <c r="J948" s="525"/>
      <c r="K948" s="525"/>
      <c r="L948" s="525"/>
      <c r="M948" s="525"/>
      <c r="N948" s="525"/>
    </row>
    <row r="949" spans="1:14" s="529" customFormat="1">
      <c r="A949" s="545" t="s">
        <v>354</v>
      </c>
      <c r="B949" s="544" t="s">
        <v>353</v>
      </c>
      <c r="C949" s="543">
        <v>42809</v>
      </c>
      <c r="D949" s="542">
        <v>5986.0590000000002</v>
      </c>
      <c r="E949" s="525"/>
      <c r="F949" s="525"/>
      <c r="G949" s="525"/>
      <c r="H949" s="525"/>
      <c r="I949" s="525"/>
      <c r="J949" s="525"/>
      <c r="K949" s="525"/>
      <c r="L949" s="525"/>
      <c r="M949" s="525"/>
      <c r="N949" s="525"/>
    </row>
    <row r="950" spans="1:14" s="529" customFormat="1">
      <c r="A950" s="545" t="s">
        <v>168</v>
      </c>
      <c r="B950" s="544" t="s">
        <v>167</v>
      </c>
      <c r="C950" s="543">
        <v>42809</v>
      </c>
      <c r="D950" s="542">
        <v>7132.7430000000004</v>
      </c>
      <c r="E950" s="525"/>
      <c r="F950" s="525"/>
      <c r="G950" s="525"/>
      <c r="H950" s="525"/>
      <c r="I950" s="525"/>
      <c r="J950" s="525"/>
      <c r="K950" s="525"/>
      <c r="L950" s="525"/>
      <c r="M950" s="525"/>
      <c r="N950" s="525"/>
    </row>
    <row r="951" spans="1:14" s="529" customFormat="1">
      <c r="A951" s="537" t="s">
        <v>358</v>
      </c>
      <c r="B951" s="536" t="s">
        <v>357</v>
      </c>
      <c r="C951" s="535">
        <v>42809</v>
      </c>
      <c r="D951" s="534">
        <v>936.87300000000005</v>
      </c>
    </row>
    <row r="952" spans="1:14" s="529" customFormat="1">
      <c r="A952" s="537" t="s">
        <v>179</v>
      </c>
      <c r="B952" s="536" t="s">
        <v>178</v>
      </c>
      <c r="C952" s="535">
        <v>42809</v>
      </c>
      <c r="D952" s="534">
        <v>4218</v>
      </c>
    </row>
    <row r="953" spans="1:14" s="529" customFormat="1">
      <c r="A953" s="537" t="s">
        <v>221</v>
      </c>
      <c r="B953" s="536" t="s">
        <v>220</v>
      </c>
      <c r="C953" s="535">
        <v>42809</v>
      </c>
      <c r="D953" s="534">
        <v>1100</v>
      </c>
    </row>
    <row r="954" spans="1:14" s="529" customFormat="1">
      <c r="A954" s="545" t="s">
        <v>573</v>
      </c>
      <c r="B954" s="544" t="s">
        <v>574</v>
      </c>
      <c r="C954" s="543">
        <v>42810</v>
      </c>
      <c r="D954" s="542">
        <v>459.95299999999997</v>
      </c>
      <c r="E954" s="525"/>
      <c r="F954" s="525"/>
      <c r="G954" s="525"/>
      <c r="H954" s="525"/>
      <c r="I954" s="525"/>
      <c r="J954" s="525"/>
      <c r="K954" s="525"/>
      <c r="L954" s="525"/>
      <c r="M954" s="525"/>
      <c r="N954" s="525"/>
    </row>
    <row r="955" spans="1:14" s="529" customFormat="1">
      <c r="A955" s="545" t="s">
        <v>166</v>
      </c>
      <c r="B955" s="544" t="s">
        <v>165</v>
      </c>
      <c r="C955" s="543">
        <v>42811</v>
      </c>
      <c r="D955" s="542">
        <v>700</v>
      </c>
      <c r="E955" s="525"/>
      <c r="F955" s="525"/>
      <c r="G955" s="525"/>
      <c r="H955" s="525"/>
      <c r="I955" s="525"/>
      <c r="J955" s="525"/>
      <c r="K955" s="525"/>
      <c r="L955" s="525"/>
      <c r="M955" s="525"/>
      <c r="N955" s="525"/>
    </row>
    <row r="956" spans="1:14" s="529" customFormat="1">
      <c r="A956" s="545" t="s">
        <v>187</v>
      </c>
      <c r="B956" s="544" t="s">
        <v>186</v>
      </c>
      <c r="C956" s="543">
        <v>42811</v>
      </c>
      <c r="D956" s="542">
        <v>460</v>
      </c>
      <c r="E956" s="525"/>
      <c r="F956" s="525"/>
      <c r="G956" s="525"/>
      <c r="H956" s="525"/>
      <c r="I956" s="525"/>
      <c r="J956" s="525"/>
      <c r="K956" s="525"/>
      <c r="L956" s="525"/>
      <c r="M956" s="525"/>
      <c r="N956" s="525"/>
    </row>
    <row r="957" spans="1:14" s="529" customFormat="1">
      <c r="A957" s="537" t="s">
        <v>557</v>
      </c>
      <c r="B957" s="536" t="s">
        <v>556</v>
      </c>
      <c r="C957" s="535">
        <v>42811</v>
      </c>
      <c r="D957" s="534">
        <v>1957.4760000000001</v>
      </c>
    </row>
    <row r="958" spans="1:14" s="529" customFormat="1">
      <c r="A958" s="545" t="s">
        <v>166</v>
      </c>
      <c r="B958" s="544" t="s">
        <v>165</v>
      </c>
      <c r="C958" s="543">
        <v>42812</v>
      </c>
      <c r="D958" s="542">
        <v>700</v>
      </c>
      <c r="E958" s="525"/>
      <c r="F958" s="525"/>
      <c r="G958" s="525"/>
      <c r="H958" s="525"/>
      <c r="I958" s="525"/>
      <c r="J958" s="525"/>
      <c r="K958" s="525"/>
      <c r="L958" s="525"/>
      <c r="M958" s="525"/>
      <c r="N958" s="525"/>
    </row>
    <row r="959" spans="1:14" s="529" customFormat="1">
      <c r="A959" s="545" t="s">
        <v>199</v>
      </c>
      <c r="B959" s="544" t="s">
        <v>198</v>
      </c>
      <c r="C959" s="543">
        <v>42812</v>
      </c>
      <c r="D959" s="542">
        <v>2155.3240000000001</v>
      </c>
      <c r="E959" s="525"/>
      <c r="F959" s="525"/>
      <c r="G959" s="525"/>
      <c r="H959" s="525"/>
      <c r="I959" s="525"/>
      <c r="J959" s="525"/>
      <c r="K959" s="525"/>
      <c r="L959" s="525"/>
      <c r="M959" s="525"/>
      <c r="N959" s="525"/>
    </row>
    <row r="960" spans="1:14" s="529" customFormat="1">
      <c r="A960" s="545" t="s">
        <v>166</v>
      </c>
      <c r="B960" s="544" t="s">
        <v>165</v>
      </c>
      <c r="C960" s="543">
        <v>42813</v>
      </c>
      <c r="D960" s="542">
        <v>700</v>
      </c>
      <c r="E960" s="525"/>
      <c r="F960" s="525"/>
      <c r="G960" s="525"/>
      <c r="H960" s="525"/>
      <c r="I960" s="525"/>
      <c r="J960" s="525"/>
      <c r="K960" s="525"/>
      <c r="L960" s="525"/>
      <c r="M960" s="525"/>
      <c r="N960" s="525"/>
    </row>
    <row r="961" spans="1:14" s="529" customFormat="1">
      <c r="A961" s="537" t="s">
        <v>162</v>
      </c>
      <c r="B961" s="536" t="s">
        <v>161</v>
      </c>
      <c r="C961" s="535">
        <v>42813</v>
      </c>
      <c r="D961" s="534">
        <v>2000</v>
      </c>
    </row>
    <row r="962" spans="1:14" s="529" customFormat="1">
      <c r="A962" s="545" t="s">
        <v>166</v>
      </c>
      <c r="B962" s="544" t="s">
        <v>165</v>
      </c>
      <c r="C962" s="543">
        <v>42814</v>
      </c>
      <c r="D962" s="542">
        <v>701.76300000000003</v>
      </c>
      <c r="E962" s="525"/>
      <c r="F962" s="525"/>
      <c r="G962" s="525"/>
      <c r="H962" s="525"/>
      <c r="I962" s="525"/>
      <c r="J962" s="525"/>
      <c r="K962" s="525"/>
      <c r="L962" s="525"/>
      <c r="M962" s="525"/>
      <c r="N962" s="525"/>
    </row>
    <row r="963" spans="1:14" s="529" customFormat="1">
      <c r="A963" s="545" t="s">
        <v>291</v>
      </c>
      <c r="B963" s="544" t="s">
        <v>290</v>
      </c>
      <c r="C963" s="543">
        <v>42814</v>
      </c>
      <c r="D963" s="542">
        <v>3580</v>
      </c>
      <c r="E963" s="525"/>
      <c r="F963" s="525"/>
      <c r="G963" s="525"/>
      <c r="H963" s="525"/>
      <c r="I963" s="525"/>
      <c r="J963" s="525"/>
      <c r="K963" s="525"/>
      <c r="L963" s="525"/>
      <c r="M963" s="525"/>
      <c r="N963" s="525"/>
    </row>
    <row r="964" spans="1:14" s="529" customFormat="1">
      <c r="A964" s="537" t="s">
        <v>174</v>
      </c>
      <c r="B964" s="536" t="s">
        <v>173</v>
      </c>
      <c r="C964" s="535">
        <v>42814</v>
      </c>
      <c r="D964" s="534">
        <v>531.83600000000001</v>
      </c>
    </row>
    <row r="965" spans="1:14" s="529" customFormat="1">
      <c r="A965" s="545" t="s">
        <v>166</v>
      </c>
      <c r="B965" s="544" t="s">
        <v>165</v>
      </c>
      <c r="C965" s="543">
        <v>42815</v>
      </c>
      <c r="D965" s="542">
        <v>880</v>
      </c>
      <c r="E965" s="525"/>
      <c r="F965" s="525"/>
      <c r="G965" s="525"/>
      <c r="H965" s="525"/>
      <c r="I965" s="525"/>
      <c r="J965" s="525"/>
      <c r="K965" s="525"/>
      <c r="L965" s="525"/>
      <c r="M965" s="525"/>
      <c r="N965" s="525"/>
    </row>
    <row r="966" spans="1:14" s="529" customFormat="1">
      <c r="A966" s="545" t="s">
        <v>209</v>
      </c>
      <c r="B966" s="544" t="s">
        <v>208</v>
      </c>
      <c r="C966" s="543">
        <v>42815</v>
      </c>
      <c r="D966" s="542">
        <v>1000</v>
      </c>
      <c r="E966" s="525"/>
      <c r="F966" s="525"/>
      <c r="G966" s="525"/>
      <c r="H966" s="525"/>
      <c r="I966" s="525"/>
      <c r="J966" s="525"/>
      <c r="K966" s="525"/>
      <c r="L966" s="525"/>
      <c r="M966" s="525"/>
      <c r="N966" s="525"/>
    </row>
    <row r="967" spans="1:14" s="529" customFormat="1">
      <c r="A967" s="545" t="s">
        <v>166</v>
      </c>
      <c r="B967" s="544" t="s">
        <v>165</v>
      </c>
      <c r="C967" s="543">
        <v>42816</v>
      </c>
      <c r="D967" s="542">
        <v>700</v>
      </c>
      <c r="E967" s="525"/>
      <c r="F967" s="525"/>
      <c r="G967" s="525"/>
      <c r="H967" s="525"/>
      <c r="I967" s="525"/>
      <c r="J967" s="525"/>
      <c r="K967" s="525"/>
      <c r="L967" s="525"/>
      <c r="M967" s="525"/>
      <c r="N967" s="525"/>
    </row>
    <row r="968" spans="1:14" s="529" customFormat="1">
      <c r="A968" s="537" t="s">
        <v>241</v>
      </c>
      <c r="B968" s="536" t="s">
        <v>240</v>
      </c>
      <c r="C968" s="535">
        <v>42816</v>
      </c>
      <c r="D968" s="534">
        <v>641.48500000000001</v>
      </c>
    </row>
    <row r="969" spans="1:14" s="529" customFormat="1">
      <c r="A969" s="537" t="s">
        <v>179</v>
      </c>
      <c r="B969" s="536" t="s">
        <v>178</v>
      </c>
      <c r="C969" s="535">
        <v>42816</v>
      </c>
      <c r="D969" s="534">
        <v>4218</v>
      </c>
    </row>
    <row r="970" spans="1:14" s="529" customFormat="1">
      <c r="A970" s="537" t="s">
        <v>221</v>
      </c>
      <c r="B970" s="536" t="s">
        <v>220</v>
      </c>
      <c r="C970" s="535">
        <v>42816</v>
      </c>
      <c r="D970" s="534">
        <v>1100</v>
      </c>
    </row>
    <row r="971" spans="1:14" s="529" customFormat="1">
      <c r="A971" s="545" t="s">
        <v>166</v>
      </c>
      <c r="B971" s="544" t="s">
        <v>165</v>
      </c>
      <c r="C971" s="543">
        <v>42817</v>
      </c>
      <c r="D971" s="542">
        <v>879.38400000000001</v>
      </c>
      <c r="E971" s="525"/>
      <c r="F971" s="525"/>
      <c r="G971" s="525"/>
      <c r="H971" s="525"/>
      <c r="I971" s="525"/>
      <c r="J971" s="525"/>
      <c r="K971" s="525"/>
      <c r="L971" s="525"/>
      <c r="M971" s="525"/>
      <c r="N971" s="525"/>
    </row>
    <row r="972" spans="1:14" s="529" customFormat="1">
      <c r="A972" s="537" t="s">
        <v>557</v>
      </c>
      <c r="B972" s="536" t="s">
        <v>556</v>
      </c>
      <c r="C972" s="535">
        <v>42818</v>
      </c>
      <c r="D972" s="534">
        <v>1957.4760000000001</v>
      </c>
    </row>
    <row r="973" spans="1:14" s="529" customFormat="1">
      <c r="A973" s="545" t="s">
        <v>164</v>
      </c>
      <c r="B973" s="544" t="s">
        <v>163</v>
      </c>
      <c r="C973" s="543">
        <v>42819</v>
      </c>
      <c r="D973" s="542">
        <v>3500</v>
      </c>
      <c r="E973" s="525"/>
      <c r="F973" s="525"/>
      <c r="G973" s="525"/>
      <c r="H973" s="525"/>
      <c r="I973" s="525"/>
      <c r="J973" s="525"/>
      <c r="K973" s="525"/>
      <c r="L973" s="525"/>
      <c r="M973" s="525"/>
      <c r="N973" s="525"/>
    </row>
    <row r="974" spans="1:14" s="529" customFormat="1">
      <c r="A974" s="537" t="s">
        <v>162</v>
      </c>
      <c r="B974" s="536" t="s">
        <v>161</v>
      </c>
      <c r="C974" s="535">
        <v>42819</v>
      </c>
      <c r="D974" s="534">
        <v>2000</v>
      </c>
    </row>
    <row r="975" spans="1:14" s="529" customFormat="1">
      <c r="A975" s="545" t="s">
        <v>207</v>
      </c>
      <c r="B975" s="544" t="s">
        <v>206</v>
      </c>
      <c r="C975" s="543">
        <v>42821</v>
      </c>
      <c r="D975" s="542">
        <v>3888.828</v>
      </c>
      <c r="E975" s="525"/>
      <c r="F975" s="525"/>
      <c r="G975" s="525"/>
      <c r="H975" s="525"/>
      <c r="I975" s="525"/>
      <c r="J975" s="525"/>
      <c r="K975" s="525"/>
      <c r="L975" s="525"/>
      <c r="M975" s="525"/>
      <c r="N975" s="525"/>
    </row>
    <row r="976" spans="1:14" s="529" customFormat="1">
      <c r="A976" s="545" t="s">
        <v>209</v>
      </c>
      <c r="B976" s="544" t="s">
        <v>208</v>
      </c>
      <c r="C976" s="543">
        <v>42823</v>
      </c>
      <c r="D976" s="542">
        <v>1477.73</v>
      </c>
      <c r="E976" s="525"/>
      <c r="F976" s="525"/>
      <c r="G976" s="525"/>
      <c r="H976" s="525"/>
      <c r="I976" s="525"/>
      <c r="J976" s="525"/>
      <c r="K976" s="525"/>
      <c r="L976" s="525"/>
      <c r="M976" s="525"/>
      <c r="N976" s="525"/>
    </row>
    <row r="977" spans="1:14" s="529" customFormat="1">
      <c r="A977" s="545" t="s">
        <v>170</v>
      </c>
      <c r="B977" s="544" t="s">
        <v>169</v>
      </c>
      <c r="C977" s="543">
        <v>42824</v>
      </c>
      <c r="D977" s="542">
        <v>1000</v>
      </c>
      <c r="E977" s="525"/>
      <c r="F977" s="525"/>
      <c r="G977" s="525"/>
      <c r="H977" s="525"/>
      <c r="I977" s="525"/>
      <c r="J977" s="525"/>
      <c r="K977" s="525"/>
      <c r="L977" s="525"/>
      <c r="M977" s="525"/>
      <c r="N977" s="525"/>
    </row>
    <row r="978" spans="1:14" s="529" customFormat="1">
      <c r="A978" s="545" t="s">
        <v>656</v>
      </c>
      <c r="B978" s="544" t="s">
        <v>657</v>
      </c>
      <c r="C978" s="543">
        <v>42824</v>
      </c>
      <c r="D978" s="542">
        <v>424.46199999999999</v>
      </c>
      <c r="E978" s="525"/>
      <c r="F978" s="525"/>
      <c r="G978" s="525"/>
      <c r="H978" s="525"/>
      <c r="I978" s="525"/>
      <c r="J978" s="525"/>
      <c r="K978" s="525"/>
      <c r="L978" s="525"/>
      <c r="M978" s="525"/>
      <c r="N978" s="525"/>
    </row>
    <row r="979" spans="1:14" s="529" customFormat="1">
      <c r="A979" s="537" t="s">
        <v>635</v>
      </c>
      <c r="B979" s="536" t="s">
        <v>636</v>
      </c>
      <c r="C979" s="535">
        <v>42824</v>
      </c>
      <c r="D979" s="534">
        <v>3600</v>
      </c>
    </row>
    <row r="980" spans="1:14" s="529" customFormat="1">
      <c r="A980" s="537" t="s">
        <v>241</v>
      </c>
      <c r="B980" s="536" t="s">
        <v>240</v>
      </c>
      <c r="C980" s="535">
        <v>42824</v>
      </c>
      <c r="D980" s="534">
        <v>641.45799999999997</v>
      </c>
    </row>
    <row r="981" spans="1:14" s="529" customFormat="1">
      <c r="A981" s="537" t="s">
        <v>179</v>
      </c>
      <c r="B981" s="536" t="s">
        <v>178</v>
      </c>
      <c r="C981" s="535">
        <v>42825</v>
      </c>
      <c r="D981" s="534">
        <v>4218</v>
      </c>
    </row>
    <row r="982" spans="1:14" s="529" customFormat="1">
      <c r="A982" s="545" t="s">
        <v>187</v>
      </c>
      <c r="B982" s="544" t="s">
        <v>186</v>
      </c>
      <c r="C982" s="543">
        <v>42825</v>
      </c>
      <c r="D982" s="542">
        <v>467.23099999999999</v>
      </c>
      <c r="E982" s="525"/>
      <c r="F982" s="525"/>
      <c r="G982" s="525"/>
      <c r="H982" s="525"/>
      <c r="I982" s="525"/>
      <c r="J982" s="525"/>
      <c r="K982" s="525"/>
      <c r="L982" s="525"/>
      <c r="M982" s="525"/>
      <c r="N982" s="525"/>
    </row>
    <row r="983" spans="1:14" s="529" customFormat="1">
      <c r="A983" s="545" t="s">
        <v>291</v>
      </c>
      <c r="B983" s="544" t="s">
        <v>290</v>
      </c>
      <c r="C983" s="543">
        <v>42825</v>
      </c>
      <c r="D983" s="542">
        <v>3580</v>
      </c>
      <c r="E983" s="525"/>
      <c r="F983" s="525"/>
      <c r="G983" s="525"/>
      <c r="H983" s="525"/>
      <c r="I983" s="525"/>
      <c r="J983" s="525"/>
      <c r="K983" s="525"/>
      <c r="L983" s="525"/>
      <c r="M983" s="525"/>
      <c r="N983" s="525"/>
    </row>
    <row r="984" spans="1:14" s="529" customFormat="1">
      <c r="A984" s="537" t="s">
        <v>221</v>
      </c>
      <c r="B984" s="536" t="s">
        <v>220</v>
      </c>
      <c r="C984" s="535">
        <v>42825</v>
      </c>
      <c r="D984" s="534">
        <v>1117.7239999999999</v>
      </c>
    </row>
    <row r="985" spans="1:14" s="529" customFormat="1">
      <c r="A985" s="537" t="s">
        <v>185</v>
      </c>
      <c r="B985" s="536" t="s">
        <v>184</v>
      </c>
      <c r="C985" s="535">
        <v>42825</v>
      </c>
      <c r="D985" s="534">
        <v>7498.1469999999999</v>
      </c>
    </row>
    <row r="986" spans="1:14" s="529" customFormat="1">
      <c r="A986" s="537" t="s">
        <v>486</v>
      </c>
      <c r="B986" s="536" t="s">
        <v>485</v>
      </c>
      <c r="C986" s="535">
        <v>42825</v>
      </c>
      <c r="D986" s="534">
        <v>872.63800000000003</v>
      </c>
    </row>
    <row r="987" spans="1:14" s="529" customFormat="1">
      <c r="A987" s="537" t="s">
        <v>331</v>
      </c>
      <c r="B987" s="536" t="s">
        <v>330</v>
      </c>
      <c r="C987" s="535">
        <v>42825</v>
      </c>
      <c r="D987" s="534">
        <v>8656.1720000000005</v>
      </c>
    </row>
    <row r="988" spans="1:14" s="529" customFormat="1" ht="15.75" thickBot="1">
      <c r="A988" s="533" t="s">
        <v>174</v>
      </c>
      <c r="B988" s="532" t="s">
        <v>173</v>
      </c>
      <c r="C988" s="531">
        <v>42825</v>
      </c>
      <c r="D988" s="530">
        <v>526.81399999999996</v>
      </c>
    </row>
    <row r="989" spans="1:14" s="527" customFormat="1" ht="15.75" thickBot="1">
      <c r="A989" s="677" t="s">
        <v>787</v>
      </c>
      <c r="B989" s="678"/>
      <c r="C989" s="678"/>
      <c r="D989" s="528">
        <f>SUM(D907:D988)</f>
        <v>205820.06700000001</v>
      </c>
    </row>
    <row r="990" spans="1:14" s="529" customFormat="1">
      <c r="A990" s="541" t="s">
        <v>557</v>
      </c>
      <c r="B990" s="540" t="s">
        <v>556</v>
      </c>
      <c r="C990" s="539">
        <v>42828</v>
      </c>
      <c r="D990" s="538">
        <v>1957.4760000000001</v>
      </c>
    </row>
    <row r="991" spans="1:14" s="529" customFormat="1">
      <c r="A991" s="545" t="s">
        <v>170</v>
      </c>
      <c r="B991" s="544" t="s">
        <v>169</v>
      </c>
      <c r="C991" s="543">
        <v>42830</v>
      </c>
      <c r="D991" s="542">
        <v>1216.6980000000001</v>
      </c>
      <c r="E991" s="525"/>
      <c r="F991" s="525"/>
      <c r="G991" s="525"/>
      <c r="H991" s="525"/>
      <c r="I991" s="525"/>
      <c r="J991" s="525"/>
      <c r="K991" s="525"/>
      <c r="L991" s="525"/>
      <c r="M991" s="525"/>
      <c r="N991" s="525"/>
    </row>
    <row r="992" spans="1:14" s="529" customFormat="1">
      <c r="A992" s="545" t="s">
        <v>164</v>
      </c>
      <c r="B992" s="544" t="s">
        <v>163</v>
      </c>
      <c r="C992" s="543">
        <v>42830</v>
      </c>
      <c r="D992" s="542">
        <v>3555.8409999999999</v>
      </c>
      <c r="E992" s="525"/>
      <c r="F992" s="525"/>
      <c r="G992" s="525"/>
      <c r="H992" s="525"/>
      <c r="I992" s="525"/>
      <c r="J992" s="525"/>
      <c r="K992" s="525"/>
      <c r="L992" s="525"/>
      <c r="M992" s="525"/>
      <c r="N992" s="525"/>
    </row>
    <row r="993" spans="1:14" s="529" customFormat="1">
      <c r="A993" s="537" t="s">
        <v>174</v>
      </c>
      <c r="B993" s="536" t="s">
        <v>173</v>
      </c>
      <c r="C993" s="535">
        <v>42830</v>
      </c>
      <c r="D993" s="534">
        <v>580</v>
      </c>
    </row>
    <row r="994" spans="1:14" s="529" customFormat="1">
      <c r="A994" s="537" t="s">
        <v>179</v>
      </c>
      <c r="B994" s="536" t="s">
        <v>178</v>
      </c>
      <c r="C994" s="535">
        <v>42832</v>
      </c>
      <c r="D994" s="534">
        <v>4218</v>
      </c>
    </row>
    <row r="995" spans="1:14" s="529" customFormat="1">
      <c r="A995" s="537" t="s">
        <v>174</v>
      </c>
      <c r="B995" s="536" t="s">
        <v>173</v>
      </c>
      <c r="C995" s="535">
        <v>42832</v>
      </c>
      <c r="D995" s="534">
        <v>631.20299999999997</v>
      </c>
    </row>
    <row r="996" spans="1:14" s="529" customFormat="1">
      <c r="A996" s="537" t="s">
        <v>162</v>
      </c>
      <c r="B996" s="536" t="s">
        <v>161</v>
      </c>
      <c r="C996" s="535">
        <v>42832</v>
      </c>
      <c r="D996" s="534">
        <v>2000</v>
      </c>
    </row>
    <row r="997" spans="1:14" s="529" customFormat="1">
      <c r="A997" s="545" t="s">
        <v>656</v>
      </c>
      <c r="B997" s="544" t="s">
        <v>657</v>
      </c>
      <c r="C997" s="543">
        <v>42836</v>
      </c>
      <c r="D997" s="542">
        <v>462.12799999999999</v>
      </c>
      <c r="E997" s="525"/>
      <c r="F997" s="525"/>
      <c r="G997" s="525"/>
      <c r="H997" s="525"/>
      <c r="I997" s="525"/>
      <c r="J997" s="525"/>
      <c r="K997" s="525"/>
      <c r="L997" s="525"/>
      <c r="M997" s="525"/>
      <c r="N997" s="525"/>
    </row>
    <row r="998" spans="1:14" s="529" customFormat="1">
      <c r="A998" s="537" t="s">
        <v>162</v>
      </c>
      <c r="B998" s="536" t="s">
        <v>161</v>
      </c>
      <c r="C998" s="535">
        <v>42839</v>
      </c>
      <c r="D998" s="534">
        <v>1959.625</v>
      </c>
    </row>
    <row r="999" spans="1:14" s="529" customFormat="1">
      <c r="A999" s="545" t="s">
        <v>170</v>
      </c>
      <c r="B999" s="544" t="s">
        <v>169</v>
      </c>
      <c r="C999" s="543">
        <v>42840</v>
      </c>
      <c r="D999" s="542">
        <v>1000</v>
      </c>
      <c r="E999" s="525"/>
      <c r="F999" s="525"/>
      <c r="G999" s="525"/>
      <c r="H999" s="525"/>
      <c r="I999" s="525"/>
      <c r="J999" s="525"/>
      <c r="K999" s="525"/>
      <c r="L999" s="525"/>
      <c r="M999" s="525"/>
      <c r="N999" s="525"/>
    </row>
    <row r="1000" spans="1:14" s="529" customFormat="1">
      <c r="A1000" s="545" t="s">
        <v>291</v>
      </c>
      <c r="B1000" s="544" t="s">
        <v>290</v>
      </c>
      <c r="C1000" s="543">
        <v>42840</v>
      </c>
      <c r="D1000" s="542">
        <v>3580</v>
      </c>
      <c r="E1000" s="525"/>
      <c r="F1000" s="525"/>
      <c r="G1000" s="525"/>
      <c r="H1000" s="525"/>
      <c r="I1000" s="525"/>
      <c r="J1000" s="525"/>
      <c r="K1000" s="525"/>
      <c r="L1000" s="525"/>
      <c r="M1000" s="525"/>
      <c r="N1000" s="525"/>
    </row>
    <row r="1001" spans="1:14" s="529" customFormat="1">
      <c r="A1001" s="537" t="s">
        <v>635</v>
      </c>
      <c r="B1001" s="536" t="s">
        <v>636</v>
      </c>
      <c r="C1001" s="535">
        <v>42840</v>
      </c>
      <c r="D1001" s="534">
        <v>3600</v>
      </c>
    </row>
    <row r="1002" spans="1:14" s="529" customFormat="1">
      <c r="A1002" s="537" t="s">
        <v>179</v>
      </c>
      <c r="B1002" s="536" t="s">
        <v>178</v>
      </c>
      <c r="C1002" s="535">
        <v>42840</v>
      </c>
      <c r="D1002" s="534">
        <v>4218</v>
      </c>
    </row>
    <row r="1003" spans="1:14" s="529" customFormat="1">
      <c r="A1003" s="537" t="s">
        <v>168</v>
      </c>
      <c r="B1003" s="536" t="s">
        <v>167</v>
      </c>
      <c r="C1003" s="535">
        <v>42840</v>
      </c>
      <c r="D1003" s="534">
        <v>9480.6869999999999</v>
      </c>
    </row>
    <row r="1004" spans="1:14" s="529" customFormat="1">
      <c r="A1004" s="537" t="s">
        <v>179</v>
      </c>
      <c r="B1004" s="536" t="s">
        <v>178</v>
      </c>
      <c r="C1004" s="535">
        <v>42847</v>
      </c>
      <c r="D1004" s="534">
        <v>4218</v>
      </c>
    </row>
    <row r="1005" spans="1:14" s="529" customFormat="1" ht="15.75" thickBot="1">
      <c r="A1005" s="533" t="s">
        <v>179</v>
      </c>
      <c r="B1005" s="532" t="s">
        <v>178</v>
      </c>
      <c r="C1005" s="531">
        <v>42855</v>
      </c>
      <c r="D1005" s="530">
        <v>4218</v>
      </c>
    </row>
    <row r="1006" spans="1:14" s="527" customFormat="1" ht="15.75" thickBot="1">
      <c r="A1006" s="677" t="s">
        <v>786</v>
      </c>
      <c r="B1006" s="678"/>
      <c r="C1006" s="678"/>
      <c r="D1006" s="528">
        <f>SUM(D990:D1005)</f>
        <v>46895.657999999996</v>
      </c>
    </row>
    <row r="1007" spans="1:14" s="529" customFormat="1">
      <c r="A1007" s="541" t="s">
        <v>179</v>
      </c>
      <c r="B1007" s="540" t="s">
        <v>178</v>
      </c>
      <c r="C1007" s="539">
        <v>42860</v>
      </c>
      <c r="D1007" s="538">
        <v>4218</v>
      </c>
    </row>
    <row r="1008" spans="1:14" s="529" customFormat="1">
      <c r="A1008" s="537" t="s">
        <v>179</v>
      </c>
      <c r="B1008" s="536" t="s">
        <v>178</v>
      </c>
      <c r="C1008" s="535">
        <v>42865</v>
      </c>
      <c r="D1008" s="534">
        <v>4218</v>
      </c>
    </row>
    <row r="1009" spans="1:4" s="529" customFormat="1" ht="15.75" thickBot="1">
      <c r="A1009" s="533" t="s">
        <v>179</v>
      </c>
      <c r="B1009" s="532" t="s">
        <v>178</v>
      </c>
      <c r="C1009" s="531">
        <v>42870</v>
      </c>
      <c r="D1009" s="530">
        <v>4218.8040000000001</v>
      </c>
    </row>
    <row r="1010" spans="1:4" s="527" customFormat="1" ht="15.75" thickBot="1">
      <c r="A1010" s="677" t="s">
        <v>785</v>
      </c>
      <c r="B1010" s="678"/>
      <c r="C1010" s="678"/>
      <c r="D1010" s="528">
        <f>SUM(D1007:D1009)</f>
        <v>12654.804</v>
      </c>
    </row>
    <row r="1011" spans="1:4" ht="15.75" thickBot="1"/>
    <row r="1012" spans="1:4" s="527" customFormat="1" ht="15.75" thickBot="1">
      <c r="A1012" s="677" t="s">
        <v>515</v>
      </c>
      <c r="B1012" s="678"/>
      <c r="C1012" s="678"/>
      <c r="D1012" s="528">
        <f>D1010+D1006+D989+D906+D727+D392</f>
        <v>1973448.0370000005</v>
      </c>
    </row>
  </sheetData>
  <mergeCells count="7">
    <mergeCell ref="A1012:C1012"/>
    <mergeCell ref="A392:C392"/>
    <mergeCell ref="A727:C727"/>
    <mergeCell ref="A906:C906"/>
    <mergeCell ref="A989:C989"/>
    <mergeCell ref="A1006:C1006"/>
    <mergeCell ref="A1010:C10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M115"/>
  <sheetViews>
    <sheetView topLeftCell="A79" workbookViewId="0">
      <selection activeCell="D100" sqref="D100"/>
    </sheetView>
  </sheetViews>
  <sheetFormatPr baseColWidth="10" defaultRowHeight="15"/>
  <cols>
    <col min="1" max="1" width="9.28515625" bestFit="1" customWidth="1"/>
    <col min="2" max="2" width="31.28515625" bestFit="1" customWidth="1"/>
    <col min="3" max="3" width="10.7109375" bestFit="1" customWidth="1"/>
    <col min="4" max="4" width="13.85546875" style="79" bestFit="1" customWidth="1"/>
  </cols>
  <sheetData>
    <row r="1" spans="1:8" ht="15.75" thickBot="1">
      <c r="A1" s="565" t="s">
        <v>177</v>
      </c>
      <c r="B1" s="564" t="s">
        <v>176</v>
      </c>
      <c r="C1" s="564" t="s">
        <v>175</v>
      </c>
      <c r="D1" s="563" t="s">
        <v>11</v>
      </c>
    </row>
    <row r="2" spans="1:8">
      <c r="A2" s="435" t="s">
        <v>949</v>
      </c>
      <c r="B2" s="436" t="s">
        <v>948</v>
      </c>
      <c r="C2" s="437">
        <v>42720</v>
      </c>
      <c r="D2" s="438">
        <v>3102.61</v>
      </c>
      <c r="H2" s="236"/>
    </row>
    <row r="3" spans="1:8">
      <c r="A3" s="439" t="s">
        <v>953</v>
      </c>
      <c r="B3" s="440" t="s">
        <v>952</v>
      </c>
      <c r="C3" s="441">
        <v>42722</v>
      </c>
      <c r="D3" s="442">
        <v>2131.1280000000002</v>
      </c>
      <c r="H3" s="236"/>
    </row>
    <row r="4" spans="1:8">
      <c r="A4" s="562" t="s">
        <v>953</v>
      </c>
      <c r="B4" s="561" t="s">
        <v>952</v>
      </c>
      <c r="C4" s="560">
        <v>42722</v>
      </c>
      <c r="D4" s="559">
        <v>2131.1280000000002</v>
      </c>
    </row>
    <row r="5" spans="1:8">
      <c r="A5" s="562" t="s">
        <v>951</v>
      </c>
      <c r="B5" s="561" t="s">
        <v>950</v>
      </c>
      <c r="C5" s="560">
        <v>42734</v>
      </c>
      <c r="D5" s="559">
        <v>5069.817</v>
      </c>
    </row>
    <row r="6" spans="1:8">
      <c r="A6" s="562" t="s">
        <v>927</v>
      </c>
      <c r="B6" s="561" t="s">
        <v>926</v>
      </c>
      <c r="C6" s="560">
        <v>42740</v>
      </c>
      <c r="D6" s="559">
        <v>1670.89</v>
      </c>
    </row>
    <row r="7" spans="1:8">
      <c r="A7" s="439" t="s">
        <v>949</v>
      </c>
      <c r="B7" s="440" t="s">
        <v>948</v>
      </c>
      <c r="C7" s="441">
        <v>42741</v>
      </c>
      <c r="D7" s="442">
        <v>4000</v>
      </c>
    </row>
    <row r="8" spans="1:8">
      <c r="A8" s="439" t="s">
        <v>693</v>
      </c>
      <c r="B8" s="440" t="s">
        <v>694</v>
      </c>
      <c r="C8" s="441">
        <v>42747</v>
      </c>
      <c r="D8" s="442">
        <v>497.42700000000002</v>
      </c>
    </row>
    <row r="9" spans="1:8">
      <c r="A9" s="562" t="s">
        <v>927</v>
      </c>
      <c r="B9" s="561" t="s">
        <v>926</v>
      </c>
      <c r="C9" s="560">
        <v>42750</v>
      </c>
      <c r="D9" s="559">
        <v>1670.89</v>
      </c>
    </row>
    <row r="10" spans="1:8">
      <c r="A10" s="439" t="s">
        <v>949</v>
      </c>
      <c r="B10" s="440" t="s">
        <v>948</v>
      </c>
      <c r="C10" s="441">
        <v>42751</v>
      </c>
      <c r="D10" s="442">
        <v>4000</v>
      </c>
    </row>
    <row r="11" spans="1:8">
      <c r="A11" s="439" t="s">
        <v>693</v>
      </c>
      <c r="B11" s="440" t="s">
        <v>694</v>
      </c>
      <c r="C11" s="441">
        <v>42752</v>
      </c>
      <c r="D11" s="442">
        <v>480</v>
      </c>
    </row>
    <row r="12" spans="1:8">
      <c r="A12" s="439" t="s">
        <v>947</v>
      </c>
      <c r="B12" s="440" t="s">
        <v>946</v>
      </c>
      <c r="C12" s="441">
        <v>42752</v>
      </c>
      <c r="D12" s="442">
        <v>1109.9780000000001</v>
      </c>
    </row>
    <row r="13" spans="1:8">
      <c r="A13" s="439" t="s">
        <v>945</v>
      </c>
      <c r="B13" s="440" t="s">
        <v>944</v>
      </c>
      <c r="C13" s="441">
        <v>42755</v>
      </c>
      <c r="D13" s="442">
        <v>1198.3409999999999</v>
      </c>
    </row>
    <row r="14" spans="1:8">
      <c r="A14" s="439" t="s">
        <v>693</v>
      </c>
      <c r="B14" s="440" t="s">
        <v>694</v>
      </c>
      <c r="C14" s="441">
        <v>42755</v>
      </c>
      <c r="D14" s="442">
        <v>480</v>
      </c>
    </row>
    <row r="15" spans="1:8">
      <c r="A15" s="562" t="s">
        <v>943</v>
      </c>
      <c r="B15" s="561" t="s">
        <v>942</v>
      </c>
      <c r="C15" s="560">
        <v>42755</v>
      </c>
      <c r="D15" s="559">
        <v>1275</v>
      </c>
    </row>
    <row r="16" spans="1:8">
      <c r="A16" s="562" t="s">
        <v>695</v>
      </c>
      <c r="B16" s="561" t="s">
        <v>696</v>
      </c>
      <c r="C16" s="560">
        <v>42761</v>
      </c>
      <c r="D16" s="559">
        <v>2482.5439999999999</v>
      </c>
    </row>
    <row r="17" spans="1:13">
      <c r="A17" s="439" t="s">
        <v>693</v>
      </c>
      <c r="B17" s="440" t="s">
        <v>694</v>
      </c>
      <c r="C17" s="441">
        <v>42762</v>
      </c>
      <c r="D17" s="442">
        <v>480</v>
      </c>
    </row>
    <row r="18" spans="1:13">
      <c r="A18" s="562" t="s">
        <v>943</v>
      </c>
      <c r="B18" s="561" t="s">
        <v>942</v>
      </c>
      <c r="C18" s="560">
        <v>42762</v>
      </c>
      <c r="D18" s="559">
        <v>1281.278</v>
      </c>
    </row>
    <row r="19" spans="1:13">
      <c r="A19" s="562" t="s">
        <v>941</v>
      </c>
      <c r="B19" s="561" t="s">
        <v>940</v>
      </c>
      <c r="C19" s="560">
        <v>42764</v>
      </c>
      <c r="D19" s="559">
        <v>491.58699999999999</v>
      </c>
    </row>
    <row r="20" spans="1:13">
      <c r="A20" s="439" t="s">
        <v>939</v>
      </c>
      <c r="B20" s="440" t="s">
        <v>938</v>
      </c>
      <c r="C20" s="441">
        <v>42765</v>
      </c>
      <c r="D20" s="442">
        <v>6782.6180000000004</v>
      </c>
    </row>
    <row r="21" spans="1:13">
      <c r="A21" s="439" t="s">
        <v>697</v>
      </c>
      <c r="B21" s="440" t="s">
        <v>698</v>
      </c>
      <c r="C21" s="441">
        <v>42766</v>
      </c>
      <c r="D21" s="442">
        <v>4653.973</v>
      </c>
    </row>
    <row r="22" spans="1:13">
      <c r="A22" s="439" t="s">
        <v>937</v>
      </c>
      <c r="B22" s="440" t="s">
        <v>936</v>
      </c>
      <c r="C22" s="441">
        <v>42766</v>
      </c>
      <c r="D22" s="442">
        <v>156.54300000000001</v>
      </c>
    </row>
    <row r="23" spans="1:13">
      <c r="A23" s="562" t="s">
        <v>913</v>
      </c>
      <c r="B23" s="561" t="s">
        <v>912</v>
      </c>
      <c r="C23" s="560">
        <v>42766</v>
      </c>
      <c r="D23" s="559">
        <v>3595.877</v>
      </c>
    </row>
    <row r="24" spans="1:13">
      <c r="A24" s="562" t="s">
        <v>935</v>
      </c>
      <c r="B24" s="561" t="s">
        <v>934</v>
      </c>
      <c r="C24" s="560">
        <v>42766</v>
      </c>
      <c r="D24" s="559">
        <v>14006.291999999999</v>
      </c>
    </row>
    <row r="25" spans="1:13">
      <c r="A25" s="562" t="s">
        <v>933</v>
      </c>
      <c r="B25" s="561" t="s">
        <v>932</v>
      </c>
      <c r="C25" s="560">
        <v>42766</v>
      </c>
      <c r="D25" s="559">
        <v>1586.2</v>
      </c>
    </row>
    <row r="26" spans="1:13">
      <c r="A26" s="562" t="s">
        <v>931</v>
      </c>
      <c r="B26" s="561" t="s">
        <v>930</v>
      </c>
      <c r="C26" s="560">
        <v>42766</v>
      </c>
      <c r="D26" s="559">
        <v>1131.287</v>
      </c>
    </row>
    <row r="27" spans="1:13">
      <c r="A27" s="562" t="s">
        <v>929</v>
      </c>
      <c r="B27" s="561" t="s">
        <v>928</v>
      </c>
      <c r="C27" s="560">
        <v>42768</v>
      </c>
      <c r="D27" s="559">
        <v>567.83900000000006</v>
      </c>
    </row>
    <row r="28" spans="1:13">
      <c r="A28" s="439" t="s">
        <v>678</v>
      </c>
      <c r="B28" s="440" t="s">
        <v>679</v>
      </c>
      <c r="C28" s="441">
        <v>42771</v>
      </c>
      <c r="D28" s="442">
        <v>5000</v>
      </c>
    </row>
    <row r="29" spans="1:13">
      <c r="A29" s="439" t="s">
        <v>699</v>
      </c>
      <c r="B29" s="440" t="s">
        <v>700</v>
      </c>
      <c r="C29" s="441">
        <v>42771</v>
      </c>
      <c r="D29" s="442">
        <v>2073.7109999999998</v>
      </c>
    </row>
    <row r="30" spans="1:13">
      <c r="A30" s="439" t="s">
        <v>753</v>
      </c>
      <c r="B30" s="440" t="s">
        <v>754</v>
      </c>
      <c r="C30" s="441">
        <v>42771</v>
      </c>
      <c r="D30" s="442">
        <v>3062.7579999999998</v>
      </c>
    </row>
    <row r="31" spans="1:13">
      <c r="A31" s="562" t="s">
        <v>927</v>
      </c>
      <c r="B31" s="561" t="s">
        <v>926</v>
      </c>
      <c r="C31" s="560">
        <v>42771</v>
      </c>
      <c r="D31" s="559">
        <v>1670.89</v>
      </c>
    </row>
    <row r="32" spans="1:13">
      <c r="A32" s="562" t="s">
        <v>925</v>
      </c>
      <c r="B32" s="561" t="s">
        <v>924</v>
      </c>
      <c r="C32" s="560">
        <v>42776</v>
      </c>
      <c r="D32" s="559">
        <v>1315.4960000000001</v>
      </c>
      <c r="E32" s="554"/>
      <c r="F32" s="554"/>
      <c r="G32" s="554"/>
      <c r="H32" s="554"/>
      <c r="I32" s="554"/>
      <c r="J32" s="554"/>
      <c r="K32" s="554"/>
      <c r="L32" s="554"/>
      <c r="M32" s="554"/>
    </row>
    <row r="33" spans="1:13">
      <c r="A33" s="562" t="s">
        <v>705</v>
      </c>
      <c r="B33" s="561" t="s">
        <v>706</v>
      </c>
      <c r="C33" s="560">
        <v>42778</v>
      </c>
      <c r="D33" s="559">
        <v>3938.5279999999998</v>
      </c>
    </row>
    <row r="34" spans="1:13">
      <c r="A34" s="562" t="s">
        <v>695</v>
      </c>
      <c r="B34" s="561" t="s">
        <v>696</v>
      </c>
      <c r="C34" s="560">
        <v>42781</v>
      </c>
      <c r="D34" s="559">
        <v>2300</v>
      </c>
    </row>
    <row r="35" spans="1:13">
      <c r="A35" s="439" t="s">
        <v>919</v>
      </c>
      <c r="B35" s="440" t="s">
        <v>918</v>
      </c>
      <c r="C35" s="441">
        <v>42781</v>
      </c>
      <c r="D35" s="442">
        <v>1119.232</v>
      </c>
    </row>
    <row r="36" spans="1:13">
      <c r="A36" s="439" t="s">
        <v>917</v>
      </c>
      <c r="B36" s="440" t="s">
        <v>916</v>
      </c>
      <c r="C36" s="441">
        <v>42781</v>
      </c>
      <c r="D36" s="442">
        <v>831.58299999999997</v>
      </c>
    </row>
    <row r="37" spans="1:13">
      <c r="A37" s="562" t="s">
        <v>535</v>
      </c>
      <c r="B37" s="561" t="s">
        <v>534</v>
      </c>
      <c r="C37" s="560">
        <v>42781</v>
      </c>
      <c r="D37" s="559">
        <v>64159.945</v>
      </c>
    </row>
    <row r="38" spans="1:13">
      <c r="A38" s="562" t="s">
        <v>701</v>
      </c>
      <c r="B38" s="561" t="s">
        <v>702</v>
      </c>
      <c r="C38" s="560">
        <v>42781</v>
      </c>
      <c r="D38" s="559">
        <v>2985.6579999999999</v>
      </c>
      <c r="E38" s="554"/>
      <c r="F38" s="554"/>
      <c r="G38" s="554"/>
      <c r="H38" s="554"/>
      <c r="I38" s="554"/>
      <c r="J38" s="554"/>
      <c r="K38" s="554"/>
      <c r="L38" s="554"/>
      <c r="M38" s="554"/>
    </row>
    <row r="39" spans="1:13">
      <c r="A39" s="562" t="s">
        <v>899</v>
      </c>
      <c r="B39" s="561" t="s">
        <v>898</v>
      </c>
      <c r="C39" s="560">
        <v>42784</v>
      </c>
      <c r="D39" s="559">
        <v>2700</v>
      </c>
      <c r="E39" s="554"/>
      <c r="F39" s="554"/>
      <c r="G39" s="554"/>
      <c r="H39" s="554"/>
      <c r="I39" s="554"/>
      <c r="J39" s="554"/>
      <c r="K39" s="554"/>
      <c r="L39" s="554"/>
      <c r="M39" s="554"/>
    </row>
    <row r="40" spans="1:13">
      <c r="A40" s="439" t="s">
        <v>889</v>
      </c>
      <c r="B40" s="440" t="s">
        <v>888</v>
      </c>
      <c r="C40" s="441">
        <v>42786</v>
      </c>
      <c r="D40" s="442">
        <v>4000</v>
      </c>
    </row>
    <row r="41" spans="1:13">
      <c r="A41" s="562" t="s">
        <v>925</v>
      </c>
      <c r="B41" s="561" t="s">
        <v>924</v>
      </c>
      <c r="C41" s="560">
        <v>42786</v>
      </c>
      <c r="D41" s="559">
        <v>1315.4960000000001</v>
      </c>
      <c r="E41" s="554"/>
      <c r="F41" s="554"/>
      <c r="G41" s="554"/>
      <c r="H41" s="554"/>
      <c r="I41" s="554"/>
      <c r="J41" s="554"/>
      <c r="K41" s="554"/>
      <c r="L41" s="554"/>
      <c r="M41" s="554"/>
    </row>
    <row r="42" spans="1:13">
      <c r="A42" s="562" t="s">
        <v>923</v>
      </c>
      <c r="B42" s="561" t="s">
        <v>922</v>
      </c>
      <c r="C42" s="560">
        <v>42788</v>
      </c>
      <c r="D42" s="559">
        <v>497.649</v>
      </c>
    </row>
    <row r="43" spans="1:13">
      <c r="A43" s="439" t="s">
        <v>676</v>
      </c>
      <c r="B43" s="440" t="s">
        <v>677</v>
      </c>
      <c r="C43" s="441">
        <v>42789</v>
      </c>
      <c r="D43" s="442">
        <v>850.82299999999998</v>
      </c>
    </row>
    <row r="44" spans="1:13">
      <c r="A44" s="439" t="s">
        <v>921</v>
      </c>
      <c r="B44" s="440" t="s">
        <v>920</v>
      </c>
      <c r="C44" s="441">
        <v>42791</v>
      </c>
      <c r="D44" s="442">
        <v>329.51400000000001</v>
      </c>
    </row>
    <row r="45" spans="1:13">
      <c r="A45" s="439" t="s">
        <v>919</v>
      </c>
      <c r="B45" s="440" t="s">
        <v>918</v>
      </c>
      <c r="C45" s="441">
        <v>42794</v>
      </c>
      <c r="D45" s="442">
        <v>1119.232</v>
      </c>
    </row>
    <row r="46" spans="1:13">
      <c r="A46" s="439" t="s">
        <v>917</v>
      </c>
      <c r="B46" s="440" t="s">
        <v>916</v>
      </c>
      <c r="C46" s="441">
        <v>42794</v>
      </c>
      <c r="D46" s="442">
        <v>831.58299999999997</v>
      </c>
    </row>
    <row r="47" spans="1:13">
      <c r="A47" s="439" t="s">
        <v>703</v>
      </c>
      <c r="B47" s="440" t="s">
        <v>704</v>
      </c>
      <c r="C47" s="441">
        <v>42794</v>
      </c>
      <c r="D47" s="442">
        <v>1438.9369999999999</v>
      </c>
    </row>
    <row r="48" spans="1:13">
      <c r="A48" s="439" t="s">
        <v>707</v>
      </c>
      <c r="B48" s="440" t="s">
        <v>708</v>
      </c>
      <c r="C48" s="441">
        <v>42794</v>
      </c>
      <c r="D48" s="442">
        <v>4500</v>
      </c>
    </row>
    <row r="49" spans="1:4">
      <c r="A49" s="439" t="s">
        <v>707</v>
      </c>
      <c r="B49" s="440" t="s">
        <v>708</v>
      </c>
      <c r="C49" s="441">
        <v>42794</v>
      </c>
      <c r="D49" s="442">
        <v>4414.8109999999997</v>
      </c>
    </row>
    <row r="50" spans="1:4">
      <c r="A50" s="439" t="s">
        <v>889</v>
      </c>
      <c r="B50" s="440" t="s">
        <v>888</v>
      </c>
      <c r="C50" s="441">
        <v>42794</v>
      </c>
      <c r="D50" s="442">
        <v>4000</v>
      </c>
    </row>
    <row r="51" spans="1:4">
      <c r="A51" s="562" t="s">
        <v>915</v>
      </c>
      <c r="B51" s="561" t="s">
        <v>914</v>
      </c>
      <c r="C51" s="560">
        <v>42794</v>
      </c>
      <c r="D51" s="559">
        <v>1723.796</v>
      </c>
    </row>
    <row r="52" spans="1:4">
      <c r="A52" s="562" t="s">
        <v>913</v>
      </c>
      <c r="B52" s="561" t="s">
        <v>912</v>
      </c>
      <c r="C52" s="560">
        <v>42794</v>
      </c>
      <c r="D52" s="559">
        <v>3595</v>
      </c>
    </row>
    <row r="53" spans="1:4">
      <c r="A53" s="562" t="s">
        <v>911</v>
      </c>
      <c r="B53" s="561" t="s">
        <v>910</v>
      </c>
      <c r="C53" s="560">
        <v>42794</v>
      </c>
      <c r="D53" s="559">
        <v>1073.7650000000001</v>
      </c>
    </row>
    <row r="54" spans="1:4">
      <c r="A54" s="562" t="s">
        <v>909</v>
      </c>
      <c r="B54" s="561" t="s">
        <v>908</v>
      </c>
      <c r="C54" s="560">
        <v>42794</v>
      </c>
      <c r="D54" s="559">
        <v>3194.54</v>
      </c>
    </row>
    <row r="55" spans="1:4">
      <c r="A55" s="562" t="s">
        <v>907</v>
      </c>
      <c r="B55" s="561" t="s">
        <v>906</v>
      </c>
      <c r="C55" s="560">
        <v>42794</v>
      </c>
      <c r="D55" s="559">
        <v>2052.6019999999999</v>
      </c>
    </row>
    <row r="56" spans="1:4">
      <c r="A56" s="562" t="s">
        <v>899</v>
      </c>
      <c r="B56" s="561" t="s">
        <v>898</v>
      </c>
      <c r="C56" s="560">
        <v>42794</v>
      </c>
      <c r="D56" s="559">
        <v>2700</v>
      </c>
    </row>
    <row r="57" spans="1:4">
      <c r="A57" s="562" t="s">
        <v>535</v>
      </c>
      <c r="B57" s="561" t="s">
        <v>534</v>
      </c>
      <c r="C57" s="560">
        <v>42795</v>
      </c>
      <c r="D57" s="559">
        <v>64159.945</v>
      </c>
    </row>
    <row r="58" spans="1:4">
      <c r="A58" s="439" t="s">
        <v>905</v>
      </c>
      <c r="B58" s="440" t="s">
        <v>904</v>
      </c>
      <c r="C58" s="441">
        <v>42797</v>
      </c>
      <c r="D58" s="442">
        <v>5298.7160000000003</v>
      </c>
    </row>
    <row r="59" spans="1:4">
      <c r="A59" s="439" t="s">
        <v>887</v>
      </c>
      <c r="B59" s="440" t="s">
        <v>886</v>
      </c>
      <c r="C59" s="441">
        <v>42797</v>
      </c>
      <c r="D59" s="442">
        <v>1099.8</v>
      </c>
    </row>
    <row r="60" spans="1:4">
      <c r="A60" s="439" t="s">
        <v>517</v>
      </c>
      <c r="B60" s="440" t="s">
        <v>516</v>
      </c>
      <c r="C60" s="441">
        <v>42799</v>
      </c>
      <c r="D60" s="442">
        <v>2228.0990000000002</v>
      </c>
    </row>
    <row r="61" spans="1:4">
      <c r="A61" s="439" t="s">
        <v>521</v>
      </c>
      <c r="B61" s="440" t="s">
        <v>520</v>
      </c>
      <c r="C61" s="441">
        <v>42799</v>
      </c>
      <c r="D61" s="442">
        <v>3993.2359999999999</v>
      </c>
    </row>
    <row r="62" spans="1:4">
      <c r="A62" s="439" t="s">
        <v>569</v>
      </c>
      <c r="B62" s="440" t="s">
        <v>570</v>
      </c>
      <c r="C62" s="441">
        <v>42799</v>
      </c>
      <c r="D62" s="442">
        <v>3064.7139999999999</v>
      </c>
    </row>
    <row r="63" spans="1:4">
      <c r="A63" s="439" t="s">
        <v>903</v>
      </c>
      <c r="B63" s="440" t="s">
        <v>902</v>
      </c>
      <c r="C63" s="441">
        <v>42799</v>
      </c>
      <c r="D63" s="442">
        <v>4493.7629999999999</v>
      </c>
    </row>
    <row r="64" spans="1:4">
      <c r="A64" s="439" t="s">
        <v>325</v>
      </c>
      <c r="B64" s="440" t="s">
        <v>324</v>
      </c>
      <c r="C64" s="441">
        <v>42799</v>
      </c>
      <c r="D64" s="442">
        <v>2057.4580000000001</v>
      </c>
    </row>
    <row r="65" spans="1:4">
      <c r="A65" s="439" t="s">
        <v>901</v>
      </c>
      <c r="B65" s="440" t="s">
        <v>900</v>
      </c>
      <c r="C65" s="441">
        <v>42799</v>
      </c>
      <c r="D65" s="442">
        <v>498.78500000000003</v>
      </c>
    </row>
    <row r="66" spans="1:4">
      <c r="A66" s="439" t="s">
        <v>715</v>
      </c>
      <c r="B66" s="440" t="s">
        <v>716</v>
      </c>
      <c r="C66" s="441">
        <v>42799</v>
      </c>
      <c r="D66" s="442">
        <v>4001.9189999999999</v>
      </c>
    </row>
    <row r="67" spans="1:4">
      <c r="A67" s="562" t="s">
        <v>709</v>
      </c>
      <c r="B67" s="561" t="s">
        <v>710</v>
      </c>
      <c r="C67" s="560">
        <v>42799</v>
      </c>
      <c r="D67" s="559">
        <v>6900</v>
      </c>
    </row>
    <row r="68" spans="1:4">
      <c r="A68" s="439" t="s">
        <v>678</v>
      </c>
      <c r="B68" s="440" t="s">
        <v>679</v>
      </c>
      <c r="C68" s="441">
        <v>42800</v>
      </c>
      <c r="D68" s="442">
        <v>9000</v>
      </c>
    </row>
    <row r="69" spans="1:4">
      <c r="A69" s="562" t="s">
        <v>899</v>
      </c>
      <c r="B69" s="561" t="s">
        <v>898</v>
      </c>
      <c r="C69" s="560">
        <v>42801</v>
      </c>
      <c r="D69" s="559">
        <v>2543.33</v>
      </c>
    </row>
    <row r="70" spans="1:4">
      <c r="A70" s="439" t="s">
        <v>895</v>
      </c>
      <c r="B70" s="440" t="s">
        <v>894</v>
      </c>
      <c r="C70" s="441">
        <v>42802</v>
      </c>
      <c r="D70" s="442">
        <v>1126.5</v>
      </c>
    </row>
    <row r="71" spans="1:4">
      <c r="A71" s="439" t="s">
        <v>897</v>
      </c>
      <c r="B71" s="440" t="s">
        <v>896</v>
      </c>
      <c r="C71" s="441">
        <v>42804</v>
      </c>
      <c r="D71" s="442">
        <v>1787.5060000000001</v>
      </c>
    </row>
    <row r="72" spans="1:4">
      <c r="A72" s="439" t="s">
        <v>678</v>
      </c>
      <c r="B72" s="440" t="s">
        <v>679</v>
      </c>
      <c r="C72" s="441">
        <v>42806</v>
      </c>
      <c r="D72" s="442">
        <v>9000</v>
      </c>
    </row>
    <row r="73" spans="1:4">
      <c r="A73" s="439" t="s">
        <v>895</v>
      </c>
      <c r="B73" s="440" t="s">
        <v>894</v>
      </c>
      <c r="C73" s="441">
        <v>42808</v>
      </c>
      <c r="D73" s="442">
        <v>1127.413</v>
      </c>
    </row>
    <row r="74" spans="1:4">
      <c r="A74" s="439" t="s">
        <v>565</v>
      </c>
      <c r="B74" s="440" t="s">
        <v>566</v>
      </c>
      <c r="C74" s="441">
        <v>42809</v>
      </c>
      <c r="D74" s="442">
        <v>6493.8230000000003</v>
      </c>
    </row>
    <row r="75" spans="1:4">
      <c r="A75" s="439" t="s">
        <v>873</v>
      </c>
      <c r="B75" s="440" t="s">
        <v>872</v>
      </c>
      <c r="C75" s="441">
        <v>42809</v>
      </c>
      <c r="D75" s="442">
        <v>10416.012000000001</v>
      </c>
    </row>
    <row r="76" spans="1:4">
      <c r="A76" s="439" t="s">
        <v>887</v>
      </c>
      <c r="B76" s="440" t="s">
        <v>886</v>
      </c>
      <c r="C76" s="441">
        <v>42809</v>
      </c>
      <c r="D76" s="442">
        <v>1099.8</v>
      </c>
    </row>
    <row r="77" spans="1:4">
      <c r="A77" s="562" t="s">
        <v>875</v>
      </c>
      <c r="B77" s="561" t="s">
        <v>874</v>
      </c>
      <c r="C77" s="560">
        <v>42809</v>
      </c>
      <c r="D77" s="559">
        <v>2843.1179999999999</v>
      </c>
    </row>
    <row r="78" spans="1:4">
      <c r="A78" s="439" t="s">
        <v>213</v>
      </c>
      <c r="B78" s="440" t="s">
        <v>212</v>
      </c>
      <c r="C78" s="441">
        <v>42810</v>
      </c>
      <c r="D78" s="442">
        <v>2000</v>
      </c>
    </row>
    <row r="79" spans="1:4">
      <c r="A79" s="439" t="s">
        <v>893</v>
      </c>
      <c r="B79" s="440" t="s">
        <v>892</v>
      </c>
      <c r="C79" s="441">
        <v>42814</v>
      </c>
      <c r="D79" s="442">
        <v>3767.7570000000001</v>
      </c>
    </row>
    <row r="80" spans="1:4">
      <c r="A80" s="439" t="s">
        <v>678</v>
      </c>
      <c r="B80" s="440" t="s">
        <v>679</v>
      </c>
      <c r="C80" s="441">
        <v>42814</v>
      </c>
      <c r="D80" s="442">
        <v>9000</v>
      </c>
    </row>
    <row r="81" spans="1:4">
      <c r="A81" s="439" t="s">
        <v>567</v>
      </c>
      <c r="B81" s="440" t="s">
        <v>568</v>
      </c>
      <c r="C81" s="441">
        <v>42814</v>
      </c>
      <c r="D81" s="442">
        <v>5280.2629999999999</v>
      </c>
    </row>
    <row r="82" spans="1:4">
      <c r="A82" s="439" t="s">
        <v>891</v>
      </c>
      <c r="B82" s="440" t="s">
        <v>890</v>
      </c>
      <c r="C82" s="441">
        <v>42814</v>
      </c>
      <c r="D82" s="442">
        <v>956.99300000000005</v>
      </c>
    </row>
    <row r="83" spans="1:4">
      <c r="A83" s="439" t="s">
        <v>889</v>
      </c>
      <c r="B83" s="440" t="s">
        <v>888</v>
      </c>
      <c r="C83" s="441">
        <v>42814</v>
      </c>
      <c r="D83" s="442">
        <v>3985.9209999999998</v>
      </c>
    </row>
    <row r="84" spans="1:4">
      <c r="A84" s="562" t="s">
        <v>709</v>
      </c>
      <c r="B84" s="561" t="s">
        <v>710</v>
      </c>
      <c r="C84" s="560">
        <v>42814</v>
      </c>
      <c r="D84" s="559">
        <v>6903.1019999999999</v>
      </c>
    </row>
    <row r="85" spans="1:4">
      <c r="A85" s="439" t="s">
        <v>213</v>
      </c>
      <c r="B85" s="440" t="s">
        <v>212</v>
      </c>
      <c r="C85" s="441">
        <v>42818</v>
      </c>
      <c r="D85" s="442">
        <v>2000</v>
      </c>
    </row>
    <row r="86" spans="1:4">
      <c r="A86" s="439" t="s">
        <v>887</v>
      </c>
      <c r="B86" s="440" t="s">
        <v>886</v>
      </c>
      <c r="C86" s="441">
        <v>42822</v>
      </c>
      <c r="D86" s="442">
        <v>1100.578</v>
      </c>
    </row>
    <row r="87" spans="1:4">
      <c r="A87" s="439" t="s">
        <v>213</v>
      </c>
      <c r="B87" s="440" t="s">
        <v>212</v>
      </c>
      <c r="C87" s="441">
        <v>42823</v>
      </c>
      <c r="D87" s="442">
        <v>2767.9319999999998</v>
      </c>
    </row>
    <row r="88" spans="1:4">
      <c r="A88" s="439" t="s">
        <v>885</v>
      </c>
      <c r="B88" s="440" t="s">
        <v>884</v>
      </c>
      <c r="C88" s="441">
        <v>42824</v>
      </c>
      <c r="D88" s="442">
        <v>2506.0390000000002</v>
      </c>
    </row>
    <row r="89" spans="1:4">
      <c r="A89" s="439" t="s">
        <v>571</v>
      </c>
      <c r="B89" s="440" t="s">
        <v>572</v>
      </c>
      <c r="C89" s="441">
        <v>42824</v>
      </c>
      <c r="D89" s="442">
        <v>7047.0259999999998</v>
      </c>
    </row>
    <row r="90" spans="1:4">
      <c r="A90" s="562" t="s">
        <v>885</v>
      </c>
      <c r="B90" s="561" t="s">
        <v>884</v>
      </c>
      <c r="C90" s="560">
        <v>42824</v>
      </c>
      <c r="D90" s="559">
        <v>2506.0390000000002</v>
      </c>
    </row>
    <row r="91" spans="1:4">
      <c r="A91" s="439" t="s">
        <v>881</v>
      </c>
      <c r="B91" s="440" t="s">
        <v>880</v>
      </c>
      <c r="C91" s="441">
        <v>42825</v>
      </c>
      <c r="D91" s="442">
        <v>669.90200000000004</v>
      </c>
    </row>
    <row r="92" spans="1:4">
      <c r="A92" s="439" t="s">
        <v>711</v>
      </c>
      <c r="B92" s="440" t="s">
        <v>712</v>
      </c>
      <c r="C92" s="441">
        <v>42825</v>
      </c>
      <c r="D92" s="442">
        <v>3609.5410000000002</v>
      </c>
    </row>
    <row r="93" spans="1:4">
      <c r="A93" s="439" t="s">
        <v>713</v>
      </c>
      <c r="B93" s="440" t="s">
        <v>714</v>
      </c>
      <c r="C93" s="441">
        <v>42825</v>
      </c>
      <c r="D93" s="442">
        <v>2394.1179999999999</v>
      </c>
    </row>
    <row r="94" spans="1:4">
      <c r="A94" s="439" t="s">
        <v>883</v>
      </c>
      <c r="B94" s="440" t="s">
        <v>882</v>
      </c>
      <c r="C94" s="441">
        <v>42825</v>
      </c>
      <c r="D94" s="442">
        <v>1976.22</v>
      </c>
    </row>
    <row r="95" spans="1:4">
      <c r="A95" s="439" t="s">
        <v>678</v>
      </c>
      <c r="B95" s="440" t="s">
        <v>679</v>
      </c>
      <c r="C95" s="441">
        <v>42825</v>
      </c>
      <c r="D95" s="442">
        <v>8845.0789999999997</v>
      </c>
    </row>
    <row r="96" spans="1:4">
      <c r="A96" s="562" t="s">
        <v>881</v>
      </c>
      <c r="B96" s="561" t="s">
        <v>880</v>
      </c>
      <c r="C96" s="560">
        <v>42825</v>
      </c>
      <c r="D96" s="559">
        <v>669.90200000000004</v>
      </c>
    </row>
    <row r="97" spans="1:13">
      <c r="A97" s="562" t="s">
        <v>711</v>
      </c>
      <c r="B97" s="561" t="s">
        <v>712</v>
      </c>
      <c r="C97" s="560">
        <v>42825</v>
      </c>
      <c r="D97" s="559">
        <v>3609.5410000000002</v>
      </c>
    </row>
    <row r="98" spans="1:13">
      <c r="A98" s="562" t="s">
        <v>879</v>
      </c>
      <c r="B98" s="561" t="s">
        <v>878</v>
      </c>
      <c r="C98" s="560">
        <v>42825</v>
      </c>
      <c r="D98" s="559">
        <v>6113.9350000000004</v>
      </c>
    </row>
    <row r="99" spans="1:13" ht="15.75" thickBot="1">
      <c r="A99" s="558" t="s">
        <v>877</v>
      </c>
      <c r="B99" s="557" t="s">
        <v>876</v>
      </c>
      <c r="C99" s="556">
        <v>42825</v>
      </c>
      <c r="D99" s="555">
        <v>7169.1930000000002</v>
      </c>
    </row>
    <row r="100" spans="1:13" s="310" customFormat="1" ht="15.75" thickBot="1">
      <c r="A100" s="679" t="s">
        <v>681</v>
      </c>
      <c r="B100" s="680"/>
      <c r="C100" s="680"/>
      <c r="D100" s="311">
        <f>SUM(D2:D99)</f>
        <v>422941.8139999999</v>
      </c>
    </row>
    <row r="101" spans="1:13">
      <c r="A101" s="435" t="s">
        <v>517</v>
      </c>
      <c r="B101" s="436" t="s">
        <v>516</v>
      </c>
      <c r="C101" s="437">
        <v>42830</v>
      </c>
      <c r="D101" s="438">
        <v>4631.0450000000001</v>
      </c>
    </row>
    <row r="102" spans="1:13">
      <c r="A102" s="439" t="s">
        <v>521</v>
      </c>
      <c r="B102" s="440" t="s">
        <v>520</v>
      </c>
      <c r="C102" s="441">
        <v>42830</v>
      </c>
      <c r="D102" s="442">
        <v>1617.7159999999999</v>
      </c>
    </row>
    <row r="103" spans="1:13">
      <c r="A103" s="439" t="s">
        <v>715</v>
      </c>
      <c r="B103" s="440" t="s">
        <v>716</v>
      </c>
      <c r="C103" s="441">
        <v>42830</v>
      </c>
      <c r="D103" s="442">
        <v>2095.0219999999999</v>
      </c>
    </row>
    <row r="104" spans="1:13">
      <c r="A104" s="562" t="s">
        <v>875</v>
      </c>
      <c r="B104" s="561" t="s">
        <v>874</v>
      </c>
      <c r="C104" s="560">
        <v>42830</v>
      </c>
      <c r="D104" s="559">
        <v>2843.1179999999999</v>
      </c>
    </row>
    <row r="105" spans="1:13">
      <c r="A105" s="439" t="s">
        <v>873</v>
      </c>
      <c r="B105" s="440" t="s">
        <v>872</v>
      </c>
      <c r="C105" s="441">
        <v>42835</v>
      </c>
      <c r="D105" s="442">
        <v>6204.3220000000001</v>
      </c>
    </row>
    <row r="106" spans="1:13">
      <c r="A106" s="439" t="s">
        <v>871</v>
      </c>
      <c r="B106" s="440" t="s">
        <v>870</v>
      </c>
      <c r="C106" s="441">
        <v>42840</v>
      </c>
      <c r="D106" s="442">
        <v>11215.547</v>
      </c>
    </row>
    <row r="107" spans="1:13">
      <c r="A107" s="439" t="s">
        <v>871</v>
      </c>
      <c r="B107" s="440" t="s">
        <v>870</v>
      </c>
      <c r="C107" s="441">
        <v>42840</v>
      </c>
      <c r="D107" s="442">
        <v>12172.456</v>
      </c>
    </row>
    <row r="108" spans="1:13">
      <c r="A108" s="562" t="s">
        <v>869</v>
      </c>
      <c r="B108" s="561" t="s">
        <v>868</v>
      </c>
      <c r="C108" s="560">
        <v>42848</v>
      </c>
      <c r="D108" s="559">
        <v>1532.06</v>
      </c>
    </row>
    <row r="109" spans="1:13" s="554" customFormat="1">
      <c r="A109" s="439" t="s">
        <v>571</v>
      </c>
      <c r="B109" s="440" t="s">
        <v>572</v>
      </c>
      <c r="C109" s="441">
        <v>42855</v>
      </c>
      <c r="D109" s="442">
        <v>7046</v>
      </c>
      <c r="E109"/>
      <c r="F109"/>
      <c r="G109"/>
      <c r="H109"/>
      <c r="I109"/>
      <c r="J109"/>
      <c r="K109"/>
      <c r="L109"/>
      <c r="M109"/>
    </row>
    <row r="110" spans="1:13" s="554" customFormat="1">
      <c r="A110" s="439" t="s">
        <v>571</v>
      </c>
      <c r="B110" s="440" t="s">
        <v>572</v>
      </c>
      <c r="C110" s="441">
        <v>42855</v>
      </c>
      <c r="D110" s="442">
        <v>7046</v>
      </c>
      <c r="E110"/>
      <c r="F110"/>
      <c r="G110"/>
      <c r="H110"/>
      <c r="I110"/>
      <c r="J110"/>
      <c r="K110"/>
      <c r="L110"/>
      <c r="M110"/>
    </row>
    <row r="111" spans="1:13" s="554" customFormat="1">
      <c r="A111" s="439" t="s">
        <v>517</v>
      </c>
      <c r="B111" s="440" t="s">
        <v>516</v>
      </c>
      <c r="C111" s="441">
        <v>42860</v>
      </c>
      <c r="D111" s="442">
        <v>4300.67</v>
      </c>
      <c r="E111"/>
      <c r="F111"/>
      <c r="G111"/>
      <c r="H111"/>
      <c r="I111"/>
      <c r="J111"/>
      <c r="K111"/>
      <c r="L111"/>
      <c r="M111"/>
    </row>
    <row r="112" spans="1:13" s="554" customFormat="1" ht="15.75" thickBot="1">
      <c r="A112" s="558" t="s">
        <v>715</v>
      </c>
      <c r="B112" s="557" t="s">
        <v>716</v>
      </c>
      <c r="C112" s="556">
        <v>42860</v>
      </c>
      <c r="D112" s="555">
        <v>2650.7579999999998</v>
      </c>
      <c r="E112"/>
      <c r="F112"/>
      <c r="G112"/>
      <c r="H112"/>
      <c r="I112"/>
      <c r="J112"/>
      <c r="K112"/>
      <c r="L112"/>
      <c r="M112"/>
    </row>
    <row r="113" spans="1:4" s="310" customFormat="1" ht="15.75" thickBot="1">
      <c r="A113" s="679" t="s">
        <v>682</v>
      </c>
      <c r="B113" s="680"/>
      <c r="C113" s="680"/>
      <c r="D113" s="311">
        <f>SUM(D101:D112)</f>
        <v>63354.713999999993</v>
      </c>
    </row>
    <row r="114" spans="1:4" ht="15.75" thickBot="1"/>
    <row r="115" spans="1:4" s="310" customFormat="1" ht="15.75" thickBot="1">
      <c r="A115" s="679" t="s">
        <v>515</v>
      </c>
      <c r="B115" s="680"/>
      <c r="C115" s="680"/>
      <c r="D115" s="311">
        <f>D113+D100</f>
        <v>486296.52799999987</v>
      </c>
    </row>
  </sheetData>
  <mergeCells count="3">
    <mergeCell ref="A100:C100"/>
    <mergeCell ref="A113:C113"/>
    <mergeCell ref="A115:C1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G25"/>
  <sheetViews>
    <sheetView workbookViewId="0">
      <selection activeCell="C18" sqref="C18:C25"/>
    </sheetView>
  </sheetViews>
  <sheetFormatPr baseColWidth="10" defaultRowHeight="15"/>
  <cols>
    <col min="1" max="1" width="3.7109375" style="59" bestFit="1" customWidth="1"/>
    <col min="2" max="2" width="11" style="59" customWidth="1"/>
    <col min="3" max="6" width="23.140625" style="60" customWidth="1"/>
    <col min="7" max="7" width="23.85546875" style="60" bestFit="1" customWidth="1"/>
    <col min="8" max="16384" width="11.42578125" style="60"/>
  </cols>
  <sheetData>
    <row r="1" spans="1:7" ht="15.75" thickBot="1"/>
    <row r="2" spans="1:7" s="59" customFormat="1" thickBot="1">
      <c r="A2" s="684" t="s">
        <v>972</v>
      </c>
      <c r="B2" s="685"/>
      <c r="C2" s="589" t="s">
        <v>973</v>
      </c>
      <c r="D2" s="590" t="s">
        <v>974</v>
      </c>
      <c r="E2" s="590" t="s">
        <v>975</v>
      </c>
      <c r="F2" s="590" t="s">
        <v>976</v>
      </c>
      <c r="G2" s="591" t="s">
        <v>977</v>
      </c>
    </row>
    <row r="3" spans="1:7" s="59" customFormat="1" thickBot="1">
      <c r="A3" s="686" t="s">
        <v>978</v>
      </c>
      <c r="B3" s="687"/>
      <c r="C3" s="595">
        <v>850</v>
      </c>
      <c r="D3" s="596">
        <v>850</v>
      </c>
      <c r="E3" s="596">
        <v>750</v>
      </c>
      <c r="F3" s="597">
        <v>750</v>
      </c>
      <c r="G3" s="688">
        <v>800</v>
      </c>
    </row>
    <row r="4" spans="1:7">
      <c r="A4" s="681" t="s">
        <v>979</v>
      </c>
      <c r="B4" s="592">
        <v>42370</v>
      </c>
      <c r="C4" s="580">
        <v>480</v>
      </c>
      <c r="D4" s="581"/>
      <c r="E4" s="581"/>
      <c r="F4" s="582">
        <v>369</v>
      </c>
      <c r="G4" s="689"/>
    </row>
    <row r="5" spans="1:7">
      <c r="A5" s="682"/>
      <c r="B5" s="593">
        <v>42401</v>
      </c>
      <c r="C5" s="583">
        <v>605</v>
      </c>
      <c r="D5" s="584"/>
      <c r="E5" s="584"/>
      <c r="F5" s="585">
        <v>450</v>
      </c>
      <c r="G5" s="689"/>
    </row>
    <row r="6" spans="1:7">
      <c r="A6" s="682"/>
      <c r="B6" s="593">
        <v>42430</v>
      </c>
      <c r="C6" s="583">
        <v>519</v>
      </c>
      <c r="D6" s="584"/>
      <c r="E6" s="584"/>
      <c r="F6" s="585">
        <v>380</v>
      </c>
      <c r="G6" s="689"/>
    </row>
    <row r="7" spans="1:7">
      <c r="A7" s="682"/>
      <c r="B7" s="593">
        <v>42461</v>
      </c>
      <c r="C7" s="583">
        <v>404</v>
      </c>
      <c r="D7" s="584"/>
      <c r="E7" s="584"/>
      <c r="F7" s="585">
        <v>315</v>
      </c>
      <c r="G7" s="689"/>
    </row>
    <row r="8" spans="1:7">
      <c r="A8" s="682"/>
      <c r="B8" s="593">
        <v>42491</v>
      </c>
      <c r="C8" s="583">
        <v>425</v>
      </c>
      <c r="D8" s="584"/>
      <c r="E8" s="584"/>
      <c r="F8" s="585">
        <v>305</v>
      </c>
      <c r="G8" s="689"/>
    </row>
    <row r="9" spans="1:7">
      <c r="A9" s="682"/>
      <c r="B9" s="593">
        <v>42522</v>
      </c>
      <c r="C9" s="583">
        <v>392</v>
      </c>
      <c r="D9" s="584">
        <v>419</v>
      </c>
      <c r="E9" s="584">
        <v>247</v>
      </c>
      <c r="F9" s="585"/>
      <c r="G9" s="689"/>
    </row>
    <row r="10" spans="1:7">
      <c r="A10" s="682"/>
      <c r="B10" s="593">
        <v>42552</v>
      </c>
      <c r="C10" s="583">
        <v>430</v>
      </c>
      <c r="D10" s="584">
        <v>448</v>
      </c>
      <c r="E10" s="584">
        <v>269</v>
      </c>
      <c r="F10" s="585"/>
      <c r="G10" s="689"/>
    </row>
    <row r="11" spans="1:7">
      <c r="A11" s="682"/>
      <c r="B11" s="593">
        <v>42583</v>
      </c>
      <c r="C11" s="583">
        <v>426</v>
      </c>
      <c r="D11" s="584">
        <v>510</v>
      </c>
      <c r="E11" s="584">
        <v>348</v>
      </c>
      <c r="F11" s="585"/>
      <c r="G11" s="689"/>
    </row>
    <row r="12" spans="1:7">
      <c r="A12" s="682"/>
      <c r="B12" s="593">
        <v>42614</v>
      </c>
      <c r="C12" s="583">
        <v>408</v>
      </c>
      <c r="D12" s="584"/>
      <c r="E12" s="584"/>
      <c r="F12" s="585">
        <v>245</v>
      </c>
      <c r="G12" s="689"/>
    </row>
    <row r="13" spans="1:7" ht="15.75" thickBot="1">
      <c r="A13" s="683"/>
      <c r="B13" s="594">
        <v>42644</v>
      </c>
      <c r="C13" s="586">
        <v>455</v>
      </c>
      <c r="D13" s="587"/>
      <c r="E13" s="587"/>
      <c r="F13" s="588">
        <v>303</v>
      </c>
      <c r="G13" s="690"/>
    </row>
    <row r="18" spans="3:3">
      <c r="C18" s="60">
        <v>42098.54</v>
      </c>
    </row>
    <row r="19" spans="3:3">
      <c r="C19" s="60">
        <v>30035.308000000001</v>
      </c>
    </row>
    <row r="20" spans="3:3">
      <c r="C20" s="60">
        <v>31175.311000000002</v>
      </c>
    </row>
    <row r="21" spans="3:3">
      <c r="C21" s="60">
        <v>54352.752999999997</v>
      </c>
    </row>
    <row r="22" spans="3:3">
      <c r="C22" s="60">
        <v>26894.949000000001</v>
      </c>
    </row>
    <row r="23" spans="3:3">
      <c r="C23" s="60">
        <v>44941.997000000003</v>
      </c>
    </row>
    <row r="24" spans="3:3">
      <c r="C24" s="60">
        <v>44130.235000000001</v>
      </c>
    </row>
    <row r="25" spans="3:3">
      <c r="C25" s="60">
        <v>42521.22</v>
      </c>
    </row>
  </sheetData>
  <mergeCells count="4">
    <mergeCell ref="A4:A13"/>
    <mergeCell ref="A2:B2"/>
    <mergeCell ref="A3:B3"/>
    <mergeCell ref="G3:G13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12-2016</vt:lpstr>
      <vt:lpstr>etranger</vt:lpstr>
      <vt:lpstr>CMT</vt:lpstr>
      <vt:lpstr>EXPORT</vt:lpstr>
      <vt:lpstr>FED</vt:lpstr>
      <vt:lpstr>CT</vt:lpstr>
      <vt:lpstr>TR</vt:lpstr>
      <vt:lpstr>Feuil1</vt:lpstr>
      <vt:lpstr>'12-2016'!Zone_d_impression</vt:lpstr>
      <vt:lpstr>CMT!Zone_d_impression</vt:lpstr>
      <vt:lpstr>etranger!Zone_d_impression</vt:lpstr>
      <vt:lpstr>EXPORT!Zone_d_impression</vt:lpstr>
      <vt:lpstr>FED!Zone_d_impression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2016-12-29T08:54:47Z</cp:lastPrinted>
  <dcterms:created xsi:type="dcterms:W3CDTF">2016-03-21T13:00:29Z</dcterms:created>
  <dcterms:modified xsi:type="dcterms:W3CDTF">2016-12-31T10:45:45Z</dcterms:modified>
</cp:coreProperties>
</file>