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0" windowWidth="18630" windowHeight="6450" tabRatio="827" activeTab="11"/>
  </bookViews>
  <sheets>
    <sheet name="12-2017" sheetId="23" r:id="rId1"/>
    <sheet name="etranger" sheetId="3" r:id="rId2"/>
    <sheet name="CMT" sheetId="5" r:id="rId3"/>
    <sheet name="EXPORT" sheetId="1" r:id="rId4"/>
    <sheet name="FED" sheetId="6" r:id="rId5"/>
    <sheet name="CHEQUE" sheetId="16" r:id="rId6"/>
    <sheet name="TRAITE" sheetId="17" r:id="rId7"/>
    <sheet name="KAIS TAYACHI" sheetId="18" r:id="rId8"/>
    <sheet name="SOTRAM" sheetId="21" r:id="rId9"/>
    <sheet name="HAZEM" sheetId="20" r:id="rId10"/>
    <sheet name="AUTRE FACTURE " sheetId="19" r:id="rId11"/>
    <sheet name="Feuil1" sheetId="24" r:id="rId12"/>
    <sheet name="Feuil2" sheetId="25" r:id="rId13"/>
    <sheet name="Feuil3" sheetId="26" r:id="rId14"/>
    <sheet name="Feuil4" sheetId="27" r:id="rId15"/>
    <sheet name="Feuil6" sheetId="29" r:id="rId16"/>
    <sheet name="Feuil5" sheetId="30" r:id="rId17"/>
    <sheet name="Feuil7" sheetId="31" r:id="rId18"/>
    <sheet name="Feuil8" sheetId="32" r:id="rId19"/>
  </sheets>
  <definedNames>
    <definedName name="_xlnm._FilterDatabase" localSheetId="5" hidden="1">CHEQUE!$A$1:$A$755</definedName>
    <definedName name="_xlnm._FilterDatabase" localSheetId="3" hidden="1">EXPORT!$A$1:$A$148</definedName>
    <definedName name="_xlnm.Print_Titles" localSheetId="5">CHEQUE!$1:$1</definedName>
    <definedName name="_xlnm.Print_Titles" localSheetId="6">TRAITE!$1:$1</definedName>
    <definedName name="_xlnm.Print_Area" localSheetId="0">'12-2017'!$A$1:$L$67</definedName>
    <definedName name="_xlnm.Print_Area" localSheetId="10">'AUTRE FACTURE '!$B$1:$K$7</definedName>
    <definedName name="_xlnm.Print_Area" localSheetId="5">CHEQUE!$A$1:$E$301</definedName>
    <definedName name="_xlnm.Print_Area" localSheetId="2">CMT!$B$54:$I$61</definedName>
    <definedName name="_xlnm.Print_Area" localSheetId="1">etranger!$A$71:$F$78</definedName>
    <definedName name="_xlnm.Print_Area" localSheetId="3">EXPORT!$A$139:$E$148</definedName>
    <definedName name="_xlnm.Print_Area" localSheetId="4">FED!$A$10:$H$11</definedName>
    <definedName name="_xlnm.Print_Area" localSheetId="11">Feuil1!$A$2:$E$26</definedName>
    <definedName name="_xlnm.Print_Area" localSheetId="12">Feuil2!$A$2:$F$18</definedName>
    <definedName name="_xlnm.Print_Area" localSheetId="13">Feuil3!$A$1:$S$50</definedName>
    <definedName name="_xlnm.Print_Area" localSheetId="14">Feuil4!$A$2:$J$42</definedName>
    <definedName name="_xlnm.Print_Area" localSheetId="9">HAZEM!$B$17:$I$21</definedName>
    <definedName name="_xlnm.Print_Area" localSheetId="7">'KAIS TAYACHI'!$B$85:$K$107</definedName>
    <definedName name="_xlnm.Print_Area" localSheetId="8">SOTRAM!$B$1:$R$22</definedName>
    <definedName name="_xlnm.Print_Area" localSheetId="6">TRAITE!$A$1:$E$49</definedName>
  </definedNames>
  <calcPr calcId="125725"/>
</workbook>
</file>

<file path=xl/calcChain.xml><?xml version="1.0" encoding="utf-8"?>
<calcChain xmlns="http://schemas.openxmlformats.org/spreadsheetml/2006/main">
  <c r="B11" i="24"/>
  <c r="D24"/>
  <c r="E14"/>
  <c r="B9"/>
  <c r="E23"/>
  <c r="C13" i="32"/>
  <c r="C7"/>
  <c r="C15" s="1"/>
  <c r="F6" i="29" l="1"/>
  <c r="F5"/>
  <c r="D9" l="1"/>
  <c r="D12"/>
  <c r="D10"/>
  <c r="E22" i="24" l="1"/>
  <c r="G116" i="18"/>
  <c r="H116" s="1"/>
  <c r="I116" s="1"/>
  <c r="G115"/>
  <c r="H115" s="1"/>
  <c r="I115" s="1"/>
  <c r="G124" l="1"/>
  <c r="H124" s="1"/>
  <c r="I124" s="1"/>
  <c r="G120"/>
  <c r="H120"/>
  <c r="I120" s="1"/>
  <c r="G114"/>
  <c r="H114" s="1"/>
  <c r="I114" s="1"/>
  <c r="H113"/>
  <c r="I113" s="1"/>
  <c r="G113"/>
  <c r="H11" i="19"/>
  <c r="I11" s="1"/>
  <c r="K11" s="1"/>
  <c r="H10"/>
  <c r="I10" s="1"/>
  <c r="K10" s="1"/>
  <c r="H18" i="20"/>
  <c r="I18" s="1"/>
  <c r="H19"/>
  <c r="I19" s="1"/>
  <c r="H20"/>
  <c r="I20" s="1"/>
  <c r="I17"/>
  <c r="H17"/>
  <c r="G20"/>
  <c r="G19"/>
  <c r="B146" i="1"/>
  <c r="M137"/>
  <c r="F137"/>
  <c r="G137"/>
  <c r="B143"/>
  <c r="F115"/>
  <c r="M115"/>
  <c r="G115"/>
  <c r="D62" i="3" l="1"/>
  <c r="F52"/>
  <c r="D52"/>
  <c r="C53"/>
  <c r="F37"/>
  <c r="F38"/>
  <c r="F39"/>
  <c r="F40"/>
  <c r="F41"/>
  <c r="F42"/>
  <c r="F43"/>
  <c r="F44"/>
  <c r="F45"/>
  <c r="F46"/>
  <c r="D46"/>
  <c r="D45"/>
  <c r="D44"/>
  <c r="D43"/>
  <c r="D42"/>
  <c r="D41"/>
  <c r="D40"/>
  <c r="D39"/>
  <c r="D38"/>
  <c r="D37"/>
  <c r="F114" i="1" l="1"/>
  <c r="M114"/>
  <c r="G114"/>
  <c r="K102"/>
  <c r="E90" i="18"/>
  <c r="E97"/>
  <c r="E103"/>
  <c r="H9" i="19"/>
  <c r="H8"/>
  <c r="G18" i="20"/>
  <c r="G17"/>
  <c r="G112" i="18"/>
  <c r="H112" s="1"/>
  <c r="I112" s="1"/>
  <c r="G119"/>
  <c r="H119" s="1"/>
  <c r="I119" s="1"/>
  <c r="I9" i="19" l="1"/>
  <c r="J9" s="1"/>
  <c r="K9" s="1"/>
  <c r="I8"/>
  <c r="J8" s="1"/>
  <c r="K8" s="1"/>
  <c r="G89" i="18"/>
  <c r="H89" s="1"/>
  <c r="I89" s="1"/>
  <c r="E15" i="24"/>
  <c r="E24" s="1"/>
  <c r="E16"/>
  <c r="E17"/>
  <c r="E18"/>
  <c r="E20"/>
  <c r="G26" i="21" l="1"/>
  <c r="H26" s="1"/>
  <c r="G25"/>
  <c r="H25" s="1"/>
  <c r="G111" i="18"/>
  <c r="H111" s="1"/>
  <c r="I111" s="1"/>
  <c r="G110"/>
  <c r="H110" s="1"/>
  <c r="I110" s="1"/>
  <c r="G102"/>
  <c r="H102" s="1"/>
  <c r="I102" s="1"/>
  <c r="G118"/>
  <c r="H118" s="1"/>
  <c r="I118" s="1"/>
  <c r="G96"/>
  <c r="H96" s="1"/>
  <c r="I96" s="1"/>
  <c r="F136" i="1"/>
  <c r="M136"/>
  <c r="G136"/>
  <c r="K100"/>
  <c r="I20" i="25"/>
  <c r="I8" i="30"/>
  <c r="P5"/>
  <c r="D18"/>
  <c r="L6"/>
  <c r="N6"/>
  <c r="I16" i="20"/>
  <c r="G16"/>
  <c r="H16" s="1"/>
  <c r="G15"/>
  <c r="H15" s="1"/>
  <c r="I15" s="1"/>
  <c r="I26" i="21" l="1"/>
  <c r="J26" s="1"/>
  <c r="J28" s="1"/>
  <c r="J31" s="1"/>
  <c r="I25"/>
  <c r="J25" s="1"/>
  <c r="M83" i="18"/>
  <c r="G108"/>
  <c r="H108" s="1"/>
  <c r="I108" s="1"/>
  <c r="G100"/>
  <c r="H100" s="1"/>
  <c r="I100" s="1"/>
  <c r="G94"/>
  <c r="H94" s="1"/>
  <c r="I94" s="1"/>
  <c r="G95"/>
  <c r="H95" s="1"/>
  <c r="I95" s="1"/>
  <c r="G101"/>
  <c r="H101" s="1"/>
  <c r="I101" s="1"/>
  <c r="B9" i="26"/>
  <c r="S6" i="30"/>
  <c r="G8" i="26"/>
  <c r="G21" s="1"/>
  <c r="S5" i="30"/>
  <c r="S38"/>
  <c r="S47" s="1"/>
  <c r="N4"/>
  <c r="L5"/>
  <c r="L4"/>
  <c r="I5"/>
  <c r="I4"/>
  <c r="G5"/>
  <c r="G6"/>
  <c r="G4"/>
  <c r="D7"/>
  <c r="G38"/>
  <c r="I39"/>
  <c r="Q40"/>
  <c r="Q39"/>
  <c r="S4"/>
  <c r="D6"/>
  <c r="D19" s="1"/>
  <c r="N47"/>
  <c r="D47"/>
  <c r="B47"/>
  <c r="I38"/>
  <c r="G47"/>
  <c r="S32"/>
  <c r="N32"/>
  <c r="G32"/>
  <c r="B32"/>
  <c r="Q32"/>
  <c r="L32"/>
  <c r="D32"/>
  <c r="S18"/>
  <c r="Q18"/>
  <c r="F20" i="25"/>
  <c r="F113" i="1"/>
  <c r="M113"/>
  <c r="G113"/>
  <c r="B144"/>
  <c r="K65"/>
  <c r="G99" i="18"/>
  <c r="L65" i="23"/>
  <c r="I69"/>
  <c r="I14"/>
  <c r="G40"/>
  <c r="C6"/>
  <c r="P9"/>
  <c r="I64"/>
  <c r="G31"/>
  <c r="G41"/>
  <c r="P46"/>
  <c r="N46"/>
  <c r="M46"/>
  <c r="I46"/>
  <c r="F46"/>
  <c r="C46"/>
  <c r="C12"/>
  <c r="G88" i="18"/>
  <c r="H88" s="1"/>
  <c r="I88" s="1"/>
  <c r="D122" i="17"/>
  <c r="D74"/>
  <c r="D1308" i="16"/>
  <c r="D1319"/>
  <c r="D1323"/>
  <c r="D1258"/>
  <c r="D1068"/>
  <c r="D755"/>
  <c r="F135" i="1"/>
  <c r="M135"/>
  <c r="F76" i="3" s="1"/>
  <c r="G135" i="1"/>
  <c r="C145"/>
  <c r="F28"/>
  <c r="M28"/>
  <c r="G28"/>
  <c r="K98"/>
  <c r="F112"/>
  <c r="M112"/>
  <c r="G112"/>
  <c r="F111"/>
  <c r="M111"/>
  <c r="G111"/>
  <c r="G93" i="18"/>
  <c r="H93" s="1"/>
  <c r="I93" s="1"/>
  <c r="G122"/>
  <c r="H122" s="1"/>
  <c r="I122" s="1"/>
  <c r="G87"/>
  <c r="G105"/>
  <c r="K23" i="1"/>
  <c r="I47" i="26"/>
  <c r="I46"/>
  <c r="I45"/>
  <c r="S50"/>
  <c r="Q5"/>
  <c r="Q21" s="1"/>
  <c r="Q4"/>
  <c r="S13"/>
  <c r="I44"/>
  <c r="I21"/>
  <c r="D19"/>
  <c r="S12"/>
  <c r="I26"/>
  <c r="D18"/>
  <c r="S10"/>
  <c r="S9"/>
  <c r="S8"/>
  <c r="D17"/>
  <c r="D21" s="1"/>
  <c r="B43"/>
  <c r="L7"/>
  <c r="G41"/>
  <c r="G50" s="1"/>
  <c r="L42"/>
  <c r="D26"/>
  <c r="S7"/>
  <c r="Q28"/>
  <c r="L41"/>
  <c r="N26"/>
  <c r="N5"/>
  <c r="Q27"/>
  <c r="N4"/>
  <c r="L26"/>
  <c r="I43"/>
  <c r="B4"/>
  <c r="Q26"/>
  <c r="Q41"/>
  <c r="S6"/>
  <c r="S5"/>
  <c r="S4"/>
  <c r="I42"/>
  <c r="I41"/>
  <c r="D50"/>
  <c r="B50"/>
  <c r="F134" i="1"/>
  <c r="G134"/>
  <c r="M134"/>
  <c r="M133"/>
  <c r="F133"/>
  <c r="G133"/>
  <c r="F110"/>
  <c r="M110"/>
  <c r="G110"/>
  <c r="F109"/>
  <c r="M109"/>
  <c r="G109"/>
  <c r="G14" i="20"/>
  <c r="H14" s="1"/>
  <c r="I14" s="1"/>
  <c r="G23" i="21"/>
  <c r="I23" s="1"/>
  <c r="H23"/>
  <c r="J23" s="1"/>
  <c r="G24"/>
  <c r="I24" s="1"/>
  <c r="H24"/>
  <c r="J24" s="1"/>
  <c r="H42" i="27"/>
  <c r="D42"/>
  <c r="F42"/>
  <c r="G42"/>
  <c r="H38"/>
  <c r="D38"/>
  <c r="F38"/>
  <c r="G38"/>
  <c r="H30"/>
  <c r="D30"/>
  <c r="F30"/>
  <c r="G30"/>
  <c r="H26"/>
  <c r="D26"/>
  <c r="F26"/>
  <c r="G26"/>
  <c r="H23"/>
  <c r="D23"/>
  <c r="F23"/>
  <c r="G23"/>
  <c r="H18"/>
  <c r="D18"/>
  <c r="F18"/>
  <c r="G18"/>
  <c r="H12"/>
  <c r="D12"/>
  <c r="F12"/>
  <c r="G12"/>
  <c r="H8"/>
  <c r="F8"/>
  <c r="G8" s="1"/>
  <c r="D8"/>
  <c r="H99" i="18" l="1"/>
  <c r="G103"/>
  <c r="H87"/>
  <c r="G90"/>
  <c r="H105"/>
  <c r="G106"/>
  <c r="I18" i="30"/>
  <c r="I47"/>
  <c r="N18"/>
  <c r="G18"/>
  <c r="Q47"/>
  <c r="L47"/>
  <c r="L18"/>
  <c r="B21" i="26"/>
  <c r="Q50"/>
  <c r="I50"/>
  <c r="S21"/>
  <c r="B22" i="29"/>
  <c r="D7"/>
  <c r="D6"/>
  <c r="D5"/>
  <c r="D22" s="1"/>
  <c r="D23" l="1"/>
  <c r="I99" i="18"/>
  <c r="I103" s="1"/>
  <c r="H103"/>
  <c r="I87"/>
  <c r="I90" s="1"/>
  <c r="H90"/>
  <c r="I105"/>
  <c r="I106" s="1"/>
  <c r="H106"/>
  <c r="F14" i="23"/>
  <c r="F11" i="27"/>
  <c r="G11" s="1"/>
  <c r="H11" s="1"/>
  <c r="F10"/>
  <c r="G10" s="1"/>
  <c r="H10" s="1"/>
  <c r="F40"/>
  <c r="G40" s="1"/>
  <c r="H40" s="1"/>
  <c r="F41"/>
  <c r="G41" s="1"/>
  <c r="H41" s="1"/>
  <c r="F25"/>
  <c r="G25" s="1"/>
  <c r="H25" s="1"/>
  <c r="F22"/>
  <c r="G22" s="1"/>
  <c r="H22" s="1"/>
  <c r="G21"/>
  <c r="H21" s="1"/>
  <c r="F21"/>
  <c r="F20"/>
  <c r="G20" s="1"/>
  <c r="H20" s="1"/>
  <c r="F17"/>
  <c r="G17" s="1"/>
  <c r="H17" s="1"/>
  <c r="F16"/>
  <c r="G16" s="1"/>
  <c r="H16" s="1"/>
  <c r="F15"/>
  <c r="G15" s="1"/>
  <c r="H15" s="1"/>
  <c r="F14"/>
  <c r="G14" s="1"/>
  <c r="H14" s="1"/>
  <c r="F37"/>
  <c r="G37" s="1"/>
  <c r="F36"/>
  <c r="G36" s="1"/>
  <c r="H36" s="1"/>
  <c r="G35"/>
  <c r="F35"/>
  <c r="F34"/>
  <c r="G34" s="1"/>
  <c r="F33"/>
  <c r="F32"/>
  <c r="G32" s="1"/>
  <c r="H32" s="1"/>
  <c r="F29"/>
  <c r="G29" s="1"/>
  <c r="F28"/>
  <c r="G28" s="1"/>
  <c r="G7"/>
  <c r="H7" s="1"/>
  <c r="F7"/>
  <c r="F6"/>
  <c r="G6" s="1"/>
  <c r="H6" s="1"/>
  <c r="G5"/>
  <c r="H5" s="1"/>
  <c r="F5"/>
  <c r="F4"/>
  <c r="G4" s="1"/>
  <c r="H4" s="1"/>
  <c r="G3"/>
  <c r="H3" s="1"/>
  <c r="F3"/>
  <c r="S35" i="26"/>
  <c r="L35"/>
  <c r="N35"/>
  <c r="B35"/>
  <c r="D35"/>
  <c r="G35"/>
  <c r="I35"/>
  <c r="N50"/>
  <c r="Q35" l="1"/>
  <c r="H35" i="27"/>
  <c r="H37"/>
  <c r="H29"/>
  <c r="G33"/>
  <c r="H33" s="1"/>
  <c r="H28"/>
  <c r="H34"/>
  <c r="N21" i="26"/>
  <c r="L21"/>
  <c r="F24" i="23" l="1"/>
  <c r="M9" i="20"/>
  <c r="G75" i="18" l="1"/>
  <c r="H75" s="1"/>
  <c r="I75" s="1"/>
  <c r="M27" i="1" l="1"/>
  <c r="G27"/>
  <c r="F27"/>
  <c r="K38" i="23"/>
  <c r="G38"/>
  <c r="I22"/>
  <c r="C7" i="25" l="1"/>
  <c r="F21" s="1"/>
  <c r="K97" i="1"/>
  <c r="F64" i="23"/>
  <c r="D302" i="16" l="1"/>
  <c r="C9" i="23" s="1"/>
  <c r="K24" i="1"/>
  <c r="K96"/>
  <c r="F108"/>
  <c r="M108"/>
  <c r="G108"/>
  <c r="H7" i="19"/>
  <c r="I7" s="1"/>
  <c r="H6"/>
  <c r="I6" s="1"/>
  <c r="J7" l="1"/>
  <c r="K7" s="1"/>
  <c r="J6"/>
  <c r="K6" s="1"/>
  <c r="K14" i="23" l="1"/>
  <c r="M107" i="1" l="1"/>
  <c r="F107"/>
  <c r="G107"/>
  <c r="Q45" i="23"/>
  <c r="Q29"/>
  <c r="Q8"/>
  <c r="K31"/>
  <c r="D55" i="3"/>
  <c r="C56"/>
  <c r="F51"/>
  <c r="D51"/>
  <c r="D58"/>
  <c r="D32"/>
  <c r="D33"/>
  <c r="D34"/>
  <c r="D35"/>
  <c r="D36"/>
  <c r="D31"/>
  <c r="F32"/>
  <c r="F33"/>
  <c r="F34"/>
  <c r="F35"/>
  <c r="F36"/>
  <c r="B10" i="24" l="1"/>
  <c r="M9" i="23"/>
  <c r="S4"/>
  <c r="R4"/>
  <c r="Q4"/>
  <c r="P4"/>
  <c r="O4"/>
  <c r="N4"/>
  <c r="M4"/>
  <c r="L4"/>
  <c r="K4"/>
  <c r="J4"/>
  <c r="I4"/>
  <c r="H4"/>
  <c r="G4"/>
  <c r="F4"/>
  <c r="E4"/>
  <c r="D4"/>
  <c r="C4"/>
  <c r="B4"/>
  <c r="D1325" i="16"/>
  <c r="G74" i="18"/>
  <c r="H74" s="1"/>
  <c r="I74" s="1"/>
  <c r="G13" i="20"/>
  <c r="H13" s="1"/>
  <c r="I13" s="1"/>
  <c r="G12"/>
  <c r="H12" s="1"/>
  <c r="I12" s="1"/>
  <c r="M8"/>
  <c r="D124" i="17" l="1"/>
  <c r="E26" i="24"/>
  <c r="Q66" i="23"/>
  <c r="K94" i="1"/>
  <c r="K122"/>
  <c r="F132"/>
  <c r="M132"/>
  <c r="G132"/>
  <c r="F106"/>
  <c r="M106"/>
  <c r="G106"/>
  <c r="M26"/>
  <c r="G26"/>
  <c r="F26"/>
  <c r="G92" i="18"/>
  <c r="G78"/>
  <c r="H78" s="1"/>
  <c r="I78" s="1"/>
  <c r="G79"/>
  <c r="H79" s="1"/>
  <c r="I79" s="1"/>
  <c r="G80"/>
  <c r="H80" s="1"/>
  <c r="I80" s="1"/>
  <c r="G81"/>
  <c r="H81" s="1"/>
  <c r="I81" s="1"/>
  <c r="G77"/>
  <c r="H77" s="1"/>
  <c r="I77" s="1"/>
  <c r="H92" l="1"/>
  <c r="G97"/>
  <c r="G22" i="21"/>
  <c r="G21"/>
  <c r="I92" i="18" l="1"/>
  <c r="I97" s="1"/>
  <c r="H97"/>
  <c r="I22" i="21"/>
  <c r="H22"/>
  <c r="H21"/>
  <c r="J22" l="1"/>
  <c r="I21"/>
  <c r="J21" s="1"/>
  <c r="F105" i="1"/>
  <c r="M105"/>
  <c r="G105"/>
  <c r="K21" l="1"/>
  <c r="K22"/>
  <c r="K90"/>
  <c r="G71" i="18"/>
  <c r="H71" s="1"/>
  <c r="I71" s="1"/>
  <c r="G73" l="1"/>
  <c r="H73" s="1"/>
  <c r="I73" s="1"/>
  <c r="G20" i="21"/>
  <c r="G19"/>
  <c r="N18"/>
  <c r="G11" i="20"/>
  <c r="H11"/>
  <c r="I11" s="1"/>
  <c r="G10"/>
  <c r="H10" s="1"/>
  <c r="I10" s="1"/>
  <c r="G9"/>
  <c r="H9"/>
  <c r="I9" s="1"/>
  <c r="F104" i="1"/>
  <c r="M104"/>
  <c r="G104"/>
  <c r="F31" i="3"/>
  <c r="I20" i="21" l="1"/>
  <c r="H20"/>
  <c r="I19"/>
  <c r="H19"/>
  <c r="G67" i="18"/>
  <c r="H67" s="1"/>
  <c r="G72"/>
  <c r="H72" s="1"/>
  <c r="I72" s="1"/>
  <c r="F103" i="1"/>
  <c r="M103"/>
  <c r="G103"/>
  <c r="F131"/>
  <c r="M131"/>
  <c r="G131"/>
  <c r="J20" i="21" l="1"/>
  <c r="J19"/>
  <c r="I67" i="18"/>
  <c r="C72" i="3"/>
  <c r="N9" i="23"/>
  <c r="J9"/>
  <c r="F9"/>
  <c r="F8" s="1"/>
  <c r="E9"/>
  <c r="D64" l="1"/>
  <c r="G65"/>
  <c r="S63" l="1"/>
  <c r="R63"/>
  <c r="P63"/>
  <c r="O63"/>
  <c r="N63"/>
  <c r="M63"/>
  <c r="L63"/>
  <c r="K63"/>
  <c r="J63"/>
  <c r="I63"/>
  <c r="H63"/>
  <c r="G63"/>
  <c r="F63"/>
  <c r="E63"/>
  <c r="D63"/>
  <c r="C63"/>
  <c r="B63"/>
  <c r="S45"/>
  <c r="S29" s="1"/>
  <c r="S66" s="1"/>
  <c r="R45"/>
  <c r="P45"/>
  <c r="O45"/>
  <c r="N45"/>
  <c r="N29" s="1"/>
  <c r="M45"/>
  <c r="L45"/>
  <c r="K45"/>
  <c r="J45"/>
  <c r="J29" s="1"/>
  <c r="I45"/>
  <c r="H45"/>
  <c r="G45"/>
  <c r="E45"/>
  <c r="D45"/>
  <c r="C45"/>
  <c r="C29" s="1"/>
  <c r="B45"/>
  <c r="S30"/>
  <c r="R30"/>
  <c r="P30"/>
  <c r="O30"/>
  <c r="N30"/>
  <c r="M30"/>
  <c r="L30"/>
  <c r="K30"/>
  <c r="J30"/>
  <c r="I30"/>
  <c r="H30"/>
  <c r="G30"/>
  <c r="F30"/>
  <c r="E30"/>
  <c r="D30"/>
  <c r="B30"/>
  <c r="S13"/>
  <c r="R13"/>
  <c r="P13"/>
  <c r="P8" s="1"/>
  <c r="O13"/>
  <c r="O8" s="1"/>
  <c r="N13"/>
  <c r="M13"/>
  <c r="K13"/>
  <c r="K8" s="1"/>
  <c r="J13"/>
  <c r="I13"/>
  <c r="I8" s="1"/>
  <c r="H13"/>
  <c r="G13"/>
  <c r="E13"/>
  <c r="D13"/>
  <c r="S8"/>
  <c r="R8"/>
  <c r="N8"/>
  <c r="M8"/>
  <c r="J8"/>
  <c r="H8"/>
  <c r="G8"/>
  <c r="E8"/>
  <c r="D8"/>
  <c r="C8"/>
  <c r="B8"/>
  <c r="H3" i="19"/>
  <c r="I3" s="1"/>
  <c r="H4"/>
  <c r="I4"/>
  <c r="J4" s="1"/>
  <c r="K4" s="1"/>
  <c r="H5"/>
  <c r="I5" s="1"/>
  <c r="J5" s="1"/>
  <c r="K5" s="1"/>
  <c r="H2"/>
  <c r="I2" s="1"/>
  <c r="N12" i="21"/>
  <c r="N15"/>
  <c r="N16"/>
  <c r="N17"/>
  <c r="N14"/>
  <c r="N6"/>
  <c r="N7"/>
  <c r="N8"/>
  <c r="N9"/>
  <c r="N10"/>
  <c r="N11"/>
  <c r="N5"/>
  <c r="N2"/>
  <c r="G3"/>
  <c r="G4"/>
  <c r="G5"/>
  <c r="G6"/>
  <c r="G7"/>
  <c r="G8"/>
  <c r="G9"/>
  <c r="G10"/>
  <c r="G11"/>
  <c r="G12"/>
  <c r="G13"/>
  <c r="G14"/>
  <c r="G15"/>
  <c r="G16"/>
  <c r="G17"/>
  <c r="G18"/>
  <c r="G3" i="20"/>
  <c r="H3"/>
  <c r="I3" s="1"/>
  <c r="G4"/>
  <c r="H4" s="1"/>
  <c r="I4" s="1"/>
  <c r="G5"/>
  <c r="H5"/>
  <c r="I5" s="1"/>
  <c r="G6"/>
  <c r="H6" s="1"/>
  <c r="I6" s="1"/>
  <c r="G7"/>
  <c r="H7"/>
  <c r="I7" s="1"/>
  <c r="G8"/>
  <c r="H8" s="1"/>
  <c r="I8" s="1"/>
  <c r="I2"/>
  <c r="H2"/>
  <c r="G2"/>
  <c r="G69" i="18"/>
  <c r="H69" s="1"/>
  <c r="I69" s="1"/>
  <c r="R66" i="23" l="1"/>
  <c r="P29"/>
  <c r="K29"/>
  <c r="O29"/>
  <c r="B29"/>
  <c r="E29"/>
  <c r="M29"/>
  <c r="R29"/>
  <c r="D29"/>
  <c r="H29"/>
  <c r="L29"/>
  <c r="I29"/>
  <c r="G29"/>
  <c r="J2" i="19"/>
  <c r="K2" s="1"/>
  <c r="R2" s="1"/>
  <c r="J3"/>
  <c r="K3" s="1"/>
  <c r="L43" i="26" s="1"/>
  <c r="L50" s="1"/>
  <c r="H18" i="21"/>
  <c r="I18" s="1"/>
  <c r="H17"/>
  <c r="H16"/>
  <c r="H15"/>
  <c r="I15" s="1"/>
  <c r="H14"/>
  <c r="I14" s="1"/>
  <c r="H13"/>
  <c r="I13" s="1"/>
  <c r="H12"/>
  <c r="H11"/>
  <c r="I11" s="1"/>
  <c r="H10"/>
  <c r="H9"/>
  <c r="I9" s="1"/>
  <c r="H8"/>
  <c r="I8" s="1"/>
  <c r="H7"/>
  <c r="H6"/>
  <c r="H5"/>
  <c r="I5" s="1"/>
  <c r="H4"/>
  <c r="I4" s="1"/>
  <c r="H3"/>
  <c r="I3" s="1"/>
  <c r="J13" l="1"/>
  <c r="J18"/>
  <c r="J9"/>
  <c r="J4"/>
  <c r="J8"/>
  <c r="I10"/>
  <c r="J10" s="1"/>
  <c r="I16"/>
  <c r="J16" s="1"/>
  <c r="J14"/>
  <c r="J5"/>
  <c r="J3"/>
  <c r="J11"/>
  <c r="J15"/>
  <c r="I6"/>
  <c r="J6" s="1"/>
  <c r="I7"/>
  <c r="J7" s="1"/>
  <c r="I17"/>
  <c r="J17" s="1"/>
  <c r="I12"/>
  <c r="J12" s="1"/>
  <c r="D30" i="3" l="1"/>
  <c r="D29"/>
  <c r="D28"/>
  <c r="F28"/>
  <c r="F29"/>
  <c r="F30"/>
  <c r="C82"/>
  <c r="G2" i="21" l="1"/>
  <c r="G70" i="18"/>
  <c r="H70" s="1"/>
  <c r="I70" s="1"/>
  <c r="G66"/>
  <c r="H66" s="1"/>
  <c r="G65"/>
  <c r="H2" i="21" l="1"/>
  <c r="I66" i="18"/>
  <c r="H65"/>
  <c r="I65" s="1"/>
  <c r="F102" i="1"/>
  <c r="M102"/>
  <c r="G102"/>
  <c r="J2" i="21" l="1"/>
  <c r="I2"/>
  <c r="F101" i="1"/>
  <c r="M101"/>
  <c r="G101"/>
  <c r="K93"/>
  <c r="D27" i="3" l="1"/>
  <c r="D26"/>
  <c r="F27"/>
  <c r="F26"/>
  <c r="G64" i="18"/>
  <c r="H64" s="1"/>
  <c r="I64" s="1"/>
  <c r="G63"/>
  <c r="H63" s="1"/>
  <c r="I63" s="1"/>
  <c r="F130" i="1"/>
  <c r="M130"/>
  <c r="G130"/>
  <c r="F100"/>
  <c r="M100"/>
  <c r="G100"/>
  <c r="K91"/>
  <c r="K89"/>
  <c r="G61" i="18"/>
  <c r="H61" s="1"/>
  <c r="I61" s="1"/>
  <c r="G62"/>
  <c r="H62" s="1"/>
  <c r="I62" s="1"/>
  <c r="G60"/>
  <c r="H60" s="1"/>
  <c r="M33"/>
  <c r="I60" l="1"/>
  <c r="C73" i="3" l="1"/>
  <c r="M128" i="1" l="1"/>
  <c r="G128"/>
  <c r="F128"/>
  <c r="M129"/>
  <c r="G129"/>
  <c r="F129"/>
  <c r="F25" i="3"/>
  <c r="D25"/>
  <c r="F24"/>
  <c r="D24"/>
  <c r="F23"/>
  <c r="D23"/>
  <c r="F22"/>
  <c r="D22"/>
  <c r="C18"/>
  <c r="F99" i="1" l="1"/>
  <c r="M99"/>
  <c r="G99"/>
  <c r="G58" i="18"/>
  <c r="H58" s="1"/>
  <c r="I58" s="1"/>
  <c r="G57"/>
  <c r="H57" s="1"/>
  <c r="I57" s="1"/>
  <c r="G56"/>
  <c r="H56" s="1"/>
  <c r="I56" s="1"/>
  <c r="G55"/>
  <c r="H55" s="1"/>
  <c r="I55" s="1"/>
  <c r="G54"/>
  <c r="H54" s="1"/>
  <c r="I54" s="1"/>
  <c r="K87" i="1"/>
  <c r="I83" i="18" l="1"/>
  <c r="M84" s="1"/>
  <c r="F51" i="23" s="1"/>
  <c r="F45" s="1"/>
  <c r="F29" s="1"/>
  <c r="C15" i="3"/>
  <c r="C49"/>
  <c r="K20" i="1" l="1"/>
  <c r="K18"/>
  <c r="K14"/>
  <c r="F25"/>
  <c r="M25"/>
  <c r="G25"/>
  <c r="K88"/>
  <c r="F127" l="1"/>
  <c r="G127"/>
  <c r="K85"/>
  <c r="K81"/>
  <c r="M127"/>
  <c r="K86"/>
  <c r="G46" i="18" l="1"/>
  <c r="H46" s="1"/>
  <c r="I46" s="1"/>
  <c r="G47"/>
  <c r="H47" s="1"/>
  <c r="I47" s="1"/>
  <c r="G48"/>
  <c r="H48" s="1"/>
  <c r="I48" s="1"/>
  <c r="G49"/>
  <c r="H49" s="1"/>
  <c r="I49" s="1"/>
  <c r="G50"/>
  <c r="H50" s="1"/>
  <c r="I50" s="1"/>
  <c r="G51"/>
  <c r="H51" s="1"/>
  <c r="I51" s="1"/>
  <c r="G52"/>
  <c r="H52" s="1"/>
  <c r="I52" s="1"/>
  <c r="K61" i="1"/>
  <c r="G37" i="18" l="1"/>
  <c r="H37" s="1"/>
  <c r="G44"/>
  <c r="H44" s="1"/>
  <c r="I44" s="1"/>
  <c r="F126" i="1"/>
  <c r="M126"/>
  <c r="G126"/>
  <c r="G42" i="18"/>
  <c r="H42" s="1"/>
  <c r="I42" s="1"/>
  <c r="G43"/>
  <c r="H43" s="1"/>
  <c r="I43" s="1"/>
  <c r="I37" l="1"/>
  <c r="F98" i="1"/>
  <c r="M98"/>
  <c r="G98"/>
  <c r="K84" l="1"/>
  <c r="F125"/>
  <c r="M125"/>
  <c r="G125"/>
  <c r="F97"/>
  <c r="M97"/>
  <c r="G97"/>
  <c r="M121"/>
  <c r="M122"/>
  <c r="M123"/>
  <c r="M124"/>
  <c r="M120"/>
  <c r="C12" i="3"/>
  <c r="F124" i="1"/>
  <c r="G124"/>
  <c r="G38" i="18"/>
  <c r="H38" s="1"/>
  <c r="I38" s="1"/>
  <c r="G36"/>
  <c r="G35"/>
  <c r="G34"/>
  <c r="G33"/>
  <c r="H33" s="1"/>
  <c r="I33" s="1"/>
  <c r="G41"/>
  <c r="H41" s="1"/>
  <c r="I41" s="1"/>
  <c r="G40"/>
  <c r="H40" s="1"/>
  <c r="I40" s="1"/>
  <c r="D66" i="3"/>
  <c r="C69"/>
  <c r="H36" i="18" l="1"/>
  <c r="I36" s="1"/>
  <c r="H35"/>
  <c r="I35" s="1"/>
  <c r="H34"/>
  <c r="I34" s="1"/>
  <c r="F96" i="1"/>
  <c r="M96"/>
  <c r="G96"/>
  <c r="F21" i="5"/>
  <c r="G21"/>
  <c r="E21"/>
  <c r="F19"/>
  <c r="G19"/>
  <c r="F16"/>
  <c r="G16"/>
  <c r="F14"/>
  <c r="G14"/>
  <c r="E19"/>
  <c r="E16"/>
  <c r="E14"/>
  <c r="F12"/>
  <c r="G12"/>
  <c r="E12"/>
  <c r="F10"/>
  <c r="G10"/>
  <c r="E10"/>
  <c r="E8"/>
  <c r="F8"/>
  <c r="G8"/>
  <c r="G18"/>
  <c r="G7"/>
  <c r="G15"/>
  <c r="G13"/>
  <c r="G11"/>
  <c r="G9"/>
  <c r="D71" i="3" l="1"/>
  <c r="C78"/>
  <c r="G123" i="1" l="1"/>
  <c r="F123"/>
  <c r="G122"/>
  <c r="G121"/>
  <c r="G120"/>
  <c r="F122"/>
  <c r="F121"/>
  <c r="F120"/>
  <c r="D148"/>
  <c r="G67" i="5"/>
  <c r="K74" i="1" l="1"/>
  <c r="G28" i="18"/>
  <c r="H28" s="1"/>
  <c r="I28" s="1"/>
  <c r="G29"/>
  <c r="H29" s="1"/>
  <c r="I29" s="1"/>
  <c r="G30"/>
  <c r="H30" s="1"/>
  <c r="I30" s="1"/>
  <c r="G31"/>
  <c r="H31" s="1"/>
  <c r="I31" s="1"/>
  <c r="G27"/>
  <c r="H27" s="1"/>
  <c r="I27" s="1"/>
  <c r="G14"/>
  <c r="H14" s="1"/>
  <c r="I14" s="1"/>
  <c r="G15"/>
  <c r="H15" s="1"/>
  <c r="I15" s="1"/>
  <c r="G16"/>
  <c r="H16" s="1"/>
  <c r="I16" s="1"/>
  <c r="G17"/>
  <c r="H17" s="1"/>
  <c r="I17" s="1"/>
  <c r="G18"/>
  <c r="H18" s="1"/>
  <c r="I18" s="1"/>
  <c r="G19"/>
  <c r="H19" s="1"/>
  <c r="I19" s="1"/>
  <c r="G20"/>
  <c r="H20" s="1"/>
  <c r="I20" s="1"/>
  <c r="G21"/>
  <c r="H21" s="1"/>
  <c r="I21" s="1"/>
  <c r="G22"/>
  <c r="H22" s="1"/>
  <c r="I22" s="1"/>
  <c r="G23"/>
  <c r="H23" s="1"/>
  <c r="I23" s="1"/>
  <c r="G24"/>
  <c r="H24" s="1"/>
  <c r="I24" s="1"/>
  <c r="G25"/>
  <c r="H25" s="1"/>
  <c r="I25" s="1"/>
  <c r="G26"/>
  <c r="H26" s="1"/>
  <c r="I26" s="1"/>
  <c r="G13"/>
  <c r="H13" s="1"/>
  <c r="I13" s="1"/>
  <c r="C9" i="3"/>
  <c r="F24" i="1"/>
  <c r="G24"/>
  <c r="G3" i="18" l="1"/>
  <c r="G4"/>
  <c r="M23" i="1" l="1"/>
  <c r="M24"/>
  <c r="G23"/>
  <c r="F23"/>
  <c r="F95"/>
  <c r="G95"/>
  <c r="F94"/>
  <c r="G94"/>
  <c r="K76"/>
  <c r="L13" i="23" l="1"/>
  <c r="L8" s="1"/>
  <c r="K83" i="1"/>
  <c r="G59" i="5"/>
  <c r="G46"/>
  <c r="K71" i="1" l="1"/>
  <c r="P66" i="23" l="1"/>
  <c r="G93" i="1"/>
  <c r="F93"/>
  <c r="G22"/>
  <c r="F22"/>
  <c r="M22"/>
  <c r="M95"/>
  <c r="M94"/>
  <c r="K78"/>
  <c r="K57" l="1"/>
  <c r="K35" l="1"/>
  <c r="M92"/>
  <c r="M93"/>
  <c r="G92"/>
  <c r="F92"/>
  <c r="M21"/>
  <c r="G21"/>
  <c r="F21"/>
  <c r="C64" i="3" l="1"/>
  <c r="G11" i="18"/>
  <c r="H11" s="1"/>
  <c r="I11" s="1"/>
  <c r="G90" i="1"/>
  <c r="G91"/>
  <c r="F91"/>
  <c r="M91"/>
  <c r="F90"/>
  <c r="M90"/>
  <c r="G10" i="18" l="1"/>
  <c r="H10" l="1"/>
  <c r="I10" s="1"/>
  <c r="G65" i="5"/>
  <c r="G66"/>
  <c r="G45"/>
  <c r="G34"/>
  <c r="G35"/>
  <c r="G36"/>
  <c r="G37"/>
  <c r="G58"/>
  <c r="G7" i="18" l="1"/>
  <c r="G8"/>
  <c r="H8" s="1"/>
  <c r="G9"/>
  <c r="H9" s="1"/>
  <c r="G2"/>
  <c r="H4" l="1"/>
  <c r="I4" s="1"/>
  <c r="H3"/>
  <c r="I3" s="1"/>
  <c r="I8"/>
  <c r="H7"/>
  <c r="I9"/>
  <c r="H2"/>
  <c r="I2" l="1"/>
  <c r="I7"/>
  <c r="K68" i="1"/>
  <c r="K64"/>
  <c r="G89"/>
  <c r="F89"/>
  <c r="M89"/>
  <c r="M20"/>
  <c r="G20"/>
  <c r="F20"/>
  <c r="G88" l="1"/>
  <c r="F88"/>
  <c r="M88"/>
  <c r="C60" i="3" l="1"/>
  <c r="M19" i="1"/>
  <c r="G19"/>
  <c r="F19"/>
  <c r="G87"/>
  <c r="F87"/>
  <c r="M87"/>
  <c r="G86" l="1"/>
  <c r="F86"/>
  <c r="M86"/>
  <c r="M18"/>
  <c r="G18"/>
  <c r="F18"/>
  <c r="K48"/>
  <c r="K17"/>
  <c r="K77"/>
  <c r="G85" l="1"/>
  <c r="F85"/>
  <c r="M85"/>
  <c r="G17" i="5" l="1"/>
  <c r="F6"/>
  <c r="E6"/>
  <c r="G5"/>
  <c r="F69"/>
  <c r="E69"/>
  <c r="G68"/>
  <c r="G64"/>
  <c r="G63"/>
  <c r="G62"/>
  <c r="F61"/>
  <c r="E61"/>
  <c r="G60"/>
  <c r="G57"/>
  <c r="G56"/>
  <c r="G55"/>
  <c r="G54"/>
  <c r="F53"/>
  <c r="E53"/>
  <c r="G52"/>
  <c r="F51"/>
  <c r="E51"/>
  <c r="G51" s="1"/>
  <c r="G50"/>
  <c r="G49"/>
  <c r="F48"/>
  <c r="E48"/>
  <c r="G48" s="1"/>
  <c r="G47"/>
  <c r="G44"/>
  <c r="G43"/>
  <c r="G42"/>
  <c r="G41"/>
  <c r="F40"/>
  <c r="E40"/>
  <c r="G39"/>
  <c r="F38"/>
  <c r="E38"/>
  <c r="G33"/>
  <c r="G32"/>
  <c r="F31"/>
  <c r="E31"/>
  <c r="G30"/>
  <c r="F29"/>
  <c r="E29"/>
  <c r="G28"/>
  <c r="G27"/>
  <c r="G29" l="1"/>
  <c r="G53"/>
  <c r="G61"/>
  <c r="G40"/>
  <c r="G6"/>
  <c r="G69"/>
  <c r="G38"/>
  <c r="G31"/>
  <c r="F71"/>
  <c r="E71"/>
  <c r="G71" l="1"/>
  <c r="E10" i="6"/>
  <c r="G84" i="1" l="1"/>
  <c r="F84"/>
  <c r="M84"/>
  <c r="K16" l="1"/>
  <c r="G83" l="1"/>
  <c r="F83"/>
  <c r="M83"/>
  <c r="K12"/>
  <c r="K75" l="1"/>
  <c r="M17"/>
  <c r="G17"/>
  <c r="F17"/>
  <c r="G66" i="23" l="1"/>
  <c r="G82" i="1"/>
  <c r="F82"/>
  <c r="M82"/>
  <c r="C147" s="1"/>
  <c r="G16" l="1"/>
  <c r="F16"/>
  <c r="M16"/>
  <c r="G81"/>
  <c r="F81"/>
  <c r="M81"/>
  <c r="K72"/>
  <c r="K70" l="1"/>
  <c r="G80"/>
  <c r="F80"/>
  <c r="M80"/>
  <c r="G79" l="1"/>
  <c r="F79"/>
  <c r="M79"/>
  <c r="K55"/>
  <c r="K13"/>
  <c r="K47"/>
  <c r="G78" l="1"/>
  <c r="F78"/>
  <c r="M78"/>
  <c r="E7" i="6" l="1"/>
  <c r="K58" i="1" l="1"/>
  <c r="K69"/>
  <c r="M77"/>
  <c r="G77"/>
  <c r="F77"/>
  <c r="M76"/>
  <c r="G76"/>
  <c r="F76"/>
  <c r="G74" l="1"/>
  <c r="F74"/>
  <c r="M74"/>
  <c r="F75"/>
  <c r="M75"/>
  <c r="G75"/>
  <c r="K66"/>
  <c r="K63" l="1"/>
  <c r="K53"/>
  <c r="H66" i="23" l="1"/>
  <c r="G73" i="1"/>
  <c r="F73"/>
  <c r="M73"/>
  <c r="E11" i="6" l="1"/>
  <c r="E8"/>
  <c r="M72" i="1"/>
  <c r="G72"/>
  <c r="F72"/>
  <c r="M71"/>
  <c r="G71"/>
  <c r="F71"/>
  <c r="M70"/>
  <c r="G70"/>
  <c r="F70" l="1"/>
  <c r="M69"/>
  <c r="G69"/>
  <c r="F69"/>
  <c r="M68"/>
  <c r="F68"/>
  <c r="M67"/>
  <c r="F67"/>
  <c r="M66"/>
  <c r="G66"/>
  <c r="F66"/>
  <c r="M65" l="1"/>
  <c r="G65"/>
  <c r="F65"/>
  <c r="M64"/>
  <c r="F64" l="1"/>
  <c r="M63"/>
  <c r="G63" l="1"/>
  <c r="F63"/>
  <c r="K62"/>
  <c r="M62" s="1"/>
  <c r="G62"/>
  <c r="F62"/>
  <c r="M61"/>
  <c r="B148" l="1"/>
  <c r="G61"/>
  <c r="F61"/>
  <c r="M60"/>
  <c r="G60"/>
  <c r="F60"/>
  <c r="M59"/>
  <c r="F59"/>
  <c r="M58"/>
  <c r="F58"/>
  <c r="M57"/>
  <c r="G57"/>
  <c r="F57"/>
  <c r="K56"/>
  <c r="M56" s="1"/>
  <c r="F56"/>
  <c r="M55"/>
  <c r="F55"/>
  <c r="M54"/>
  <c r="F54"/>
  <c r="M53"/>
  <c r="F53"/>
  <c r="M52"/>
  <c r="F52"/>
  <c r="M51"/>
  <c r="F51"/>
  <c r="M50"/>
  <c r="G50"/>
  <c r="F50" l="1"/>
  <c r="K49"/>
  <c r="M49" s="1"/>
  <c r="F49"/>
  <c r="M48"/>
  <c r="G48"/>
  <c r="F48"/>
  <c r="M47"/>
  <c r="G47"/>
  <c r="F47" l="1"/>
  <c r="K46"/>
  <c r="M46" s="1"/>
  <c r="G46"/>
  <c r="F46"/>
  <c r="M45"/>
  <c r="G45"/>
  <c r="F45"/>
  <c r="M44"/>
  <c r="G44"/>
  <c r="F44"/>
  <c r="M43"/>
  <c r="F43"/>
  <c r="M42"/>
  <c r="F42"/>
  <c r="K41"/>
  <c r="M41" s="1"/>
  <c r="F41"/>
  <c r="K40" l="1"/>
  <c r="M40" s="1"/>
  <c r="F40"/>
  <c r="M39"/>
  <c r="F39"/>
  <c r="K38"/>
  <c r="M38" s="1"/>
  <c r="F38"/>
  <c r="M37"/>
  <c r="K37"/>
  <c r="F37"/>
  <c r="M36"/>
  <c r="F36"/>
  <c r="M35"/>
  <c r="F35"/>
  <c r="K34" l="1"/>
  <c r="M34" s="1"/>
  <c r="F34"/>
  <c r="M33"/>
  <c r="G33"/>
  <c r="F33"/>
  <c r="M15"/>
  <c r="F15"/>
  <c r="M14"/>
  <c r="F14"/>
  <c r="M13"/>
  <c r="F13"/>
  <c r="M12"/>
  <c r="G12"/>
  <c r="F12"/>
  <c r="M11"/>
  <c r="G11"/>
  <c r="F11"/>
  <c r="K10"/>
  <c r="M10" s="1"/>
  <c r="C148" l="1"/>
  <c r="F10"/>
  <c r="M9"/>
  <c r="G9"/>
  <c r="F9"/>
  <c r="K8"/>
  <c r="M8" s="1"/>
  <c r="F8"/>
  <c r="M7"/>
  <c r="G7"/>
  <c r="F7"/>
  <c r="M6"/>
  <c r="F6"/>
  <c r="M5"/>
  <c r="F5"/>
  <c r="K4"/>
  <c r="M4" s="1"/>
  <c r="J4"/>
  <c r="F4"/>
  <c r="A1" i="3" l="1"/>
  <c r="O66" i="23" l="1"/>
  <c r="N66" l="1"/>
  <c r="M66"/>
  <c r="I66" l="1"/>
  <c r="D66"/>
  <c r="F66" l="1"/>
  <c r="F69" s="1"/>
  <c r="E66"/>
  <c r="B66"/>
  <c r="K66"/>
  <c r="J66" l="1"/>
  <c r="C66"/>
  <c r="C69" s="1"/>
  <c r="L66"/>
  <c r="I32" i="30"/>
  <c r="B5"/>
  <c r="B18" s="1"/>
</calcChain>
</file>

<file path=xl/sharedStrings.xml><?xml version="1.0" encoding="utf-8"?>
<sst xmlns="http://schemas.openxmlformats.org/spreadsheetml/2006/main" count="4681" uniqueCount="1409">
  <si>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</si>
  <si>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</si>
  <si>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</si>
  <si>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</si>
  <si>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</si>
  <si>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</si>
  <si>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</si>
  <si>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</si>
  <si>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</si>
  <si>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</si>
  <si>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</si>
  <si>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</si>
  <si>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</si>
  <si>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</si>
  <si>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</si>
  <si>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</si>
  <si>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</si>
  <si>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</si>
  <si>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EX150015</t>
  </si>
  <si>
    <t>USD</t>
  </si>
  <si>
    <t>ERRAFIK</t>
  </si>
  <si>
    <t>EL HARAMAINE</t>
  </si>
  <si>
    <t>EX160002</t>
  </si>
  <si>
    <t>EX160003</t>
  </si>
  <si>
    <t>EX160004</t>
  </si>
  <si>
    <t>EX160005</t>
  </si>
  <si>
    <t>FN110017</t>
  </si>
  <si>
    <t>FN150083</t>
  </si>
  <si>
    <t>FN150084</t>
  </si>
  <si>
    <t>FN150085</t>
  </si>
  <si>
    <t>FN160001</t>
  </si>
  <si>
    <t>FN160002</t>
  </si>
  <si>
    <t>FN160003</t>
  </si>
  <si>
    <t>FN160007</t>
  </si>
  <si>
    <t>FN160008</t>
  </si>
  <si>
    <t>FN160009</t>
  </si>
  <si>
    <t>FN160010</t>
  </si>
  <si>
    <t>FN160011</t>
  </si>
  <si>
    <t>FN160012</t>
  </si>
  <si>
    <t>EX160006</t>
  </si>
  <si>
    <t>FN160016</t>
  </si>
  <si>
    <t>FN160017</t>
  </si>
  <si>
    <t>FN160018</t>
  </si>
  <si>
    <t>FN160022</t>
  </si>
  <si>
    <t>EX160007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</si>
  <si>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</si>
  <si>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</si>
  <si>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</si>
  <si>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</si>
  <si>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</si>
  <si>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</si>
  <si>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</si>
  <si>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</si>
  <si>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</si>
  <si>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</si>
  <si>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</si>
  <si>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</si>
  <si>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</si>
  <si>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</si>
  <si>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STCM</t>
  </si>
  <si>
    <t>Metaconcept</t>
  </si>
  <si>
    <t>Daramic</t>
  </si>
  <si>
    <t>Goonvean</t>
  </si>
  <si>
    <t>Accuma</t>
  </si>
  <si>
    <t>Akumsan</t>
  </si>
  <si>
    <t>Sovema</t>
  </si>
  <si>
    <t>Glatfelter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</si>
  <si>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</si>
  <si>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</si>
  <si>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</si>
  <si>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</si>
  <si>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</si>
  <si>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</si>
  <si>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</si>
  <si>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</si>
  <si>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</si>
  <si>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</si>
  <si>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DATE FACTURE</t>
  </si>
  <si>
    <t>TOTAL</t>
  </si>
  <si>
    <t>S N A</t>
  </si>
  <si>
    <t>FN160023</t>
  </si>
  <si>
    <t>FN160026</t>
  </si>
  <si>
    <t>FN160027</t>
  </si>
  <si>
    <t>FN160025</t>
  </si>
  <si>
    <t>EX160008</t>
  </si>
  <si>
    <t>EX160009</t>
  </si>
  <si>
    <t>FN160031</t>
  </si>
  <si>
    <t>FN160032</t>
  </si>
  <si>
    <t>FN160033</t>
  </si>
  <si>
    <t>EX160010</t>
  </si>
  <si>
    <t>CMT</t>
  </si>
  <si>
    <t>Fournisseurs</t>
  </si>
  <si>
    <t>Traite SNA</t>
  </si>
  <si>
    <t>Traite STA</t>
  </si>
  <si>
    <t>Leasing</t>
  </si>
  <si>
    <t>Steg</t>
  </si>
  <si>
    <t>Salaires</t>
  </si>
  <si>
    <t>Recette des Finances</t>
  </si>
  <si>
    <t>Local</t>
  </si>
  <si>
    <t>Escompte</t>
  </si>
  <si>
    <t>Espece</t>
  </si>
  <si>
    <t>Cheque</t>
  </si>
  <si>
    <t>STB TH</t>
  </si>
  <si>
    <t>STB MEG</t>
  </si>
  <si>
    <t>STB</t>
  </si>
  <si>
    <t>STUSID</t>
  </si>
  <si>
    <t>SND</t>
  </si>
  <si>
    <t>INT</t>
  </si>
  <si>
    <t>PP</t>
  </si>
  <si>
    <t>Total</t>
  </si>
  <si>
    <t>Intérêt</t>
  </si>
  <si>
    <t>Principal</t>
  </si>
  <si>
    <t>Crédit</t>
  </si>
  <si>
    <t>SNA-NOUR</t>
  </si>
  <si>
    <t>STA-NOUR</t>
  </si>
  <si>
    <t>STA NOUR</t>
  </si>
  <si>
    <t>Observation</t>
  </si>
  <si>
    <t>Date MEP</t>
  </si>
  <si>
    <t>Montant en dinars</t>
  </si>
  <si>
    <t>Cours</t>
  </si>
  <si>
    <t>Montant en devise</t>
  </si>
  <si>
    <t>Fournisseur</t>
  </si>
  <si>
    <t>FINANCEMENTS DE DEVISE IMPORT</t>
  </si>
  <si>
    <t>TIP</t>
  </si>
  <si>
    <t>BTK</t>
  </si>
  <si>
    <t>FN160034</t>
  </si>
  <si>
    <t>FONDERIE</t>
  </si>
  <si>
    <t xml:space="preserve">STB </t>
  </si>
  <si>
    <t>Dividendes</t>
  </si>
  <si>
    <t>PHENICIA</t>
  </si>
  <si>
    <t>Fonderie</t>
  </si>
  <si>
    <t>CCA</t>
  </si>
  <si>
    <t>COPI  AUTOS</t>
  </si>
  <si>
    <t>3R18061</t>
  </si>
  <si>
    <t>JALEL BEN AHMED EL GABSI</t>
  </si>
  <si>
    <t>1R05103</t>
  </si>
  <si>
    <t>STE ELECTRICIA AUTO</t>
  </si>
  <si>
    <t>4R12236</t>
  </si>
  <si>
    <t>STE L'HORIZON DE PIECES DE</t>
  </si>
  <si>
    <t>1R05171</t>
  </si>
  <si>
    <t>FAOUZI MECHRGUI</t>
  </si>
  <si>
    <t>SOCIETE ULTRA SERVICE</t>
  </si>
  <si>
    <t>Echéance</t>
  </si>
  <si>
    <t>Nom</t>
  </si>
  <si>
    <t>Adr fact</t>
  </si>
  <si>
    <t>MOHAMED NACEUR ABDELLI</t>
  </si>
  <si>
    <t>SAHAR BT HABIB HAJ MAHMOUD</t>
  </si>
  <si>
    <t>4R15042</t>
  </si>
  <si>
    <t>ETS. JEDIDI RIADH</t>
  </si>
  <si>
    <t>4R12147</t>
  </si>
  <si>
    <t>SOCIETE PIECE AUTO ESSAID</t>
  </si>
  <si>
    <t>1R06103</t>
  </si>
  <si>
    <t>STE COMPTOIR NORD DE PIECES</t>
  </si>
  <si>
    <t>MOHAMED ZARAGA  Z P A</t>
  </si>
  <si>
    <t>STE CDTPR</t>
  </si>
  <si>
    <t>FATHI NAJJAR</t>
  </si>
  <si>
    <t>ETS RACHED KALBOUSSI</t>
  </si>
  <si>
    <t>4R13083</t>
  </si>
  <si>
    <t>MAKNI HANEN</t>
  </si>
  <si>
    <t>3R18373</t>
  </si>
  <si>
    <t>ANIS BEN KHALIPHA RHAIEM</t>
  </si>
  <si>
    <t>3R15038</t>
  </si>
  <si>
    <t>MED MAJID B.ABDESSALEM</t>
  </si>
  <si>
    <t>6R21066</t>
  </si>
  <si>
    <t>SIRAJ BEN ZINA</t>
  </si>
  <si>
    <t>3R18072</t>
  </si>
  <si>
    <t>ZNAIDI HASSINE</t>
  </si>
  <si>
    <t>MANAI WAHID</t>
  </si>
  <si>
    <t>MAHDI BEN ELHEDI</t>
  </si>
  <si>
    <t>ISMAIL TOUNSI</t>
  </si>
  <si>
    <t>3R18104</t>
  </si>
  <si>
    <t>GUIDARA ABDALLAH</t>
  </si>
  <si>
    <t>3R18264</t>
  </si>
  <si>
    <t>ALI YAHYAOUI</t>
  </si>
  <si>
    <t>NAJET BEN MOHAMED BEN HRIZ</t>
  </si>
  <si>
    <t>COMPTOIR METOUIEN AUTOMOBILE</t>
  </si>
  <si>
    <t>DABBOUSSI MUSTAPHA</t>
  </si>
  <si>
    <t>KOUKI FAOUZI</t>
  </si>
  <si>
    <t>ALI BEN AHMED CHAABANI</t>
  </si>
  <si>
    <t>7R16027</t>
  </si>
  <si>
    <t>MOUHAMED GDEMME</t>
  </si>
  <si>
    <t>SOCIETE AUTOS PIECES</t>
  </si>
  <si>
    <t>LES EQUIPEMENTS MARITIMES DE</t>
  </si>
  <si>
    <t>STE CHERIF ELECTRICITE AUTO</t>
  </si>
  <si>
    <t>STE. COMMERCIALE DES PIECES</t>
  </si>
  <si>
    <t>STE SO CO PA</t>
  </si>
  <si>
    <t>STE MED ALI DE PIECES DE</t>
  </si>
  <si>
    <t>BOUAZIZ SLAH</t>
  </si>
  <si>
    <t>AYMEN BEN HAMMADI BENAMOR</t>
  </si>
  <si>
    <t>SAMIR BEN SLIMEN AOUADI</t>
  </si>
  <si>
    <t>TAIEB GHRIBI</t>
  </si>
  <si>
    <t>6R23048</t>
  </si>
  <si>
    <t>STE EQUIP.INDUSTRIEL &amp; MARIT</t>
  </si>
  <si>
    <t>STE ARFA AUTO PLUS</t>
  </si>
  <si>
    <t>AWADNI MAATOUG</t>
  </si>
  <si>
    <t>STE SLIM VENTE PIECES AUTOS</t>
  </si>
  <si>
    <t>3R18380</t>
  </si>
  <si>
    <t>BELEL HABIB</t>
  </si>
  <si>
    <t>3R18120</t>
  </si>
  <si>
    <t>STE MDIALE PCE AUTOMOBILES</t>
  </si>
  <si>
    <t>NEGGAZ MONGI</t>
  </si>
  <si>
    <t>4R13090</t>
  </si>
  <si>
    <t>STE MAHDIA AUTO</t>
  </si>
  <si>
    <t>4R15037</t>
  </si>
  <si>
    <t>HAJJAJI NASREDDINE</t>
  </si>
  <si>
    <t>ZEYNEB BEN MOHAMED HEDI SAID</t>
  </si>
  <si>
    <t>SOCIETE MANNAI BATIMENT</t>
  </si>
  <si>
    <t>4R13028</t>
  </si>
  <si>
    <t>STE GLOBAL PIECES AUTOS</t>
  </si>
  <si>
    <t>1R02243</t>
  </si>
  <si>
    <t>SOUADI ABDELKADER</t>
  </si>
  <si>
    <t>MOHAMED AMINE BEN AMOR</t>
  </si>
  <si>
    <t>3R18375</t>
  </si>
  <si>
    <t>STE ARIJ PIECES AUTOS</t>
  </si>
  <si>
    <t>SALEM AGIL</t>
  </si>
  <si>
    <t>7R16041</t>
  </si>
  <si>
    <t>SMPA MASMOUDI PIECES AUTOS</t>
  </si>
  <si>
    <t>1R02238</t>
  </si>
  <si>
    <t>STE.GUEDRI MOHSEN ET FRERES</t>
  </si>
  <si>
    <t>RIDHA BEN ALI MENSI</t>
  </si>
  <si>
    <t>HAOUARI CHOKRI</t>
  </si>
  <si>
    <t>SOCIETE ALI PIECES AUTOS</t>
  </si>
  <si>
    <t>3R18337</t>
  </si>
  <si>
    <t>ETAB. FARHAT BOUJELBAN</t>
  </si>
  <si>
    <t>3R18101</t>
  </si>
  <si>
    <t>STE IDEALE PIECES AUTOS SIPA</t>
  </si>
  <si>
    <t>3R18367</t>
  </si>
  <si>
    <t>WAJDI BOUZGENDA</t>
  </si>
  <si>
    <t>3R18123</t>
  </si>
  <si>
    <t>STE DOGHRI AL BARAKA</t>
  </si>
  <si>
    <t>AMOR BEN ABDRAHMENE BIBANI</t>
  </si>
  <si>
    <t>MOHAMED HEDI TALBI</t>
  </si>
  <si>
    <t>TAHER KABOUS ROYAL AUTO</t>
  </si>
  <si>
    <t>BOURAOUI LAMTI</t>
  </si>
  <si>
    <t>SO.CO.PI</t>
  </si>
  <si>
    <t>MAKREM ZAMMALI</t>
  </si>
  <si>
    <t>FIDHA AMINE B FATHI B HEDI</t>
  </si>
  <si>
    <t>JILANI BEN AHMED CHNINA</t>
  </si>
  <si>
    <t>PIECES AUTOS BEN ALAYA MED</t>
  </si>
  <si>
    <t>BAAZAOUI SALAH</t>
  </si>
  <si>
    <t>3R14079</t>
  </si>
  <si>
    <t>STE RANEN.PIECES DE RECHANGE</t>
  </si>
  <si>
    <t>3R18389</t>
  </si>
  <si>
    <t>3R18097</t>
  </si>
  <si>
    <t>HELA FERJANI NEE AJMI</t>
  </si>
  <si>
    <t>SOCIETE HNIA</t>
  </si>
  <si>
    <t>CHEDLY AOUINI</t>
  </si>
  <si>
    <t>STE HADDAD PIECES.RECHANGES</t>
  </si>
  <si>
    <t>MONDHER MEFTAH</t>
  </si>
  <si>
    <t>RAMEH JAMILA BEN SADOK</t>
  </si>
  <si>
    <t>STE ALBOURAQ PIECES AUTO</t>
  </si>
  <si>
    <t>STE COGEPA</t>
  </si>
  <si>
    <t>HASSINI AHMED BEN MOHAMED</t>
  </si>
  <si>
    <t>STE SUD EQUIPEMENT MARITINE</t>
  </si>
  <si>
    <t>6R23150</t>
  </si>
  <si>
    <t>HACHICHA THAMEUR</t>
  </si>
  <si>
    <t>3R18053</t>
  </si>
  <si>
    <t>COMPTOIR ABDENNADHER</t>
  </si>
  <si>
    <t>3R18047</t>
  </si>
  <si>
    <t>BEJI CHEDLY</t>
  </si>
  <si>
    <t>HAIKEL BEN MOULDI ESSAHLI</t>
  </si>
  <si>
    <t>STE SPAMM</t>
  </si>
  <si>
    <t>3R18349</t>
  </si>
  <si>
    <t>SOUAD BENT HEDI KALAI</t>
  </si>
  <si>
    <t>JALELEDDINE B SALEM ZERELLI</t>
  </si>
  <si>
    <t>MOURAD BEN GACEM NALOUTI</t>
  </si>
  <si>
    <t>ABICHOU ABDELFATTAH</t>
  </si>
  <si>
    <t>6R23098</t>
  </si>
  <si>
    <t>IMED BEN ZEKRI</t>
  </si>
  <si>
    <t>BOUCHADDAKH KHALED</t>
  </si>
  <si>
    <t>7R20002</t>
  </si>
  <si>
    <t>FAOUZI BEN ALI AKROUT</t>
  </si>
  <si>
    <t>BELGACEM BEN SMIDA</t>
  </si>
  <si>
    <t>7R22003</t>
  </si>
  <si>
    <t>LIMEME FATHI BEN KHLIFA</t>
  </si>
  <si>
    <t>4R12214</t>
  </si>
  <si>
    <t>STE.MAGHR. DE PIECES DE RECH</t>
  </si>
  <si>
    <t>4R12104</t>
  </si>
  <si>
    <t>NEJI EL JAZI</t>
  </si>
  <si>
    <t>STE HAMI AUTO</t>
  </si>
  <si>
    <t>AMEL ZGUIDENE EP SADFI</t>
  </si>
  <si>
    <t>ABDELKADER MOEZ BEN LAMINE</t>
  </si>
  <si>
    <t>1R12003</t>
  </si>
  <si>
    <t>FN160042</t>
  </si>
  <si>
    <t>EX160011</t>
  </si>
  <si>
    <t>EX160012</t>
  </si>
  <si>
    <t>FN160038</t>
  </si>
  <si>
    <t>FN160039</t>
  </si>
  <si>
    <t>FN160040</t>
  </si>
  <si>
    <t>FN160041</t>
  </si>
  <si>
    <t>CNSS</t>
  </si>
  <si>
    <t>MOHAMED BEN MOHAMED SAMIR</t>
  </si>
  <si>
    <t>BEJI FAYCEL</t>
  </si>
  <si>
    <t>VENTE DEVISE</t>
  </si>
  <si>
    <t>Biasin</t>
  </si>
  <si>
    <t>FN160046</t>
  </si>
  <si>
    <t>FN160050</t>
  </si>
  <si>
    <t>FN160051</t>
  </si>
  <si>
    <t>7R17046</t>
  </si>
  <si>
    <t>THAMEUR CHAGRAOUI</t>
  </si>
  <si>
    <t>FN160045</t>
  </si>
  <si>
    <t>FN160054</t>
  </si>
  <si>
    <t>FN160053</t>
  </si>
  <si>
    <t>FN160055</t>
  </si>
  <si>
    <t>FN160052</t>
  </si>
  <si>
    <t>FN160058</t>
  </si>
  <si>
    <t>FN160059</t>
  </si>
  <si>
    <t>1R02097</t>
  </si>
  <si>
    <t>ESSAIED SALAH</t>
  </si>
  <si>
    <t>7R22039</t>
  </si>
  <si>
    <t>STE AL BARAKA EQUIP.GENERALE</t>
  </si>
  <si>
    <t>3R18207</t>
  </si>
  <si>
    <t>SMAOUI MOHSEN</t>
  </si>
  <si>
    <t>4R14056</t>
  </si>
  <si>
    <t>MEHREZ BEN MOHAMED GUIZANI</t>
  </si>
  <si>
    <t>STE SUD MOTORS SRVIVES AUTO</t>
  </si>
  <si>
    <t>NAJET BENT SALAH ZAMELI</t>
  </si>
  <si>
    <t>4R12228</t>
  </si>
  <si>
    <t>SOCIETE DARDOUR ET FILS</t>
  </si>
  <si>
    <t>SOCIETE DRIDI AUTO (SDA)</t>
  </si>
  <si>
    <t>STE M W AUTO'S</t>
  </si>
  <si>
    <t>7R19061</t>
  </si>
  <si>
    <t>STE GENERALE AUTO DU SUD</t>
  </si>
  <si>
    <t>FN160060</t>
  </si>
  <si>
    <t>EL HARAMAIN</t>
  </si>
  <si>
    <t>FN160066</t>
  </si>
  <si>
    <t>FN160065</t>
  </si>
  <si>
    <t>FN160067</t>
  </si>
  <si>
    <t>FN160068</t>
  </si>
  <si>
    <t>STE COMPT EQUIP AUTOS</t>
  </si>
  <si>
    <t>Metalliance</t>
  </si>
  <si>
    <t>FN160069</t>
  </si>
  <si>
    <t>FN160072</t>
  </si>
  <si>
    <t>FN160075</t>
  </si>
  <si>
    <t>FN160076</t>
  </si>
  <si>
    <t>EX160014</t>
  </si>
  <si>
    <t>GENERALE ELECT.AUTOMOBILE</t>
  </si>
  <si>
    <t>1R01551</t>
  </si>
  <si>
    <t>STE AYOUB DE PIECES AUTOS</t>
  </si>
  <si>
    <t>STE FOURAT DE PIECES AUTO</t>
  </si>
  <si>
    <t>AYMEN BEN EZZEDDINE DAOUDI</t>
  </si>
  <si>
    <t>GROCOMA</t>
  </si>
  <si>
    <t>LAHMAR KAIES</t>
  </si>
  <si>
    <t>FN160077</t>
  </si>
  <si>
    <t>RESTETUTION TVA</t>
  </si>
  <si>
    <t>Credit de gestion: FED</t>
  </si>
  <si>
    <t>EX160015</t>
  </si>
  <si>
    <t>EURO MEG</t>
  </si>
  <si>
    <t>FN160082</t>
  </si>
  <si>
    <t>FN160084</t>
  </si>
  <si>
    <t>ECHEANCIER 2017</t>
  </si>
  <si>
    <t>TOTAL 2017</t>
  </si>
  <si>
    <t>Total 01/2017</t>
  </si>
  <si>
    <t>Total 02/2017</t>
  </si>
  <si>
    <t>Total 03/2017</t>
  </si>
  <si>
    <t>Total 05/2017</t>
  </si>
  <si>
    <t>Total 06/2017</t>
  </si>
  <si>
    <t>Total 07/2017</t>
  </si>
  <si>
    <t>REGLEMENT FINAL</t>
  </si>
  <si>
    <t>Total 08/2017</t>
  </si>
  <si>
    <t>Total 09/2017</t>
  </si>
  <si>
    <t>Total 12/2017</t>
  </si>
  <si>
    <t>AU 31/12/2016</t>
  </si>
  <si>
    <t>KARAOULI PIECES DE RECHANGES</t>
  </si>
  <si>
    <t>1r06020</t>
  </si>
  <si>
    <t>AHMED BEN ALI TEKAYA</t>
  </si>
  <si>
    <t>4R14047</t>
  </si>
  <si>
    <t>EL BARAKA VENTE PIECES RECH.</t>
  </si>
  <si>
    <t>1r02148</t>
  </si>
  <si>
    <t>4R13135</t>
  </si>
  <si>
    <t>ZIED ABDELMALEK</t>
  </si>
  <si>
    <t>1r03131</t>
  </si>
  <si>
    <t>1r04141</t>
  </si>
  <si>
    <t>1r02150</t>
  </si>
  <si>
    <t>1r02247</t>
  </si>
  <si>
    <t>6R21169</t>
  </si>
  <si>
    <t>STE MBABET AUTO</t>
  </si>
  <si>
    <t>8r11072</t>
  </si>
  <si>
    <t>ALI BEN BRAHIM HAMMAMI</t>
  </si>
  <si>
    <t>1r04121</t>
  </si>
  <si>
    <t>1r02231</t>
  </si>
  <si>
    <t>1r02257</t>
  </si>
  <si>
    <t>1r04136</t>
  </si>
  <si>
    <t>1r02224</t>
  </si>
  <si>
    <t>8r10047</t>
  </si>
  <si>
    <t>8r09020</t>
  </si>
  <si>
    <t>1r02245</t>
  </si>
  <si>
    <t>3R18234</t>
  </si>
  <si>
    <t>1r01551</t>
  </si>
  <si>
    <t>TAHER MESTIRI</t>
  </si>
  <si>
    <t>1r02199</t>
  </si>
  <si>
    <t>1r05103</t>
  </si>
  <si>
    <t>Sorfin</t>
  </si>
  <si>
    <t>FN160090</t>
  </si>
  <si>
    <t>EX170001</t>
  </si>
  <si>
    <t>FN170001</t>
  </si>
  <si>
    <t>FN170006</t>
  </si>
  <si>
    <t xml:space="preserve">ENERTECH </t>
  </si>
  <si>
    <t>EX170002</t>
  </si>
  <si>
    <t>FN170007</t>
  </si>
  <si>
    <t>4R13132</t>
  </si>
  <si>
    <t>STE GENERALE EQUIP.MARITIME</t>
  </si>
  <si>
    <t>6r23155</t>
  </si>
  <si>
    <t>JERIDI MOURAD BEN BELGACEM</t>
  </si>
  <si>
    <t>8r08037</t>
  </si>
  <si>
    <t>1r01161</t>
  </si>
  <si>
    <t>1r06038</t>
  </si>
  <si>
    <t>1r03149</t>
  </si>
  <si>
    <t>8r10044</t>
  </si>
  <si>
    <t>7R17011</t>
  </si>
  <si>
    <t>1r03074</t>
  </si>
  <si>
    <t>7R19071</t>
  </si>
  <si>
    <t>8r08026</t>
  </si>
  <si>
    <t>1r01445</t>
  </si>
  <si>
    <t>1r09019</t>
  </si>
  <si>
    <t>MONCEF ZARRAGA</t>
  </si>
  <si>
    <t>STUFEME</t>
  </si>
  <si>
    <t>NAMOUCHI MARIEM</t>
  </si>
  <si>
    <t>$ MEG</t>
  </si>
  <si>
    <t>STE ZORGATI VEHICULES</t>
  </si>
  <si>
    <t>EX170003</t>
  </si>
  <si>
    <t>FN170008</t>
  </si>
  <si>
    <t>Date de Liv</t>
  </si>
  <si>
    <t>Desc Art</t>
  </si>
  <si>
    <t>UN</t>
  </si>
  <si>
    <t>Qté Liv / STA NOUR</t>
  </si>
  <si>
    <t>Px UN / TND</t>
  </si>
  <si>
    <t>Société</t>
  </si>
  <si>
    <t>Px Tot / TND</t>
  </si>
  <si>
    <t>TVA 18%</t>
  </si>
  <si>
    <t>Tot. TTC</t>
  </si>
  <si>
    <t>Mode de Paiement</t>
  </si>
  <si>
    <t>Réf. Pièce de Règ</t>
  </si>
  <si>
    <t>Banque</t>
  </si>
  <si>
    <t>KG</t>
  </si>
  <si>
    <t>CH</t>
  </si>
  <si>
    <t>VIEUX PLOMB</t>
  </si>
  <si>
    <t>ETAIN</t>
  </si>
  <si>
    <t>6R23152</t>
  </si>
  <si>
    <t>GHRIBI ABDELMOUTALAB B.AMMAR</t>
  </si>
  <si>
    <t>8r09054</t>
  </si>
  <si>
    <t>1S02073</t>
  </si>
  <si>
    <t>NOUREDDINE B MOHAMOUD KNIOUA</t>
  </si>
  <si>
    <t>1r02238</t>
  </si>
  <si>
    <t>1r05173</t>
  </si>
  <si>
    <t>1r04138</t>
  </si>
  <si>
    <t>FN170013</t>
  </si>
  <si>
    <t>FN170014</t>
  </si>
  <si>
    <t>STE RESSIFI DES PIECES AUTOS</t>
  </si>
  <si>
    <t>1R06125</t>
  </si>
  <si>
    <t>3r18120</t>
  </si>
  <si>
    <t>3eme et derniere</t>
  </si>
  <si>
    <t>GARA NABIL BEN BECHIR</t>
  </si>
  <si>
    <t>1r07013</t>
  </si>
  <si>
    <t>ETABLISSEMENT HABIB BEN NASR</t>
  </si>
  <si>
    <t>1r07041</t>
  </si>
  <si>
    <t>1r02263</t>
  </si>
  <si>
    <t>EX170004</t>
  </si>
  <si>
    <t>FN170017</t>
  </si>
  <si>
    <t>INOX</t>
  </si>
  <si>
    <t>HAROUNI HAFSIA BT MOHAMED</t>
  </si>
  <si>
    <t>6R23143</t>
  </si>
  <si>
    <t>6R23151</t>
  </si>
  <si>
    <t>STE MAIS</t>
  </si>
  <si>
    <t>STE SIPRAMA</t>
  </si>
  <si>
    <t>MONGI BEN BRAHIM</t>
  </si>
  <si>
    <t>STE OCTOBUS</t>
  </si>
  <si>
    <t>1r06159</t>
  </si>
  <si>
    <t>HAJRI FAYCEL</t>
  </si>
  <si>
    <t>FN170020</t>
  </si>
  <si>
    <t>1r01550</t>
  </si>
  <si>
    <t>1r02193</t>
  </si>
  <si>
    <t>KHALED DRIDI</t>
  </si>
  <si>
    <t>1r02236</t>
  </si>
  <si>
    <t>6R21074</t>
  </si>
  <si>
    <t>1r01292</t>
  </si>
  <si>
    <t>AJIMI YASSINE  CYBER</t>
  </si>
  <si>
    <t>1R05195</t>
  </si>
  <si>
    <t>1r02250</t>
  </si>
  <si>
    <t>STE GAMA AUTO</t>
  </si>
  <si>
    <t>1r05211</t>
  </si>
  <si>
    <t>STE EL HAMDI PIECES.RECHANGE</t>
  </si>
  <si>
    <t>3R18254</t>
  </si>
  <si>
    <t>MOHAMED KCHAOU</t>
  </si>
  <si>
    <t>NAILA BEN AHMED JEMAI</t>
  </si>
  <si>
    <t>1r04128</t>
  </si>
  <si>
    <t>3R18336</t>
  </si>
  <si>
    <t>STE PIECES AUTOS JAPONAISES</t>
  </si>
  <si>
    <t>3R18396</t>
  </si>
  <si>
    <t>STE HAJ TAIEB PIECES.RECHANG</t>
  </si>
  <si>
    <t>4R12261</t>
  </si>
  <si>
    <t>STE BEN MARIEM AUTO</t>
  </si>
  <si>
    <t>4R13115</t>
  </si>
  <si>
    <t>SOCIETE WORLD PARTS</t>
  </si>
  <si>
    <t>1r06136</t>
  </si>
  <si>
    <t xml:space="preserve"> </t>
  </si>
  <si>
    <t>HEMP</t>
  </si>
  <si>
    <t>HEMPE</t>
  </si>
  <si>
    <t>DECHET BATTERIE</t>
  </si>
  <si>
    <t>EX170005</t>
  </si>
  <si>
    <t>FN170024</t>
  </si>
  <si>
    <t>FN170025</t>
  </si>
  <si>
    <t>EX170006</t>
  </si>
  <si>
    <t>EX170007</t>
  </si>
  <si>
    <t>1R05042</t>
  </si>
  <si>
    <t>1r06141</t>
  </si>
  <si>
    <t>1R02185</t>
  </si>
  <si>
    <t>STE DES PIECES DE RECHANGE</t>
  </si>
  <si>
    <t>3R18384</t>
  </si>
  <si>
    <t>ETS.AMOR SGHAIER ET CIE</t>
  </si>
  <si>
    <t>4R13031</t>
  </si>
  <si>
    <t>1r02232</t>
  </si>
  <si>
    <t>HAMDA MALEK BEN JILANI</t>
  </si>
  <si>
    <t>4R14050</t>
  </si>
  <si>
    <t>1R05071</t>
  </si>
  <si>
    <t>1R05211</t>
  </si>
  <si>
    <t>1R02174</t>
  </si>
  <si>
    <t>6R23155</t>
  </si>
  <si>
    <t>1R02239</t>
  </si>
  <si>
    <t>AOUINI SAFOUANE</t>
  </si>
  <si>
    <t>1r02264</t>
  </si>
  <si>
    <t>1r02243</t>
  </si>
  <si>
    <t>SOCIETE BOUJNAH</t>
  </si>
  <si>
    <t>1r02225</t>
  </si>
  <si>
    <t>STE PIECES.RECH.FRANCAISE</t>
  </si>
  <si>
    <t>8r10052</t>
  </si>
  <si>
    <t>AOUADI ABDELKARIM</t>
  </si>
  <si>
    <t>EZZEDDINE LETIFI</t>
  </si>
  <si>
    <t>RIAHI TAREK B HMIDA B MED</t>
  </si>
  <si>
    <t>1r03157</t>
  </si>
  <si>
    <t>STE CENTRE NAOUALI SERVICES</t>
  </si>
  <si>
    <t>4R13137</t>
  </si>
  <si>
    <t>STE BATTERY CENTER</t>
  </si>
  <si>
    <t>1r05192</t>
  </si>
  <si>
    <t>STE HSOUNA FRIKHA ET FILS</t>
  </si>
  <si>
    <t>3R18274</t>
  </si>
  <si>
    <t>6R23139</t>
  </si>
  <si>
    <t>6R21136</t>
  </si>
  <si>
    <t>BT SERVICES SURAL</t>
  </si>
  <si>
    <t>KALLEL HATEM</t>
  </si>
  <si>
    <t>3R18317</t>
  </si>
  <si>
    <t>HAMIDA SHILI</t>
  </si>
  <si>
    <t>HATEM BEN SALAH KRAIEM</t>
  </si>
  <si>
    <t>4R12113</t>
  </si>
  <si>
    <t>1R05040</t>
  </si>
  <si>
    <t>STE GHAMMOUR ENAKHIL</t>
  </si>
  <si>
    <t>8r11061</t>
  </si>
  <si>
    <t>SOCIETE EL HOUIOUI</t>
  </si>
  <si>
    <t>EQUIP. AUTOS MOKNINE</t>
  </si>
  <si>
    <t>STE CHIBANI COMMERCE&amp;SERVICE</t>
  </si>
  <si>
    <t>1R01502</t>
  </si>
  <si>
    <t>1r01492</t>
  </si>
  <si>
    <t>8r11076</t>
  </si>
  <si>
    <t>OUERGHI MOUNIR B ABDELMAJID</t>
  </si>
  <si>
    <t>8r10053</t>
  </si>
  <si>
    <t>6R21158</t>
  </si>
  <si>
    <t>1r02138</t>
  </si>
  <si>
    <t>1R05173</t>
  </si>
  <si>
    <t>ARBI BEN ALIU GHARBI</t>
  </si>
  <si>
    <t>7R17047</t>
  </si>
  <si>
    <t>1R02148</t>
  </si>
  <si>
    <t>1R03131</t>
  </si>
  <si>
    <t>6R23156</t>
  </si>
  <si>
    <t>AKROUT MAKREM</t>
  </si>
  <si>
    <t>7R19070</t>
  </si>
  <si>
    <t>8r10038</t>
  </si>
  <si>
    <t>BEN SALEM MALIKA</t>
  </si>
  <si>
    <t>1R02176</t>
  </si>
  <si>
    <t>1R02237</t>
  </si>
  <si>
    <t>1R06020</t>
  </si>
  <si>
    <t>1R05175</t>
  </si>
  <si>
    <t>1R05194</t>
  </si>
  <si>
    <t>HAKIM BEN SADOK KHEMIS</t>
  </si>
  <si>
    <t>3R18068</t>
  </si>
  <si>
    <t>MOHAMED GHARIANI</t>
  </si>
  <si>
    <t xml:space="preserve">HEMPE </t>
  </si>
  <si>
    <t>FH170001</t>
  </si>
  <si>
    <t>FH170002</t>
  </si>
  <si>
    <t>FH170003</t>
  </si>
  <si>
    <t>FH170004</t>
  </si>
  <si>
    <t xml:space="preserve">REGLEMENT </t>
  </si>
  <si>
    <t>Z I</t>
  </si>
  <si>
    <t>ALPHA</t>
  </si>
  <si>
    <t>FED</t>
  </si>
  <si>
    <t>Total 10/2017</t>
  </si>
  <si>
    <t>Total 11/2017</t>
  </si>
  <si>
    <t>FN170027</t>
  </si>
  <si>
    <t>Plomb local</t>
  </si>
  <si>
    <t>Placement</t>
  </si>
  <si>
    <t>CEMT</t>
  </si>
  <si>
    <t>TAUX CNY/TND</t>
  </si>
  <si>
    <t>CNY</t>
  </si>
  <si>
    <t>FH170005</t>
  </si>
  <si>
    <t>FN170030</t>
  </si>
  <si>
    <t>FH170006</t>
  </si>
  <si>
    <t>FN170031</t>
  </si>
  <si>
    <t>FH170007</t>
  </si>
  <si>
    <t>4R12227</t>
  </si>
  <si>
    <t>NAIM BERRICH</t>
  </si>
  <si>
    <t>4R14068</t>
  </si>
  <si>
    <t>KAMMOUN BILEL</t>
  </si>
  <si>
    <t>KHELIFA BEN TAIEB</t>
  </si>
  <si>
    <t>MED DHIA BEN BRAHIM CHEFAAI</t>
  </si>
  <si>
    <t>STE SAAIDI PIECES  RECHANGE</t>
  </si>
  <si>
    <t>1R04121</t>
  </si>
  <si>
    <t>8r10057</t>
  </si>
  <si>
    <t>SOLTANI HSAN B.MBAREK</t>
  </si>
  <si>
    <t>4R12234</t>
  </si>
  <si>
    <t>FAYCEL BEN MOHAMMED ZARROUK</t>
  </si>
  <si>
    <t>3R18353</t>
  </si>
  <si>
    <t>MOHAMMED BEN NOURI MSAKNI</t>
  </si>
  <si>
    <t>M P R- ESSID LASSAAD</t>
  </si>
  <si>
    <t>1R02255</t>
  </si>
  <si>
    <t>STE POLYMEC</t>
  </si>
  <si>
    <t>1R04140</t>
  </si>
  <si>
    <t>MEJDI NAJET BENT IBRAHIM</t>
  </si>
  <si>
    <t>3R18381</t>
  </si>
  <si>
    <t>STE DREAM CAR</t>
  </si>
  <si>
    <t>1R05187</t>
  </si>
  <si>
    <t>SAMI BEN EZZEDINE B ABDALLAH</t>
  </si>
  <si>
    <t>4R13116</t>
  </si>
  <si>
    <t>1R05196</t>
  </si>
  <si>
    <t>SOFIENE B RHOUMA "CAP AUTO"</t>
  </si>
  <si>
    <t>1r01010</t>
  </si>
  <si>
    <t>TRABELSI JAMEL</t>
  </si>
  <si>
    <t>1r02141</t>
  </si>
  <si>
    <t>1r04137</t>
  </si>
  <si>
    <t>BOUKERI GHASSEN</t>
  </si>
  <si>
    <t>1r05034</t>
  </si>
  <si>
    <t>6r23151</t>
  </si>
  <si>
    <t>4R12254</t>
  </si>
  <si>
    <t>STE STATION SERVICE.OILLIBYA</t>
  </si>
  <si>
    <t>1r01561</t>
  </si>
  <si>
    <t>8r10051</t>
  </si>
  <si>
    <t>1r05188</t>
  </si>
  <si>
    <t>8R09060</t>
  </si>
  <si>
    <t>4R12256</t>
  </si>
  <si>
    <t>ABDELKEBIR IMED BEN ZID</t>
  </si>
  <si>
    <t>1r01493</t>
  </si>
  <si>
    <t>HEDIA BENT YOUSSEF TOUJANI</t>
  </si>
  <si>
    <t>1r06103</t>
  </si>
  <si>
    <t>1R02257</t>
  </si>
  <si>
    <t>4R15050</t>
  </si>
  <si>
    <t>JAMEL BEN ALI ROMDHANE</t>
  </si>
  <si>
    <t>6r23150</t>
  </si>
  <si>
    <t>3R18119</t>
  </si>
  <si>
    <t>ZOUARI FRERES</t>
  </si>
  <si>
    <t>FH170008</t>
  </si>
  <si>
    <t>FH170009</t>
  </si>
  <si>
    <t>EX170008</t>
  </si>
  <si>
    <t>8R10044</t>
  </si>
  <si>
    <t>STE PIECES RECH.EUROPEENNES</t>
  </si>
  <si>
    <t>1r01457</t>
  </si>
  <si>
    <t>1R01445</t>
  </si>
  <si>
    <t>7r17011</t>
  </si>
  <si>
    <t>1R07041</t>
  </si>
  <si>
    <t>ZAMMOURIA FATMA EPS MANSOURI</t>
  </si>
  <si>
    <t>6R23146</t>
  </si>
  <si>
    <t>6r21066</t>
  </si>
  <si>
    <t>PROCAR TUNISIE</t>
  </si>
  <si>
    <t>1r04146</t>
  </si>
  <si>
    <t>SALIM AUTOS</t>
  </si>
  <si>
    <t>1r01495</t>
  </si>
  <si>
    <t>MATERIELS POIDS LOURDS</t>
  </si>
  <si>
    <t>1R01465</t>
  </si>
  <si>
    <t>7R16055</t>
  </si>
  <si>
    <t>NABIL B AHMED B SALAH SMAII</t>
  </si>
  <si>
    <t>7R08001</t>
  </si>
  <si>
    <t>6R24016</t>
  </si>
  <si>
    <t>8r08041</t>
  </si>
  <si>
    <t>ABDELKADER B YOUSSEF GHARBI</t>
  </si>
  <si>
    <t>1R04120</t>
  </si>
  <si>
    <t>1r01548</t>
  </si>
  <si>
    <t>1r01478</t>
  </si>
  <si>
    <t>SOCIETE GENERAL DE PIECES</t>
  </si>
  <si>
    <t>3R18321</t>
  </si>
  <si>
    <t>IBRAHIM EL HEDI DIWANI</t>
  </si>
  <si>
    <t>4R14072</t>
  </si>
  <si>
    <t>8R09044</t>
  </si>
  <si>
    <t>SALIMA NSIB</t>
  </si>
  <si>
    <t>1r02256</t>
  </si>
  <si>
    <t>STE ASIE AUTOMOBILE SERVICES</t>
  </si>
  <si>
    <t>1R02201</t>
  </si>
  <si>
    <t>1R01456</t>
  </si>
  <si>
    <t>YACOUBI BEN MOULDI EL ABED</t>
  </si>
  <si>
    <t>7R19018</t>
  </si>
  <si>
    <t>MAJED BEN MED HAMMAMI</t>
  </si>
  <si>
    <t>1r05040</t>
  </si>
  <si>
    <t>STE  BEN TALEB PIECES AUTOS</t>
  </si>
  <si>
    <t>1r03100</t>
  </si>
  <si>
    <t>STE BEN HMIDA POLY SERVICES</t>
  </si>
  <si>
    <t>HOUCINE LOUSSAIEF</t>
  </si>
  <si>
    <t>8r08023</t>
  </si>
  <si>
    <t>1r06149</t>
  </si>
  <si>
    <t>1R02235</t>
  </si>
  <si>
    <t>STE GOMRI FRERES DE PIECES</t>
  </si>
  <si>
    <t>3R15036</t>
  </si>
  <si>
    <t>4R14039</t>
  </si>
  <si>
    <t>SOCIETE CHAIBI DE CARBURANT</t>
  </si>
  <si>
    <t>S M E A</t>
  </si>
  <si>
    <t>3R18160</t>
  </si>
  <si>
    <t>GBP</t>
  </si>
  <si>
    <t>FN170038</t>
  </si>
  <si>
    <t>4R14029</t>
  </si>
  <si>
    <t>JAADI MONCEF</t>
  </si>
  <si>
    <t>ACCUMA 38</t>
  </si>
  <si>
    <t>ACCUMA 39</t>
  </si>
  <si>
    <t>ACCUMA 40</t>
  </si>
  <si>
    <t>ACCUMA 41</t>
  </si>
  <si>
    <t>TOTAL EXPORT</t>
  </si>
  <si>
    <t>3R18036</t>
  </si>
  <si>
    <t>4R12240</t>
  </si>
  <si>
    <t>1R02211</t>
  </si>
  <si>
    <t>1r05159</t>
  </si>
  <si>
    <t>SOUHEIL TEKAYA</t>
  </si>
  <si>
    <t>4R14069</t>
  </si>
  <si>
    <t>STE BEN ABDERRAZEK NASRI</t>
  </si>
  <si>
    <t>6R21144</t>
  </si>
  <si>
    <t>4R13048</t>
  </si>
  <si>
    <t>7R16012</t>
  </si>
  <si>
    <t>6R23153</t>
  </si>
  <si>
    <t>4R12252</t>
  </si>
  <si>
    <t>STE DITRI-FILTRE</t>
  </si>
  <si>
    <t>4R14007</t>
  </si>
  <si>
    <t>1R05191</t>
  </si>
  <si>
    <t>6r23125</t>
  </si>
  <si>
    <t>SOCIETE RECTIF</t>
  </si>
  <si>
    <t>4R12257</t>
  </si>
  <si>
    <t>STE MY CAR DISTRIBUTION</t>
  </si>
  <si>
    <t>3R18398</t>
  </si>
  <si>
    <t>STE KAPRA</t>
  </si>
  <si>
    <t>6R21145</t>
  </si>
  <si>
    <t>1R01217</t>
  </si>
  <si>
    <t>STE UNIVSEL AUTOMOTIVES PART</t>
  </si>
  <si>
    <t>1R02194</t>
  </si>
  <si>
    <t>1R05199</t>
  </si>
  <si>
    <t>1R02233</t>
  </si>
  <si>
    <t>4R12231</t>
  </si>
  <si>
    <t>1r01509</t>
  </si>
  <si>
    <t>STE JAMEL AUTO</t>
  </si>
  <si>
    <t>1r05184</t>
  </si>
  <si>
    <t>1R02199</t>
  </si>
  <si>
    <t>6R23118</t>
  </si>
  <si>
    <t>1R02138</t>
  </si>
  <si>
    <t>1R07059</t>
  </si>
  <si>
    <t>CHERIF ABDERRAHIM B.CHEDLY</t>
  </si>
  <si>
    <t>1r05071</t>
  </si>
  <si>
    <t>1r03076</t>
  </si>
  <si>
    <t>Ste P I A A T.</t>
  </si>
  <si>
    <t>1R02232</t>
  </si>
  <si>
    <t>8r10042</t>
  </si>
  <si>
    <t>SEDGHIANI ABDELHAFID</t>
  </si>
  <si>
    <t>1R05186</t>
  </si>
  <si>
    <t>STE AFRICA DES PIECES AUTOS</t>
  </si>
  <si>
    <t>1R06146</t>
  </si>
  <si>
    <t>4R12177</t>
  </si>
  <si>
    <t>DOUIK PIECES AUTOS</t>
  </si>
  <si>
    <t>4R12189</t>
  </si>
  <si>
    <t>STE MESTIRI ET FILS</t>
  </si>
  <si>
    <t>1R02224</t>
  </si>
  <si>
    <t>1r02176</t>
  </si>
  <si>
    <t>FH170010</t>
  </si>
  <si>
    <t>AGENCE</t>
  </si>
  <si>
    <t>OUESLATI LOTFI B BELGACEM</t>
  </si>
  <si>
    <t>CHIBANI BEN SALEM TAYEB</t>
  </si>
  <si>
    <t>STE DES EQUIP.INDUST.&amp;TRANSP</t>
  </si>
  <si>
    <t>ROJDI BEN MOHAMED KRAOUII</t>
  </si>
  <si>
    <t>STE ELECTRIC AUTO NABEUL</t>
  </si>
  <si>
    <t>STE MATEUR QUINC [SOGEMAQ]</t>
  </si>
  <si>
    <t>STE MECHERGUI D'EQUIP. AUTOS</t>
  </si>
  <si>
    <t>FN170039</t>
  </si>
  <si>
    <t>FH170011</t>
  </si>
  <si>
    <t>4R12181</t>
  </si>
  <si>
    <t>NEJIB GADHOUM</t>
  </si>
  <si>
    <t>HASSEN BEN BELGACEM  DABBABI</t>
  </si>
  <si>
    <t>7r16041</t>
  </si>
  <si>
    <t>6R23120</t>
  </si>
  <si>
    <t>GUIZANI FETHI</t>
  </si>
  <si>
    <t>MOHAMED ZAIDI</t>
  </si>
  <si>
    <t>OUN ALLAH SALAHEDDINE</t>
  </si>
  <si>
    <t>4R13103</t>
  </si>
  <si>
    <t>HASSINE BEN ALI HADROUG</t>
  </si>
  <si>
    <t>1r01543</t>
  </si>
  <si>
    <t>GENERAL PNEU PIECES RECH</t>
  </si>
  <si>
    <t>1r05206</t>
  </si>
  <si>
    <t>1r06142</t>
  </si>
  <si>
    <t>STE BEN HAMOUDA AUTO</t>
  </si>
  <si>
    <t>6r21155</t>
  </si>
  <si>
    <t>1R01470</t>
  </si>
  <si>
    <t>6r23048</t>
  </si>
  <si>
    <t>1R02247</t>
  </si>
  <si>
    <t>3R18039</t>
  </si>
  <si>
    <t>STE COGEP AUTO</t>
  </si>
  <si>
    <t>1R01556</t>
  </si>
  <si>
    <t>1r06107</t>
  </si>
  <si>
    <t>MOHAMED BEN ALI BEN HAMMA</t>
  </si>
  <si>
    <t>1R01540</t>
  </si>
  <si>
    <t>6r23098</t>
  </si>
  <si>
    <t>6r21136</t>
  </si>
  <si>
    <t>1R03074</t>
  </si>
  <si>
    <t>1R01509</t>
  </si>
  <si>
    <t>1R03160</t>
  </si>
  <si>
    <t>SOCIETE AYARI AUTOS</t>
  </si>
  <si>
    <t>ACCUMA 42</t>
  </si>
  <si>
    <t>ACCUMA 43</t>
  </si>
  <si>
    <t>FN170040</t>
  </si>
  <si>
    <t>FN170041</t>
  </si>
  <si>
    <t>DEPENSE</t>
  </si>
  <si>
    <t>1R03152</t>
  </si>
  <si>
    <t>STE GLES PIECES AUTOMOBILES</t>
  </si>
  <si>
    <t>1r07002</t>
  </si>
  <si>
    <t>1r05175</t>
  </si>
  <si>
    <t>1x01000</t>
  </si>
  <si>
    <t>CLIENT PASSAGER ASJ</t>
  </si>
  <si>
    <t>1R02256</t>
  </si>
  <si>
    <t>3R18330</t>
  </si>
  <si>
    <t>FOUED KMIHA</t>
  </si>
  <si>
    <t>4r14062</t>
  </si>
  <si>
    <t>PIECES AUTOS MED AZZOUZ</t>
  </si>
  <si>
    <t>8R09020</t>
  </si>
  <si>
    <t>1r01520</t>
  </si>
  <si>
    <t>STE DISTRIBUTION PIECES AUTO</t>
  </si>
  <si>
    <t>1r05208</t>
  </si>
  <si>
    <t>1r05213</t>
  </si>
  <si>
    <t>SOCIETE EL BARAKA</t>
  </si>
  <si>
    <t>6r21156</t>
  </si>
  <si>
    <t>3R15039</t>
  </si>
  <si>
    <t>AMINE BEN FREDJ MAHMOUD</t>
  </si>
  <si>
    <t>3R18275</t>
  </si>
  <si>
    <t>BOUCHLAMA AMMAR</t>
  </si>
  <si>
    <t>1r04105</t>
  </si>
  <si>
    <t>BELGACEM BEN BOUBAKER MEJRI</t>
  </si>
  <si>
    <t>1R02225</t>
  </si>
  <si>
    <t>1R02250</t>
  </si>
  <si>
    <t>NOUR HEMP</t>
  </si>
  <si>
    <t>MECONDOR</t>
  </si>
  <si>
    <t>ACCUMA 44</t>
  </si>
  <si>
    <t>ACCUMA 45</t>
  </si>
  <si>
    <t>ACCUMA 46</t>
  </si>
  <si>
    <t>HAZEM CHTOUROU</t>
  </si>
  <si>
    <t>STE</t>
  </si>
  <si>
    <t>FACTURE</t>
  </si>
  <si>
    <t>KAIS TAYACHI / GHEDIFI ABDESSATAR</t>
  </si>
  <si>
    <t>kg</t>
  </si>
  <si>
    <t>CHQ</t>
  </si>
  <si>
    <t>SMS</t>
  </si>
  <si>
    <t>FODEC 1%</t>
  </si>
  <si>
    <t>SOTRAM</t>
  </si>
  <si>
    <t>TRT</t>
  </si>
  <si>
    <t>Date de fact</t>
  </si>
  <si>
    <t>Qté Facturé</t>
  </si>
  <si>
    <t>RECU</t>
  </si>
  <si>
    <t>SOTRAPRO</t>
  </si>
  <si>
    <t>Solde au 31/12/2017</t>
  </si>
  <si>
    <t>FH170012</t>
  </si>
  <si>
    <t>FN170044</t>
  </si>
  <si>
    <t>ACCUMA 47</t>
  </si>
  <si>
    <t>FN170046</t>
  </si>
  <si>
    <t>4R15046</t>
  </si>
  <si>
    <t>STE AUTO PRO</t>
  </si>
  <si>
    <t>1r01517</t>
  </si>
  <si>
    <t>8r10056</t>
  </si>
  <si>
    <t>1r07058</t>
  </si>
  <si>
    <t>RAMZI B RAHMANI B HJ HAMMADI</t>
  </si>
  <si>
    <t>4R12212</t>
  </si>
  <si>
    <t>COMPTOIR DOUICK DE PIECES</t>
  </si>
  <si>
    <t>1R03140</t>
  </si>
  <si>
    <t>1R01146</t>
  </si>
  <si>
    <t>8r10040</t>
  </si>
  <si>
    <t>4R13133</t>
  </si>
  <si>
    <t>SOCIETE SASSI SARL</t>
  </si>
  <si>
    <t>1R05181</t>
  </si>
  <si>
    <t>7R19050</t>
  </si>
  <si>
    <t>BELHOULA ABDELKARIM</t>
  </si>
  <si>
    <t>1r02185</t>
  </si>
  <si>
    <t>1R02263</t>
  </si>
  <si>
    <t>1R04136</t>
  </si>
  <si>
    <t>1R02245</t>
  </si>
  <si>
    <t>8r09023</t>
  </si>
  <si>
    <t>3r18047</t>
  </si>
  <si>
    <t>1R01386</t>
  </si>
  <si>
    <t>STE GLE DE FOURNITURE</t>
  </si>
  <si>
    <t>8R10047</t>
  </si>
  <si>
    <t>3R18388</t>
  </si>
  <si>
    <t>COMP.GENERAL.PIECES.RECHANGE</t>
  </si>
  <si>
    <t>1r02239</t>
  </si>
  <si>
    <t>1R06141</t>
  </si>
  <si>
    <t>TOTAL GENERAL</t>
  </si>
  <si>
    <t>Client</t>
  </si>
  <si>
    <t>Total St</t>
  </si>
  <si>
    <t>AUGMENTATION CAPITAL</t>
  </si>
  <si>
    <t>SOLDE KAIS</t>
  </si>
  <si>
    <t>MONTANT RECU</t>
  </si>
  <si>
    <t>FN170047</t>
  </si>
  <si>
    <t>COUPEAU DE FER</t>
  </si>
  <si>
    <t>STE MESTIRI&amp;FILS TRAV.PUBLIC</t>
  </si>
  <si>
    <t>7S19023</t>
  </si>
  <si>
    <t>STE GENERALE AGRICOLE</t>
  </si>
  <si>
    <t>7R16078</t>
  </si>
  <si>
    <t>6r24016</t>
  </si>
  <si>
    <t>6r21173</t>
  </si>
  <si>
    <t>MOHAMED BEN SALAH BENHASSEN</t>
  </si>
  <si>
    <t>4r14047</t>
  </si>
  <si>
    <t>4r14039</t>
  </si>
  <si>
    <t>FREDJ MILI</t>
  </si>
  <si>
    <t>4R13106</t>
  </si>
  <si>
    <t>ELECTRIC AUTO JEMMAL</t>
  </si>
  <si>
    <t>4R13098</t>
  </si>
  <si>
    <t>STE MAALOUL&amp; FILS</t>
  </si>
  <si>
    <t>4R12253</t>
  </si>
  <si>
    <t>SOUFIEN B MOHAMED ABROUGUI</t>
  </si>
  <si>
    <t>1R06136</t>
  </si>
  <si>
    <t>1r05195</t>
  </si>
  <si>
    <t>1R04105</t>
  </si>
  <si>
    <t>1R03149</t>
  </si>
  <si>
    <t>1R06159</t>
  </si>
  <si>
    <t>1R05034</t>
  </si>
  <si>
    <t>1R01550</t>
  </si>
  <si>
    <t>1R02236</t>
  </si>
  <si>
    <t>1R05209</t>
  </si>
  <si>
    <t>1r05200</t>
  </si>
  <si>
    <t>1R01518</t>
  </si>
  <si>
    <t>1R03157</t>
  </si>
  <si>
    <t>SO.TU.PA</t>
  </si>
  <si>
    <t>1r01504</t>
  </si>
  <si>
    <t>1R06149</t>
  </si>
  <si>
    <t>1R12001</t>
  </si>
  <si>
    <t>1r05203</t>
  </si>
  <si>
    <t>STE EL MABROUK</t>
  </si>
  <si>
    <t>1R05198</t>
  </si>
  <si>
    <t>CENTRE DE TUNING</t>
  </si>
  <si>
    <t>1R03137</t>
  </si>
  <si>
    <t>STE TAHRI STATION SERVICES</t>
  </si>
  <si>
    <t>1r02270</t>
  </si>
  <si>
    <t>LES HERITIERS AHMED EL KATEB</t>
  </si>
  <si>
    <t>1r01514</t>
  </si>
  <si>
    <t>MOHAMED BEN CHERIF BAKHTI</t>
  </si>
  <si>
    <t>1R07050</t>
  </si>
  <si>
    <t>6R21028</t>
  </si>
  <si>
    <t>6r23152</t>
  </si>
  <si>
    <t>6r23149</t>
  </si>
  <si>
    <t>6R23021</t>
  </si>
  <si>
    <t>SOKOPA</t>
  </si>
  <si>
    <t>6r21174</t>
  </si>
  <si>
    <t>6R21174</t>
  </si>
  <si>
    <t>8r08045</t>
  </si>
  <si>
    <t>8R08037</t>
  </si>
  <si>
    <t>BEN ALI HAMDI</t>
  </si>
  <si>
    <t>1R03141</t>
  </si>
  <si>
    <t>1r02233</t>
  </si>
  <si>
    <t>1r02097</t>
  </si>
  <si>
    <t>1r05186</t>
  </si>
  <si>
    <t>1r05042</t>
  </si>
  <si>
    <t>1r02082</t>
  </si>
  <si>
    <t>1r06146</t>
  </si>
  <si>
    <t>1r04098</t>
  </si>
  <si>
    <t>1r01556</t>
  </si>
  <si>
    <t>4R14062</t>
  </si>
  <si>
    <t>1R04037</t>
  </si>
  <si>
    <t>SOCIETE ZAGHLA FRERES</t>
  </si>
  <si>
    <t>1R03030</t>
  </si>
  <si>
    <t>EX170009</t>
  </si>
  <si>
    <t>FN170048</t>
  </si>
  <si>
    <t>FH170013</t>
  </si>
  <si>
    <t>TOTAL 12/2017</t>
  </si>
  <si>
    <t>TOTAL 01/2018</t>
  </si>
  <si>
    <t>TOTAL 02/2018</t>
  </si>
  <si>
    <t>TOTAL 03/2018</t>
  </si>
  <si>
    <t>TOTAL 04/2018</t>
  </si>
  <si>
    <t>TOTAL 05/2018</t>
  </si>
  <si>
    <t xml:space="preserve">TOTAL </t>
  </si>
  <si>
    <t>TOTAL 90 JOURS</t>
  </si>
  <si>
    <t>TOTAL &gt; 90 JOURS</t>
  </si>
  <si>
    <t>ACCUMA 48</t>
  </si>
  <si>
    <t>ACCUMA 49</t>
  </si>
  <si>
    <t>ACCUMA 50</t>
  </si>
  <si>
    <t>ACCUMA 51</t>
  </si>
  <si>
    <t>ACCUMA 52</t>
  </si>
  <si>
    <t>SOVEMA 6</t>
  </si>
  <si>
    <t>DARAMIC</t>
  </si>
  <si>
    <t>SORFIN</t>
  </si>
  <si>
    <t>75 TO</t>
  </si>
  <si>
    <t>FN170049</t>
  </si>
  <si>
    <t xml:space="preserve">SOTRAPRO </t>
  </si>
  <si>
    <t>DECOMPTE N° 1</t>
  </si>
  <si>
    <t>RETENUE DE GARANTIE</t>
  </si>
  <si>
    <t>RELIQUAT</t>
  </si>
  <si>
    <t>PAIEMENT RECU</t>
  </si>
  <si>
    <t>CHQ 23</t>
  </si>
  <si>
    <t>ALPHA MEDIA</t>
  </si>
  <si>
    <t>CHQ 754</t>
  </si>
  <si>
    <t>FETHI GHALI</t>
  </si>
  <si>
    <t>ESPECE</t>
  </si>
  <si>
    <t>CHQ 776</t>
  </si>
  <si>
    <t>CHQ 24</t>
  </si>
  <si>
    <t>TOTAL PAIEMENT</t>
  </si>
  <si>
    <t>RESTE A PAYER</t>
  </si>
  <si>
    <t>DECOMPTE N° 3</t>
  </si>
  <si>
    <t>DECOMPTE N° 2</t>
  </si>
  <si>
    <t>ENERTECH</t>
  </si>
  <si>
    <t>FN170050</t>
  </si>
  <si>
    <t>STE CIPA</t>
  </si>
  <si>
    <t>4R12262</t>
  </si>
  <si>
    <t>6R21156</t>
  </si>
  <si>
    <t>1r06125</t>
  </si>
  <si>
    <t>1r05194</t>
  </si>
  <si>
    <t>1r04140</t>
  </si>
  <si>
    <t>SOCIETE ENNAJI</t>
  </si>
  <si>
    <t>1r04110</t>
  </si>
  <si>
    <t>1r02083</t>
  </si>
  <si>
    <t>ETABLISSEMENT SALAH KOTNI</t>
  </si>
  <si>
    <t>1r02179</t>
  </si>
  <si>
    <t>TAIEB JANNETTE</t>
  </si>
  <si>
    <t>7R19030</t>
  </si>
  <si>
    <t>SPARE PART DISTRIBUTION</t>
  </si>
  <si>
    <t>3R18399</t>
  </si>
  <si>
    <t>STE AOULED KHDHIRI SARL</t>
  </si>
  <si>
    <t>MOHSEN BEN ALI BEN CHOUIKHA</t>
  </si>
  <si>
    <t>1r06126</t>
  </si>
  <si>
    <t>BEN KHALED MOHSEN</t>
  </si>
  <si>
    <t>4R15027</t>
  </si>
  <si>
    <t>ISSAOUI ABDERRAHMEN</t>
  </si>
  <si>
    <t>8R11010</t>
  </si>
  <si>
    <t>S O C O M A F</t>
  </si>
  <si>
    <t>8R09022</t>
  </si>
  <si>
    <t>STE FIX-N-GO</t>
  </si>
  <si>
    <t>1S01255</t>
  </si>
  <si>
    <t>MOHAMED B MED NEJIB RE</t>
  </si>
  <si>
    <t>1R03125</t>
  </si>
  <si>
    <t>S A G A</t>
  </si>
  <si>
    <t>1R03037</t>
  </si>
  <si>
    <t>ETABLISSEMENT DABOUSSI</t>
  </si>
  <si>
    <t>1R01481</t>
  </si>
  <si>
    <t>MAHER BEN MOHAMED HACH</t>
  </si>
  <si>
    <t>3R18076</t>
  </si>
  <si>
    <t>8R11078</t>
  </si>
  <si>
    <t>ABDELKADER MOEZ BEN LA</t>
  </si>
  <si>
    <t>1r02241</t>
  </si>
  <si>
    <t>AMOR BEN ABDRAHMENE BI</t>
  </si>
  <si>
    <t>1R01161</t>
  </si>
  <si>
    <t>MAISON ROULT &amp; PNEU.</t>
  </si>
  <si>
    <t>1R01132</t>
  </si>
  <si>
    <t>AZOUNA MUSTAPHA</t>
  </si>
  <si>
    <t>3R18132</t>
  </si>
  <si>
    <t>STE S.P.A.M</t>
  </si>
  <si>
    <t>3R18394</t>
  </si>
  <si>
    <t>AMOR B.SADEK AOUDH</t>
  </si>
  <si>
    <t>6R21048</t>
  </si>
  <si>
    <t>1R02192</t>
  </si>
  <si>
    <t>STE FRIKHA PIECES AUTO</t>
  </si>
  <si>
    <t>3R18358</t>
  </si>
  <si>
    <t>FETHI MAALOUL</t>
  </si>
  <si>
    <t>6R21032</t>
  </si>
  <si>
    <t>4R12220</t>
  </si>
  <si>
    <t>FT170004</t>
  </si>
  <si>
    <t>FT170003</t>
  </si>
  <si>
    <t>FT170002</t>
  </si>
  <si>
    <t>FT170001</t>
  </si>
  <si>
    <t>FT170005</t>
  </si>
  <si>
    <t>1r01539</t>
  </si>
  <si>
    <t>BALTI TAREK</t>
  </si>
  <si>
    <t>1r05191</t>
  </si>
  <si>
    <t>1s02073</t>
  </si>
  <si>
    <t>3R18382</t>
  </si>
  <si>
    <t>STE KZ PIECES AUTOS</t>
  </si>
  <si>
    <t>3r18384</t>
  </si>
  <si>
    <t>3R18401</t>
  </si>
  <si>
    <t>STE MEMMI-AUTO ET COMP</t>
  </si>
  <si>
    <t>4R13138</t>
  </si>
  <si>
    <t>4R13125</t>
  </si>
  <si>
    <t>STE SARRA AUTO</t>
  </si>
  <si>
    <t>EX170010</t>
  </si>
  <si>
    <t>BILLET DE TRESORERIE</t>
  </si>
  <si>
    <t>DEBIT</t>
  </si>
  <si>
    <t>CREDIT</t>
  </si>
  <si>
    <t>FG</t>
  </si>
  <si>
    <t>I Z</t>
  </si>
  <si>
    <t>TIB</t>
  </si>
  <si>
    <t>ITN</t>
  </si>
  <si>
    <t>NHB</t>
  </si>
  <si>
    <t>F HNAYA</t>
  </si>
  <si>
    <t>U T C I</t>
  </si>
  <si>
    <t>F G</t>
  </si>
  <si>
    <t>I T N</t>
  </si>
  <si>
    <t>ETAIN (80%)</t>
  </si>
  <si>
    <t>L10190</t>
  </si>
  <si>
    <t>QUANTITE</t>
  </si>
  <si>
    <t>PU</t>
  </si>
  <si>
    <t>MONTANT HT</t>
  </si>
  <si>
    <t>TVA</t>
  </si>
  <si>
    <t>MONTANT TTC</t>
  </si>
  <si>
    <t>L10192</t>
  </si>
  <si>
    <t>sotram</t>
  </si>
  <si>
    <t>HAZEM (REG FACT)</t>
  </si>
  <si>
    <t>EZZEDDINE MELLITI</t>
  </si>
  <si>
    <t>PRIME SNA</t>
  </si>
  <si>
    <t>PRIME STA</t>
  </si>
  <si>
    <t>ALI ZOUBIK</t>
  </si>
  <si>
    <t>MOTIVATION DOUANE</t>
  </si>
  <si>
    <t>FOUED</t>
  </si>
  <si>
    <t>RETRAIT</t>
  </si>
  <si>
    <t>CAISSE ACHAT</t>
  </si>
  <si>
    <t>FN170057</t>
  </si>
  <si>
    <t>FN170058</t>
  </si>
  <si>
    <t>FH170014</t>
  </si>
  <si>
    <t>FH170015</t>
  </si>
  <si>
    <t>PHENCIA</t>
  </si>
  <si>
    <t>UTCI</t>
  </si>
  <si>
    <t xml:space="preserve">TIP </t>
  </si>
  <si>
    <t>IZ</t>
  </si>
  <si>
    <t>DIV STA</t>
  </si>
  <si>
    <t>DIV ITN</t>
  </si>
  <si>
    <t>DIV FG</t>
  </si>
  <si>
    <t>DIV TUNICOM</t>
  </si>
  <si>
    <t>DIV TIB</t>
  </si>
  <si>
    <t>INTER MACHINE</t>
  </si>
  <si>
    <t>DIV UTCI</t>
  </si>
  <si>
    <t>DIV YASMINE</t>
  </si>
  <si>
    <t>DIC SARRA</t>
  </si>
  <si>
    <t>DIV YOSRI</t>
  </si>
  <si>
    <t>DIV HAITHEM</t>
  </si>
  <si>
    <t>DIV SNA</t>
  </si>
  <si>
    <t>DIV CIL</t>
  </si>
  <si>
    <t>DIV SICAR</t>
  </si>
  <si>
    <t>DIV PHENICIA</t>
  </si>
  <si>
    <t>CAPITAL</t>
  </si>
  <si>
    <t>FN170059</t>
  </si>
  <si>
    <t>FN170060</t>
  </si>
  <si>
    <t>EX170011</t>
  </si>
  <si>
    <t>FH170016</t>
  </si>
  <si>
    <t>RACHED BEN BRAHIM MAMMACHA</t>
  </si>
  <si>
    <t>7R20003</t>
  </si>
  <si>
    <t>7r19061</t>
  </si>
  <si>
    <t>CHENAINA HOUCINE B AHMED</t>
  </si>
  <si>
    <t>6R24019</t>
  </si>
  <si>
    <t>STE DE MAINT&amp; REP AUTOMOBILE</t>
  </si>
  <si>
    <t>HAMZA BALBALI</t>
  </si>
  <si>
    <t>6r23144</t>
  </si>
  <si>
    <t>STE HAMMAMI DE MATER.AGRICOL</t>
  </si>
  <si>
    <t>STE TIME</t>
  </si>
  <si>
    <t>1s01209</t>
  </si>
  <si>
    <t>1R07002</t>
  </si>
  <si>
    <t>1R06038</t>
  </si>
  <si>
    <t>1r05209</t>
  </si>
  <si>
    <t>BACHA AHMED ZEKI</t>
  </si>
  <si>
    <t>1r05204</t>
  </si>
  <si>
    <t>RIDHA BEN MOHAMED LARBI</t>
  </si>
  <si>
    <t>1r05087</t>
  </si>
  <si>
    <t>1R04138</t>
  </si>
  <si>
    <t>1R04098</t>
  </si>
  <si>
    <t>STE MBS SERVICES</t>
  </si>
  <si>
    <t>1R03164</t>
  </si>
  <si>
    <t>AUTO PARTS TRADING SERVICES</t>
  </si>
  <si>
    <t>1r03162</t>
  </si>
  <si>
    <t>1r03160</t>
  </si>
  <si>
    <t>1r03140</t>
  </si>
  <si>
    <t>STE YOSR DE PIECES AUTOS</t>
  </si>
  <si>
    <t>1r02235</t>
  </si>
  <si>
    <t>SODIST</t>
  </si>
  <si>
    <t>1r02228</t>
  </si>
  <si>
    <t>1r02194</t>
  </si>
  <si>
    <t>1R01517</t>
  </si>
  <si>
    <t>1r01502</t>
  </si>
  <si>
    <t>1r01470</t>
  </si>
  <si>
    <t>STE MANEL AUTO-SOMA-</t>
  </si>
  <si>
    <t>1r01389</t>
  </si>
  <si>
    <t>1r01217</t>
  </si>
  <si>
    <t>1r01050</t>
  </si>
  <si>
    <t>TAHER BEN AMOR MAHJOUBI</t>
  </si>
  <si>
    <t>INT.PIECES &amp; MATERIELS   IPM</t>
  </si>
  <si>
    <t>ASMA BENT MOKHTAR ESSID</t>
  </si>
  <si>
    <t>STE GLE DE COMMERCE PI</t>
  </si>
  <si>
    <t>7R22002</t>
  </si>
  <si>
    <t>HOUCINE B. ABDELHAMID</t>
  </si>
  <si>
    <t>7R19069</t>
  </si>
  <si>
    <t>MOHAMED TAHER TNANCHA</t>
  </si>
  <si>
    <t>7R22013</t>
  </si>
  <si>
    <t>HASSEN BEN BELGACEM  D</t>
  </si>
  <si>
    <t>STE AL BARAKA EQUIP.GE</t>
  </si>
  <si>
    <t>SOGEMCO</t>
  </si>
  <si>
    <t>7R19060</t>
  </si>
  <si>
    <t>SOCIETE AGENCES DE VOY</t>
  </si>
  <si>
    <t>7S20005</t>
  </si>
  <si>
    <t>YACOUBI BEN MOULDI EL</t>
  </si>
  <si>
    <t>7r16012</t>
  </si>
  <si>
    <t>CHOKRI KSIKSI</t>
  </si>
  <si>
    <t>6R23081</t>
  </si>
  <si>
    <t>ETS SALAH KOTNI 2</t>
  </si>
  <si>
    <t>6R21118</t>
  </si>
  <si>
    <t>MOHAMED GUIZA</t>
  </si>
  <si>
    <t>6R21045</t>
  </si>
  <si>
    <t>HADDAD BEN MAKHLOUF HA</t>
  </si>
  <si>
    <t>MOHAMED B BELGACEM MIS</t>
  </si>
  <si>
    <t>STE SUD EQUIPEMENT MAR</t>
  </si>
  <si>
    <t>ZAMMOURIA FATMA EPS MA</t>
  </si>
  <si>
    <t>ZEYNEB BEN MOHAMED HED</t>
  </si>
  <si>
    <t>KHROUF BAGHDADI B BOUL</t>
  </si>
  <si>
    <t>6r21175</t>
  </si>
  <si>
    <t>STE RESSIFI DES PIECES</t>
  </si>
  <si>
    <t>6r21145</t>
  </si>
  <si>
    <t>MOHAMED BEN MOHAMED KA</t>
  </si>
  <si>
    <t>6r21038</t>
  </si>
  <si>
    <t>STE EQUIP.INDUSTRIEL &amp;</t>
  </si>
  <si>
    <t>GHRIBI ABDELMOUTALAB B</t>
  </si>
  <si>
    <t>WALID BEN HABIB CHORFI</t>
  </si>
  <si>
    <t>8R10037</t>
  </si>
  <si>
    <t>STE TUNISIENNE AGRICOL</t>
  </si>
  <si>
    <t>8R09078</t>
  </si>
  <si>
    <t>MAHER BEN ABID</t>
  </si>
  <si>
    <t>8R11037</t>
  </si>
  <si>
    <t>STE RAHMANI DE PIECES</t>
  </si>
  <si>
    <t>8R08043</t>
  </si>
  <si>
    <t>HICHEM BEN IBRAHIM RAH</t>
  </si>
  <si>
    <t>8R08042</t>
  </si>
  <si>
    <t>GHARBI JALEL BEN BRAHI</t>
  </si>
  <si>
    <t>8R09006</t>
  </si>
  <si>
    <t>MECHERGUI MED- EQUIPT</t>
  </si>
  <si>
    <t>STE HADJ AUTO</t>
  </si>
  <si>
    <t>1R01480</t>
  </si>
  <si>
    <t>8r10008</t>
  </si>
  <si>
    <t>OUESLATI LOTFI B BELGA</t>
  </si>
  <si>
    <t>STE MEZRI.VTE PCE.RECH</t>
  </si>
  <si>
    <t>8r08039</t>
  </si>
  <si>
    <t>OUERGHI MOUNIR B ABDEL</t>
  </si>
  <si>
    <t>STE MARIEM AGRICOLE</t>
  </si>
  <si>
    <t>8r08040</t>
  </si>
  <si>
    <t>FIDHA AMINE B FATHI B</t>
  </si>
  <si>
    <t>USINE NOUVELLE DE PATE</t>
  </si>
  <si>
    <t>4S12055</t>
  </si>
  <si>
    <t>NEJI KHIAREDDINE</t>
  </si>
  <si>
    <t>4R14034</t>
  </si>
  <si>
    <t>SAADI ABDALLAH</t>
  </si>
  <si>
    <t>4R14030</t>
  </si>
  <si>
    <t>STE COMPTOIR AUTO BOUS</t>
  </si>
  <si>
    <t>4R12250</t>
  </si>
  <si>
    <t>LOTFI BEN MOHAMED KRIA</t>
  </si>
  <si>
    <t>TRAILER ET LORRY PARTS</t>
  </si>
  <si>
    <t>4R12186</t>
  </si>
  <si>
    <t>STE ZORGATI VEHICULE</t>
  </si>
  <si>
    <t>4R12211</t>
  </si>
  <si>
    <t>SOTUDIS</t>
  </si>
  <si>
    <t>4S12021</t>
  </si>
  <si>
    <t>4R13134</t>
  </si>
  <si>
    <t>LIMEME FATHI BEN KHLIF</t>
  </si>
  <si>
    <t>COMPTOIR DOUICK DE PIE</t>
  </si>
  <si>
    <t>STE CENTRE NAOUALI SER</t>
  </si>
  <si>
    <t>L AUTO PIECE  HABIB HA</t>
  </si>
  <si>
    <t>4R12193</t>
  </si>
  <si>
    <t>PIECES AUTOS BEN ALAYA</t>
  </si>
  <si>
    <t>ETS AYMEN KORBI</t>
  </si>
  <si>
    <t>4R13064</t>
  </si>
  <si>
    <t>COMPTOIR CAMION DU CEN</t>
  </si>
  <si>
    <t>4R14071</t>
  </si>
  <si>
    <t>EL BALDI ANIS</t>
  </si>
  <si>
    <t>4R12246</t>
  </si>
  <si>
    <t>NACEUR BOUKADIDA</t>
  </si>
  <si>
    <t>4R13101</t>
  </si>
  <si>
    <t>HASSINE BEN ALI HADROU</t>
  </si>
  <si>
    <t>ETABLISSEMENTS AUPEICL</t>
  </si>
  <si>
    <t>1R06034</t>
  </si>
  <si>
    <t>RHIM CHEDLY</t>
  </si>
  <si>
    <t>1R05055</t>
  </si>
  <si>
    <t>STE PIECES RECHANGES "</t>
  </si>
  <si>
    <t>1R04124</t>
  </si>
  <si>
    <t>STE ENASR</t>
  </si>
  <si>
    <t>1R01510</t>
  </si>
  <si>
    <t>AUTO ZARGA</t>
  </si>
  <si>
    <t>1R02205</t>
  </si>
  <si>
    <t>COMPTOIR PIECES AUTO E</t>
  </si>
  <si>
    <t>STE TUN.PCE.RECH.ALM.S</t>
  </si>
  <si>
    <t>1R01558</t>
  </si>
  <si>
    <t>STE AGRICOLE SAOUEF</t>
  </si>
  <si>
    <t>1S02149</t>
  </si>
  <si>
    <t>SOCIETE AGRICOLE DICK</t>
  </si>
  <si>
    <t>1S02019</t>
  </si>
  <si>
    <t>NOUREDDINE ZOUCH</t>
  </si>
  <si>
    <t>1R01105</t>
  </si>
  <si>
    <t>SOCIETE CEPA</t>
  </si>
  <si>
    <t>1R02078</t>
  </si>
  <si>
    <t>CHENIB MOHAMED- ESSAYA</t>
  </si>
  <si>
    <t>1R02053</t>
  </si>
  <si>
    <t>STE AYOUB DE PIECES AU</t>
  </si>
  <si>
    <t>CHERIF ABDERRAHIM B.CH</t>
  </si>
  <si>
    <t>NAJET BENT SALAH ZAMEL</t>
  </si>
  <si>
    <t>STE EL HAMDI PIECES.RE</t>
  </si>
  <si>
    <t>TAHER KABOUS ROYAL AUT</t>
  </si>
  <si>
    <t>STE SAAIDI PIECES  REC</t>
  </si>
  <si>
    <t>STE TUNNE VEHICULES IN</t>
  </si>
  <si>
    <t>1r03161</t>
  </si>
  <si>
    <t>1r01112</t>
  </si>
  <si>
    <t>1R02231</t>
  </si>
  <si>
    <t>1R02082</t>
  </si>
  <si>
    <t>1R06126</t>
  </si>
  <si>
    <t>1R04137</t>
  </si>
  <si>
    <t>STE MATEUR QUINC [SOGE</t>
  </si>
  <si>
    <t>1R02083</t>
  </si>
  <si>
    <t>STE PIECES.RECH.FRANCA</t>
  </si>
  <si>
    <t>LES HERITIERS AHMED EL</t>
  </si>
  <si>
    <t>STE COMPTOIR NORD DE P</t>
  </si>
  <si>
    <t>STE GLES PIECES AUTOMO</t>
  </si>
  <si>
    <t>1r03152</t>
  </si>
  <si>
    <t>STE AUTO SERVICE PLUS</t>
  </si>
  <si>
    <t>1r03118</t>
  </si>
  <si>
    <t>BEN MASSOUAD MONIA</t>
  </si>
  <si>
    <t>1r01565</t>
  </si>
  <si>
    <t>GENERALE ELECT.AUTOMOB</t>
  </si>
  <si>
    <t>NAJET BEN MOHAMED BEN</t>
  </si>
  <si>
    <t>MOHAMED BEN MOHAMED SA</t>
  </si>
  <si>
    <t>STE ALBOURAQ PIECES AU</t>
  </si>
  <si>
    <t>1R02179</t>
  </si>
  <si>
    <t>STE MEKINA</t>
  </si>
  <si>
    <t>3R18378</t>
  </si>
  <si>
    <t>STE FIAT AUTO PIECES [</t>
  </si>
  <si>
    <t>3R18352</t>
  </si>
  <si>
    <t>KALLEL LASSAAD</t>
  </si>
  <si>
    <t>3R18111</t>
  </si>
  <si>
    <t>S. BADREDDINE CHERIF &amp;</t>
  </si>
  <si>
    <t>LAJNEF SAMI BEN MOHAME</t>
  </si>
  <si>
    <t>3R18263</t>
  </si>
  <si>
    <t>STE COMPTOIR SFAXIEN P</t>
  </si>
  <si>
    <t>3R18338</t>
  </si>
  <si>
    <t>STE CHERIF ET AYADI VE</t>
  </si>
  <si>
    <t>3R18331</t>
  </si>
  <si>
    <t>FERJANI FATHALLAH</t>
  </si>
  <si>
    <t>3R15019</t>
  </si>
  <si>
    <t>STE SOMETRAP</t>
  </si>
  <si>
    <t>3S18067</t>
  </si>
  <si>
    <t>STE GOMRI FRERES DE PI</t>
  </si>
  <si>
    <t>SOZEM</t>
  </si>
  <si>
    <t>3R18354</t>
  </si>
  <si>
    <t>STE HSOUNA FRIKHA ET F</t>
  </si>
  <si>
    <t>SALAH FNAIECH</t>
  </si>
  <si>
    <t>3R15025</t>
  </si>
  <si>
    <t>STE IDEALE PIECES AUTO</t>
  </si>
  <si>
    <t>HADHRI MOUHED BEN HAMO</t>
  </si>
  <si>
    <t>STE HAMIDOU D COMMERCE</t>
  </si>
  <si>
    <t>3R15044</t>
  </si>
  <si>
    <t>COMPAGNIE TNNE DE REPRESENT.</t>
  </si>
  <si>
    <t>MOHAMED HEDI BOUAOUJA</t>
  </si>
  <si>
    <t>6R23038</t>
  </si>
  <si>
    <t>MOHAMED B MED NEJIB REGUIGUI</t>
  </si>
  <si>
    <t>STE MEMMI-AUTO ET COMPAGNIES</t>
  </si>
  <si>
    <t>STE EQUIP.GEN.BAROUDI[E.G.B]</t>
  </si>
  <si>
    <t>1R05072</t>
  </si>
  <si>
    <t>HABIB PIECES AUTO</t>
  </si>
  <si>
    <t>1R03033</t>
  </si>
  <si>
    <t>SOCIETE CHAABANE ET CIE</t>
  </si>
  <si>
    <t>1S18011</t>
  </si>
  <si>
    <t>TOTAL 06/2018</t>
  </si>
  <si>
    <t>SOLDE au 19/12/2017</t>
  </si>
  <si>
    <t>FN170061</t>
  </si>
  <si>
    <t>STA CCA</t>
  </si>
  <si>
    <t>CAPITAL ALPHA</t>
  </si>
  <si>
    <t>FG AVANCE/ACT°</t>
  </si>
  <si>
    <t>FG/ACCOR</t>
  </si>
  <si>
    <t>TUNICOM /FG</t>
  </si>
  <si>
    <t>SND DIV</t>
  </si>
  <si>
    <t>STA DIV</t>
  </si>
  <si>
    <t>INOX (MACHINE)</t>
  </si>
  <si>
    <t>IZ TUNICOM</t>
  </si>
  <si>
    <t>FH170017</t>
  </si>
  <si>
    <t>STA (Abdelbeki)</t>
  </si>
  <si>
    <t>DECOMPTE N° 4</t>
  </si>
  <si>
    <t>CHQ 33</t>
  </si>
  <si>
    <t>CHQ 30</t>
  </si>
  <si>
    <t>FN180001</t>
  </si>
  <si>
    <t>ACCUMA 53</t>
  </si>
  <si>
    <t>ACCUMA 54</t>
  </si>
  <si>
    <t>ACCUMA 55</t>
  </si>
  <si>
    <t>ACCUMA 56</t>
  </si>
  <si>
    <t>ACCUMA 01</t>
  </si>
  <si>
    <t>ACCUMA 02</t>
  </si>
  <si>
    <t>ACCUMA 03</t>
  </si>
  <si>
    <t>ACCUMA 04</t>
  </si>
  <si>
    <t>ACCUMA 05</t>
  </si>
  <si>
    <t>ACCUMA 06</t>
  </si>
  <si>
    <t>STCM  1</t>
  </si>
  <si>
    <t>FN180002</t>
  </si>
  <si>
    <t>FH180001</t>
  </si>
  <si>
    <t>DECOMPTE N° 5</t>
  </si>
  <si>
    <t>CHQ 34</t>
  </si>
  <si>
    <t>kt fonderie</t>
  </si>
  <si>
    <t>CHAOUKI BEN ATTIA</t>
  </si>
  <si>
    <t>KAOLA</t>
  </si>
  <si>
    <t>SONEDE FG</t>
  </si>
  <si>
    <t>TELECOM FG</t>
  </si>
  <si>
    <t>CAISSE FG</t>
  </si>
  <si>
    <t xml:space="preserve">CAISSE ACHAT </t>
  </si>
  <si>
    <t>DOUANE</t>
  </si>
  <si>
    <t>KAMEL BEN MAATOUG</t>
  </si>
  <si>
    <t>BILLET FG +AKKARI</t>
  </si>
  <si>
    <t xml:space="preserve">MOTIVATION </t>
  </si>
  <si>
    <t>FG(FOUED)</t>
  </si>
  <si>
    <t>CAISSE EN ATTENDE</t>
  </si>
  <si>
    <t>FRAIS HEBERGEMENT</t>
  </si>
  <si>
    <t>SOLDE CHTOUROU 31/12/2017</t>
  </si>
  <si>
    <t>2 FACT</t>
  </si>
  <si>
    <t>ACHAT PLAQUES 2018</t>
  </si>
  <si>
    <t>TOTAL FACTURATION</t>
  </si>
  <si>
    <t>ACHAT ETAIN 2018</t>
  </si>
  <si>
    <t>ACHAT VIEUX PLOMB 2018</t>
  </si>
  <si>
    <t>TOTAL 2018</t>
  </si>
  <si>
    <t>TRAITE ECH 05/09/2018</t>
  </si>
  <si>
    <t>TRAITE ECH 25/09/2018</t>
  </si>
  <si>
    <t>PAIEMENT RECU au 31/08/2018</t>
  </si>
  <si>
    <t>RS 2018</t>
  </si>
  <si>
    <t>CHQ 35</t>
  </si>
  <si>
    <t>DECOMPTE N° 6</t>
  </si>
  <si>
    <t>CHQ 22</t>
  </si>
</sst>
</file>

<file path=xl/styles.xml><?xml version="1.0" encoding="utf-8"?>
<styleSheet xmlns="http://schemas.openxmlformats.org/spreadsheetml/2006/main">
  <numFmts count="17">
    <numFmt numFmtId="43" formatCode="_-* #,##0.00\ _€_-;\-* #,##0.00\ _€_-;_-* &quot;-&quot;??\ _€_-;_-@_-"/>
    <numFmt numFmtId="164" formatCode="#,##0.000"/>
    <numFmt numFmtId="165" formatCode="#,##0.000\ _F"/>
    <numFmt numFmtId="166" formatCode="#,##0;[Red]#,##0"/>
    <numFmt numFmtId="167" formatCode="0.0000000"/>
    <numFmt numFmtId="168" formatCode="[$$-409]#,##0.00"/>
    <numFmt numFmtId="169" formatCode="#,##0.0000"/>
    <numFmt numFmtId="170" formatCode="#,##0.00\ &quot;€&quot;"/>
    <numFmt numFmtId="171" formatCode="#,##0.000\ _€"/>
    <numFmt numFmtId="172" formatCode="#,##0.00000000"/>
    <numFmt numFmtId="173" formatCode="0.000000"/>
    <numFmt numFmtId="174" formatCode="#,##0.0000000000"/>
    <numFmt numFmtId="175" formatCode="[$-40C]d\-mmm\-yy;@"/>
    <numFmt numFmtId="176" formatCode="[$-40C]mmm\-yy;@"/>
    <numFmt numFmtId="177" formatCode="_-* #,##0.0000000\ _€_-;\-* #,##0.0000000\ _€_-;_-* &quot;-&quot;??\ _€_-;_-@_-"/>
    <numFmt numFmtId="178" formatCode="_-* #,##0.0000000\ _€_-;\-* #,##0.0000000\ _€_-;_-* &quot;-&quot;???????\ _€_-;_-@_-"/>
    <numFmt numFmtId="179" formatCode="0.000000000%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9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11"/>
      <name val="Calibri"/>
      <family val="2"/>
    </font>
    <font>
      <sz val="9"/>
      <name val="Arial"/>
      <family val="2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rgb="FFFF0000"/>
      <name val="Times New Roman"/>
      <family val="1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FF00"/>
      <name val="Times New Roman"/>
      <family val="1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name val="Arial"/>
      <family val="2"/>
    </font>
    <font>
      <b/>
      <sz val="11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13">
    <xf numFmtId="0" fontId="0" fillId="0" borderId="0" xfId="0"/>
    <xf numFmtId="0" fontId="2" fillId="0" borderId="0" xfId="0" applyFont="1"/>
    <xf numFmtId="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0" fontId="5" fillId="0" borderId="0" xfId="0" applyFont="1"/>
    <xf numFmtId="0" fontId="6" fillId="0" borderId="0" xfId="0" applyFont="1"/>
    <xf numFmtId="43" fontId="2" fillId="0" borderId="0" xfId="1" applyFont="1"/>
    <xf numFmtId="0" fontId="6" fillId="0" borderId="10" xfId="0" applyFont="1" applyBorder="1"/>
    <xf numFmtId="0" fontId="6" fillId="0" borderId="14" xfId="0" applyFont="1" applyBorder="1"/>
    <xf numFmtId="0" fontId="6" fillId="0" borderId="15" xfId="0" applyFont="1" applyBorder="1"/>
    <xf numFmtId="14" fontId="6" fillId="0" borderId="16" xfId="0" applyNumberFormat="1" applyFont="1" applyBorder="1"/>
    <xf numFmtId="0" fontId="6" fillId="0" borderId="16" xfId="0" applyFont="1" applyBorder="1"/>
    <xf numFmtId="4" fontId="6" fillId="0" borderId="16" xfId="0" applyNumberFormat="1" applyFont="1" applyBorder="1"/>
    <xf numFmtId="164" fontId="6" fillId="0" borderId="16" xfId="0" applyNumberFormat="1" applyFont="1" applyBorder="1"/>
    <xf numFmtId="14" fontId="6" fillId="0" borderId="17" xfId="0" applyNumberFormat="1" applyFont="1" applyBorder="1"/>
    <xf numFmtId="164" fontId="6" fillId="0" borderId="15" xfId="0" applyNumberFormat="1" applyFont="1" applyBorder="1"/>
    <xf numFmtId="4" fontId="6" fillId="0" borderId="15" xfId="0" applyNumberFormat="1" applyFont="1" applyBorder="1"/>
    <xf numFmtId="0" fontId="6" fillId="0" borderId="17" xfId="0" applyFont="1" applyBorder="1"/>
    <xf numFmtId="4" fontId="6" fillId="0" borderId="14" xfId="0" applyNumberFormat="1" applyFont="1" applyBorder="1"/>
    <xf numFmtId="0" fontId="6" fillId="0" borderId="22" xfId="0" applyFont="1" applyBorder="1"/>
    <xf numFmtId="14" fontId="6" fillId="0" borderId="22" xfId="0" applyNumberFormat="1" applyFont="1" applyBorder="1"/>
    <xf numFmtId="4" fontId="6" fillId="0" borderId="22" xfId="0" applyNumberFormat="1" applyFont="1" applyBorder="1"/>
    <xf numFmtId="164" fontId="6" fillId="0" borderId="22" xfId="0" applyNumberFormat="1" applyFont="1" applyBorder="1"/>
    <xf numFmtId="4" fontId="2" fillId="0" borderId="22" xfId="0" applyNumberFormat="1" applyFont="1" applyBorder="1"/>
    <xf numFmtId="0" fontId="6" fillId="0" borderId="0" xfId="0" applyFont="1" applyBorder="1"/>
    <xf numFmtId="0" fontId="7" fillId="0" borderId="0" xfId="0" applyFont="1"/>
    <xf numFmtId="0" fontId="2" fillId="0" borderId="10" xfId="0" applyFont="1" applyBorder="1"/>
    <xf numFmtId="164" fontId="4" fillId="2" borderId="28" xfId="0" applyNumberFormat="1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4" fontId="4" fillId="2" borderId="28" xfId="0" applyNumberFormat="1" applyFont="1" applyFill="1" applyBorder="1" applyAlignment="1">
      <alignment horizontal="center"/>
    </xf>
    <xf numFmtId="14" fontId="4" fillId="2" borderId="28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166" fontId="10" fillId="5" borderId="18" xfId="0" applyNumberFormat="1" applyFont="1" applyFill="1" applyBorder="1"/>
    <xf numFmtId="166" fontId="11" fillId="0" borderId="0" xfId="0" applyNumberFormat="1" applyFont="1"/>
    <xf numFmtId="0" fontId="12" fillId="6" borderId="10" xfId="0" applyFont="1" applyFill="1" applyBorder="1"/>
    <xf numFmtId="0" fontId="13" fillId="3" borderId="10" xfId="0" applyFont="1" applyFill="1" applyBorder="1"/>
    <xf numFmtId="0" fontId="2" fillId="0" borderId="10" xfId="0" applyFont="1" applyBorder="1" applyAlignment="1">
      <alignment horizontal="left" indent="2"/>
    </xf>
    <xf numFmtId="0" fontId="15" fillId="6" borderId="10" xfId="0" applyFont="1" applyFill="1" applyBorder="1"/>
    <xf numFmtId="0" fontId="10" fillId="0" borderId="10" xfId="0" applyFont="1" applyBorder="1"/>
    <xf numFmtId="0" fontId="2" fillId="0" borderId="10" xfId="0" applyFont="1" applyBorder="1" applyAlignment="1">
      <alignment horizontal="left" indent="1"/>
    </xf>
    <xf numFmtId="0" fontId="10" fillId="0" borderId="10" xfId="0" applyFont="1" applyBorder="1" applyAlignment="1"/>
    <xf numFmtId="166" fontId="10" fillId="5" borderId="10" xfId="0" applyNumberFormat="1" applyFont="1" applyFill="1" applyBorder="1"/>
    <xf numFmtId="166" fontId="4" fillId="4" borderId="14" xfId="0" applyNumberFormat="1" applyFont="1" applyFill="1" applyBorder="1"/>
    <xf numFmtId="14" fontId="7" fillId="0" borderId="0" xfId="0" applyNumberFormat="1" applyFont="1" applyFill="1"/>
    <xf numFmtId="0" fontId="7" fillId="0" borderId="0" xfId="0" applyFont="1" applyFill="1"/>
    <xf numFmtId="14" fontId="4" fillId="0" borderId="32" xfId="0" applyNumberFormat="1" applyFont="1" applyFill="1" applyBorder="1" applyAlignment="1">
      <alignment horizontal="right"/>
    </xf>
    <xf numFmtId="164" fontId="0" fillId="0" borderId="0" xfId="0" applyNumberFormat="1"/>
    <xf numFmtId="43" fontId="3" fillId="0" borderId="0" xfId="1" applyFont="1"/>
    <xf numFmtId="0" fontId="7" fillId="0" borderId="18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horizontal="center"/>
    </xf>
    <xf numFmtId="0" fontId="7" fillId="0" borderId="20" xfId="0" applyFont="1" applyFill="1" applyBorder="1"/>
    <xf numFmtId="4" fontId="7" fillId="0" borderId="20" xfId="0" applyNumberFormat="1" applyFont="1" applyFill="1" applyBorder="1" applyAlignment="1">
      <alignment horizontal="center"/>
    </xf>
    <xf numFmtId="164" fontId="7" fillId="0" borderId="20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4" fontId="7" fillId="0" borderId="19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vertical="center"/>
    </xf>
    <xf numFmtId="4" fontId="7" fillId="0" borderId="18" xfId="0" applyNumberFormat="1" applyFont="1" applyFill="1" applyBorder="1"/>
    <xf numFmtId="43" fontId="2" fillId="0" borderId="0" xfId="1" applyFont="1" applyFill="1"/>
    <xf numFmtId="0" fontId="17" fillId="0" borderId="16" xfId="0" applyFont="1" applyFill="1" applyBorder="1"/>
    <xf numFmtId="4" fontId="17" fillId="0" borderId="16" xfId="0" applyNumberFormat="1" applyFont="1" applyFill="1" applyBorder="1"/>
    <xf numFmtId="14" fontId="17" fillId="0" borderId="17" xfId="0" applyNumberFormat="1" applyFont="1" applyFill="1" applyBorder="1" applyAlignment="1">
      <alignment horizontal="right"/>
    </xf>
    <xf numFmtId="0" fontId="4" fillId="0" borderId="0" xfId="0" applyFont="1" applyFill="1"/>
    <xf numFmtId="0" fontId="2" fillId="0" borderId="24" xfId="0" applyFont="1" applyFill="1" applyBorder="1"/>
    <xf numFmtId="0" fontId="2" fillId="0" borderId="25" xfId="0" applyFont="1" applyFill="1" applyBorder="1"/>
    <xf numFmtId="14" fontId="2" fillId="0" borderId="26" xfId="0" applyNumberFormat="1" applyFont="1" applyFill="1" applyBorder="1"/>
    <xf numFmtId="4" fontId="2" fillId="0" borderId="26" xfId="0" applyNumberFormat="1" applyFont="1" applyFill="1" applyBorder="1"/>
    <xf numFmtId="164" fontId="2" fillId="0" borderId="26" xfId="0" applyNumberFormat="1" applyFont="1" applyFill="1" applyBorder="1"/>
    <xf numFmtId="14" fontId="2" fillId="0" borderId="27" xfId="1" applyNumberFormat="1" applyFont="1" applyFill="1" applyBorder="1"/>
    <xf numFmtId="0" fontId="2" fillId="0" borderId="26" xfId="0" applyFont="1" applyFill="1" applyBorder="1"/>
    <xf numFmtId="0" fontId="2" fillId="0" borderId="27" xfId="0" applyFont="1" applyFill="1" applyBorder="1"/>
    <xf numFmtId="4" fontId="2" fillId="0" borderId="25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2" fillId="0" borderId="14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4" fontId="2" fillId="0" borderId="16" xfId="0" applyNumberFormat="1" applyFont="1" applyFill="1" applyBorder="1"/>
    <xf numFmtId="164" fontId="2" fillId="0" borderId="16" xfId="0" applyNumberFormat="1" applyFont="1" applyFill="1" applyBorder="1"/>
    <xf numFmtId="43" fontId="2" fillId="0" borderId="17" xfId="1" applyFont="1" applyFill="1" applyBorder="1"/>
    <xf numFmtId="164" fontId="2" fillId="0" borderId="15" xfId="0" applyNumberFormat="1" applyFont="1" applyFill="1" applyBorder="1"/>
    <xf numFmtId="0" fontId="2" fillId="0" borderId="17" xfId="0" applyFont="1" applyFill="1" applyBorder="1"/>
    <xf numFmtId="4" fontId="2" fillId="0" borderId="15" xfId="0" applyNumberFormat="1" applyFont="1" applyFill="1" applyBorder="1"/>
    <xf numFmtId="0" fontId="5" fillId="0" borderId="0" xfId="0" applyFont="1" applyFill="1"/>
    <xf numFmtId="43" fontId="6" fillId="0" borderId="0" xfId="1" applyFont="1" applyFill="1"/>
    <xf numFmtId="0" fontId="6" fillId="0" borderId="0" xfId="0" applyFont="1" applyFill="1"/>
    <xf numFmtId="4" fontId="6" fillId="0" borderId="0" xfId="0" applyNumberFormat="1" applyFont="1"/>
    <xf numFmtId="3" fontId="11" fillId="0" borderId="0" xfId="0" applyNumberFormat="1" applyFont="1"/>
    <xf numFmtId="166" fontId="14" fillId="4" borderId="17" xfId="0" applyNumberFormat="1" applyFont="1" applyFill="1" applyBorder="1"/>
    <xf numFmtId="166" fontId="14" fillId="4" borderId="15" xfId="0" applyNumberFormat="1" applyFont="1" applyFill="1" applyBorder="1"/>
    <xf numFmtId="3" fontId="11" fillId="0" borderId="13" xfId="0" applyNumberFormat="1" applyFont="1" applyBorder="1" applyAlignment="1">
      <alignment horizontal="right" indent="1"/>
    </xf>
    <xf numFmtId="3" fontId="11" fillId="0" borderId="11" xfId="0" applyNumberFormat="1" applyFont="1" applyBorder="1" applyAlignment="1">
      <alignment horizontal="right" indent="1"/>
    </xf>
    <xf numFmtId="3" fontId="10" fillId="0" borderId="13" xfId="0" applyNumberFormat="1" applyFont="1" applyBorder="1"/>
    <xf numFmtId="3" fontId="10" fillId="0" borderId="11" xfId="0" applyNumberFormat="1" applyFont="1" applyBorder="1"/>
    <xf numFmtId="3" fontId="10" fillId="0" borderId="13" xfId="0" applyNumberFormat="1" applyFont="1" applyBorder="1" applyAlignment="1">
      <alignment horizontal="right"/>
    </xf>
    <xf numFmtId="3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left"/>
    </xf>
    <xf numFmtId="3" fontId="2" fillId="0" borderId="13" xfId="0" applyNumberFormat="1" applyFont="1" applyBorder="1" applyAlignment="1">
      <alignment horizontal="right" indent="1"/>
    </xf>
    <xf numFmtId="3" fontId="6" fillId="0" borderId="11" xfId="0" applyNumberFormat="1" applyFont="1" applyBorder="1" applyAlignment="1">
      <alignment horizontal="right" indent="1"/>
    </xf>
    <xf numFmtId="0" fontId="7" fillId="7" borderId="10" xfId="0" applyFont="1" applyFill="1" applyBorder="1"/>
    <xf numFmtId="3" fontId="11" fillId="0" borderId="13" xfId="0" applyNumberFormat="1" applyFont="1" applyBorder="1"/>
    <xf numFmtId="3" fontId="10" fillId="0" borderId="11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5" fillId="3" borderId="13" xfId="0" applyNumberFormat="1" applyFont="1" applyFill="1" applyBorder="1"/>
    <xf numFmtId="3" fontId="5" fillId="3" borderId="11" xfId="0" applyNumberFormat="1" applyFont="1" applyFill="1" applyBorder="1"/>
    <xf numFmtId="14" fontId="0" fillId="0" borderId="0" xfId="0" applyNumberFormat="1"/>
    <xf numFmtId="4" fontId="0" fillId="0" borderId="0" xfId="0" applyNumberFormat="1"/>
    <xf numFmtId="0" fontId="18" fillId="0" borderId="0" xfId="0" applyFont="1"/>
    <xf numFmtId="168" fontId="0" fillId="0" borderId="0" xfId="0" applyNumberFormat="1"/>
    <xf numFmtId="4" fontId="20" fillId="2" borderId="34" xfId="0" applyNumberFormat="1" applyFont="1" applyFill="1" applyBorder="1"/>
    <xf numFmtId="0" fontId="0" fillId="0" borderId="0" xfId="0" applyFill="1"/>
    <xf numFmtId="14" fontId="0" fillId="0" borderId="0" xfId="0" applyNumberFormat="1" applyFill="1"/>
    <xf numFmtId="0" fontId="22" fillId="0" borderId="28" xfId="0" applyFont="1" applyFill="1" applyBorder="1"/>
    <xf numFmtId="14" fontId="23" fillId="0" borderId="28" xfId="0" applyNumberFormat="1" applyFont="1" applyFill="1" applyBorder="1" applyAlignment="1">
      <alignment horizontal="right"/>
    </xf>
    <xf numFmtId="14" fontId="23" fillId="0" borderId="28" xfId="0" applyNumberFormat="1" applyFont="1" applyFill="1" applyBorder="1"/>
    <xf numFmtId="4" fontId="23" fillId="0" borderId="28" xfId="0" applyNumberFormat="1" applyFont="1" applyFill="1" applyBorder="1"/>
    <xf numFmtId="169" fontId="23" fillId="0" borderId="28" xfId="0" applyNumberFormat="1" applyFont="1" applyFill="1" applyBorder="1"/>
    <xf numFmtId="170" fontId="23" fillId="0" borderId="28" xfId="0" applyNumberFormat="1" applyFont="1" applyFill="1" applyBorder="1"/>
    <xf numFmtId="0" fontId="23" fillId="0" borderId="28" xfId="0" applyFont="1" applyFill="1" applyBorder="1"/>
    <xf numFmtId="171" fontId="20" fillId="2" borderId="34" xfId="0" applyNumberFormat="1" applyFont="1" applyFill="1" applyBorder="1" applyAlignment="1">
      <alignment horizontal="right"/>
    </xf>
    <xf numFmtId="0" fontId="20" fillId="2" borderId="9" xfId="0" applyFont="1" applyFill="1" applyBorder="1" applyAlignment="1">
      <alignment horizontal="center"/>
    </xf>
    <xf numFmtId="0" fontId="20" fillId="2" borderId="23" xfId="0" applyFont="1" applyFill="1" applyBorder="1" applyAlignment="1">
      <alignment horizontal="center"/>
    </xf>
    <xf numFmtId="0" fontId="20" fillId="2" borderId="37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2" borderId="38" xfId="0" applyFont="1" applyFill="1" applyBorder="1" applyAlignment="1">
      <alignment horizontal="center"/>
    </xf>
    <xf numFmtId="0" fontId="20" fillId="2" borderId="8" xfId="0" applyFont="1" applyFill="1" applyBorder="1" applyAlignment="1">
      <alignment horizontal="center"/>
    </xf>
    <xf numFmtId="0" fontId="24" fillId="0" borderId="28" xfId="0" applyFont="1" applyFill="1" applyBorder="1" applyAlignment="1">
      <alignment horizontal="left" vertical="center"/>
    </xf>
    <xf numFmtId="3" fontId="11" fillId="0" borderId="12" xfId="0" applyNumberFormat="1" applyFont="1" applyBorder="1"/>
    <xf numFmtId="3" fontId="5" fillId="3" borderId="12" xfId="0" applyNumberFormat="1" applyFont="1" applyFill="1" applyBorder="1"/>
    <xf numFmtId="3" fontId="10" fillId="0" borderId="12" xfId="0" applyNumberFormat="1" applyFont="1" applyBorder="1"/>
    <xf numFmtId="3" fontId="10" fillId="0" borderId="12" xfId="0" applyNumberFormat="1" applyFont="1" applyBorder="1" applyAlignment="1">
      <alignment horizontal="right"/>
    </xf>
    <xf numFmtId="3" fontId="2" fillId="0" borderId="12" xfId="0" applyNumberFormat="1" applyFont="1" applyBorder="1" applyAlignment="1">
      <alignment horizontal="right" indent="1"/>
    </xf>
    <xf numFmtId="3" fontId="11" fillId="0" borderId="12" xfId="0" applyNumberFormat="1" applyFont="1" applyBorder="1" applyAlignment="1">
      <alignment horizontal="right" indent="1"/>
    </xf>
    <xf numFmtId="166" fontId="10" fillId="5" borderId="11" xfId="0" applyNumberFormat="1" applyFont="1" applyFill="1" applyBorder="1" applyAlignment="1">
      <alignment horizontal="center"/>
    </xf>
    <xf numFmtId="166" fontId="10" fillId="5" borderId="13" xfId="0" applyNumberFormat="1" applyFont="1" applyFill="1" applyBorder="1" applyAlignment="1">
      <alignment horizontal="center"/>
    </xf>
    <xf numFmtId="166" fontId="10" fillId="5" borderId="12" xfId="0" applyNumberFormat="1" applyFont="1" applyFill="1" applyBorder="1" applyAlignment="1">
      <alignment horizontal="center"/>
    </xf>
    <xf numFmtId="166" fontId="14" fillId="4" borderId="16" xfId="0" applyNumberFormat="1" applyFont="1" applyFill="1" applyBorder="1"/>
    <xf numFmtId="3" fontId="11" fillId="0" borderId="39" xfId="0" applyNumberFormat="1" applyFont="1" applyBorder="1" applyAlignment="1">
      <alignment horizontal="center"/>
    </xf>
    <xf numFmtId="3" fontId="5" fillId="3" borderId="39" xfId="0" applyNumberFormat="1" applyFont="1" applyFill="1" applyBorder="1"/>
    <xf numFmtId="3" fontId="10" fillId="0" borderId="39" xfId="0" applyNumberFormat="1" applyFont="1" applyBorder="1" applyAlignment="1">
      <alignment horizontal="center"/>
    </xf>
    <xf numFmtId="3" fontId="6" fillId="0" borderId="39" xfId="0" applyNumberFormat="1" applyFont="1" applyBorder="1" applyAlignment="1">
      <alignment horizontal="right" indent="1"/>
    </xf>
    <xf numFmtId="3" fontId="11" fillId="0" borderId="39" xfId="0" applyNumberFormat="1" applyFont="1" applyBorder="1" applyAlignment="1">
      <alignment horizontal="right" indent="1"/>
    </xf>
    <xf numFmtId="3" fontId="10" fillId="5" borderId="28" xfId="0" applyNumberFormat="1" applyFont="1" applyFill="1" applyBorder="1" applyAlignment="1">
      <alignment horizontal="center"/>
    </xf>
    <xf numFmtId="3" fontId="11" fillId="0" borderId="29" xfId="0" applyNumberFormat="1" applyFont="1" applyBorder="1" applyAlignment="1">
      <alignment horizontal="center"/>
    </xf>
    <xf numFmtId="3" fontId="11" fillId="0" borderId="40" xfId="0" applyNumberFormat="1" applyFont="1" applyBorder="1" applyAlignment="1">
      <alignment horizontal="center"/>
    </xf>
    <xf numFmtId="3" fontId="11" fillId="0" borderId="41" xfId="0" applyNumberFormat="1" applyFont="1" applyBorder="1"/>
    <xf numFmtId="0" fontId="4" fillId="4" borderId="10" xfId="0" applyFont="1" applyFill="1" applyBorder="1"/>
    <xf numFmtId="0" fontId="4" fillId="4" borderId="11" xfId="0" applyFont="1" applyFill="1" applyBorder="1"/>
    <xf numFmtId="14" fontId="4" fillId="4" borderId="12" xfId="0" applyNumberFormat="1" applyFont="1" applyFill="1" applyBorder="1"/>
    <xf numFmtId="0" fontId="4" fillId="4" borderId="12" xfId="0" applyFont="1" applyFill="1" applyBorder="1"/>
    <xf numFmtId="4" fontId="4" fillId="4" borderId="12" xfId="0" applyNumberFormat="1" applyFont="1" applyFill="1" applyBorder="1"/>
    <xf numFmtId="164" fontId="4" fillId="4" borderId="12" xfId="0" applyNumberFormat="1" applyFont="1" applyFill="1" applyBorder="1"/>
    <xf numFmtId="14" fontId="4" fillId="4" borderId="13" xfId="0" applyNumberFormat="1" applyFont="1" applyFill="1" applyBorder="1"/>
    <xf numFmtId="164" fontId="4" fillId="4" borderId="11" xfId="0" applyNumberFormat="1" applyFont="1" applyFill="1" applyBorder="1"/>
    <xf numFmtId="0" fontId="4" fillId="4" borderId="13" xfId="0" applyFont="1" applyFill="1" applyBorder="1"/>
    <xf numFmtId="4" fontId="4" fillId="4" borderId="11" xfId="0" applyNumberFormat="1" applyFont="1" applyFill="1" applyBorder="1"/>
    <xf numFmtId="4" fontId="4" fillId="4" borderId="10" xfId="0" applyNumberFormat="1" applyFont="1" applyFill="1" applyBorder="1"/>
    <xf numFmtId="3" fontId="11" fillId="0" borderId="12" xfId="0" applyNumberFormat="1" applyFont="1" applyFill="1" applyBorder="1" applyAlignment="1">
      <alignment horizontal="right" indent="1"/>
    </xf>
    <xf numFmtId="3" fontId="11" fillId="0" borderId="12" xfId="0" applyNumberFormat="1" applyFont="1" applyFill="1" applyBorder="1"/>
    <xf numFmtId="3" fontId="10" fillId="7" borderId="11" xfId="0" applyNumberFormat="1" applyFont="1" applyFill="1" applyBorder="1" applyAlignment="1">
      <alignment horizontal="center"/>
    </xf>
    <xf numFmtId="3" fontId="10" fillId="7" borderId="39" xfId="0" applyNumberFormat="1" applyFont="1" applyFill="1" applyBorder="1" applyAlignment="1">
      <alignment horizontal="center"/>
    </xf>
    <xf numFmtId="3" fontId="11" fillId="7" borderId="12" xfId="0" applyNumberFormat="1" applyFont="1" applyFill="1" applyBorder="1"/>
    <xf numFmtId="3" fontId="11" fillId="7" borderId="13" xfId="0" applyNumberFormat="1" applyFont="1" applyFill="1" applyBorder="1"/>
    <xf numFmtId="14" fontId="4" fillId="4" borderId="13" xfId="1" applyNumberFormat="1" applyFont="1" applyFill="1" applyBorder="1"/>
    <xf numFmtId="3" fontId="11" fillId="0" borderId="13" xfId="0" applyNumberFormat="1" applyFont="1" applyFill="1" applyBorder="1" applyAlignment="1">
      <alignment horizontal="right" indent="1"/>
    </xf>
    <xf numFmtId="4" fontId="4" fillId="0" borderId="7" xfId="0" applyNumberFormat="1" applyFont="1" applyFill="1" applyBorder="1"/>
    <xf numFmtId="4" fontId="5" fillId="0" borderId="0" xfId="0" applyNumberFormat="1" applyFont="1"/>
    <xf numFmtId="0" fontId="7" fillId="4" borderId="14" xfId="0" applyFont="1" applyFill="1" applyBorder="1"/>
    <xf numFmtId="0" fontId="7" fillId="4" borderId="15" xfId="0" applyFont="1" applyFill="1" applyBorder="1"/>
    <xf numFmtId="14" fontId="7" fillId="4" borderId="16" xfId="0" applyNumberFormat="1" applyFont="1" applyFill="1" applyBorder="1"/>
    <xf numFmtId="0" fontId="7" fillId="4" borderId="16" xfId="0" applyFont="1" applyFill="1" applyBorder="1"/>
    <xf numFmtId="4" fontId="7" fillId="4" borderId="16" xfId="0" applyNumberFormat="1" applyFont="1" applyFill="1" applyBorder="1"/>
    <xf numFmtId="164" fontId="7" fillId="4" borderId="16" xfId="0" applyNumberFormat="1" applyFont="1" applyFill="1" applyBorder="1"/>
    <xf numFmtId="14" fontId="7" fillId="4" borderId="17" xfId="0" applyNumberFormat="1" applyFont="1" applyFill="1" applyBorder="1"/>
    <xf numFmtId="164" fontId="7" fillId="4" borderId="15" xfId="0" applyNumberFormat="1" applyFont="1" applyFill="1" applyBorder="1"/>
    <xf numFmtId="0" fontId="7" fillId="4" borderId="17" xfId="0" applyFont="1" applyFill="1" applyBorder="1"/>
    <xf numFmtId="4" fontId="7" fillId="4" borderId="15" xfId="0" applyNumberFormat="1" applyFont="1" applyFill="1" applyBorder="1"/>
    <xf numFmtId="4" fontId="7" fillId="4" borderId="14" xfId="0" applyNumberFormat="1" applyFont="1" applyFill="1" applyBorder="1"/>
    <xf numFmtId="0" fontId="4" fillId="4" borderId="24" xfId="0" applyFont="1" applyFill="1" applyBorder="1"/>
    <xf numFmtId="0" fontId="4" fillId="4" borderId="25" xfId="0" applyFont="1" applyFill="1" applyBorder="1"/>
    <xf numFmtId="14" fontId="4" fillId="4" borderId="26" xfId="0" applyNumberFormat="1" applyFont="1" applyFill="1" applyBorder="1"/>
    <xf numFmtId="0" fontId="4" fillId="4" borderId="26" xfId="0" applyFont="1" applyFill="1" applyBorder="1"/>
    <xf numFmtId="4" fontId="4" fillId="4" borderId="26" xfId="0" applyNumberFormat="1" applyFont="1" applyFill="1" applyBorder="1"/>
    <xf numFmtId="164" fontId="4" fillId="4" borderId="26" xfId="0" applyNumberFormat="1" applyFont="1" applyFill="1" applyBorder="1"/>
    <xf numFmtId="14" fontId="4" fillId="4" borderId="27" xfId="0" applyNumberFormat="1" applyFont="1" applyFill="1" applyBorder="1"/>
    <xf numFmtId="164" fontId="4" fillId="4" borderId="25" xfId="0" applyNumberFormat="1" applyFont="1" applyFill="1" applyBorder="1"/>
    <xf numFmtId="4" fontId="4" fillId="4" borderId="25" xfId="0" applyNumberFormat="1" applyFont="1" applyFill="1" applyBorder="1"/>
    <xf numFmtId="0" fontId="4" fillId="4" borderId="27" xfId="0" applyFont="1" applyFill="1" applyBorder="1"/>
    <xf numFmtId="4" fontId="4" fillId="4" borderId="24" xfId="0" applyNumberFormat="1" applyFont="1" applyFill="1" applyBorder="1"/>
    <xf numFmtId="0" fontId="4" fillId="4" borderId="18" xfId="0" applyFont="1" applyFill="1" applyBorder="1"/>
    <xf numFmtId="0" fontId="4" fillId="4" borderId="19" xfId="0" applyFont="1" applyFill="1" applyBorder="1"/>
    <xf numFmtId="14" fontId="4" fillId="4" borderId="20" xfId="0" applyNumberFormat="1" applyFont="1" applyFill="1" applyBorder="1"/>
    <xf numFmtId="0" fontId="4" fillId="4" borderId="20" xfId="0" applyFont="1" applyFill="1" applyBorder="1"/>
    <xf numFmtId="4" fontId="4" fillId="4" borderId="20" xfId="0" applyNumberFormat="1" applyFont="1" applyFill="1" applyBorder="1"/>
    <xf numFmtId="164" fontId="4" fillId="4" borderId="20" xfId="0" applyNumberFormat="1" applyFont="1" applyFill="1" applyBorder="1"/>
    <xf numFmtId="14" fontId="4" fillId="4" borderId="21" xfId="0" applyNumberFormat="1" applyFont="1" applyFill="1" applyBorder="1"/>
    <xf numFmtId="164" fontId="4" fillId="4" borderId="19" xfId="0" applyNumberFormat="1" applyFont="1" applyFill="1" applyBorder="1"/>
    <xf numFmtId="4" fontId="4" fillId="4" borderId="19" xfId="0" applyNumberFormat="1" applyFont="1" applyFill="1" applyBorder="1"/>
    <xf numFmtId="0" fontId="4" fillId="4" borderId="21" xfId="0" applyFont="1" applyFill="1" applyBorder="1"/>
    <xf numFmtId="4" fontId="4" fillId="4" borderId="18" xfId="0" applyNumberFormat="1" applyFont="1" applyFill="1" applyBorder="1"/>
    <xf numFmtId="14" fontId="17" fillId="0" borderId="16" xfId="0" applyNumberFormat="1" applyFont="1" applyFill="1" applyBorder="1"/>
    <xf numFmtId="0" fontId="7" fillId="0" borderId="15" xfId="0" applyFont="1" applyFill="1" applyBorder="1"/>
    <xf numFmtId="4" fontId="7" fillId="0" borderId="16" xfId="0" applyNumberFormat="1" applyFont="1" applyFill="1" applyBorder="1"/>
    <xf numFmtId="43" fontId="5" fillId="0" borderId="0" xfId="1" applyFont="1"/>
    <xf numFmtId="0" fontId="5" fillId="0" borderId="24" xfId="0" applyFont="1" applyFill="1" applyBorder="1"/>
    <xf numFmtId="0" fontId="5" fillId="0" borderId="25" xfId="0" applyFont="1" applyFill="1" applyBorder="1"/>
    <xf numFmtId="14" fontId="5" fillId="0" borderId="26" xfId="0" applyNumberFormat="1" applyFont="1" applyFill="1" applyBorder="1"/>
    <xf numFmtId="4" fontId="5" fillId="0" borderId="26" xfId="0" applyNumberFormat="1" applyFont="1" applyFill="1" applyBorder="1"/>
    <xf numFmtId="164" fontId="5" fillId="0" borderId="26" xfId="0" applyNumberFormat="1" applyFont="1" applyFill="1" applyBorder="1"/>
    <xf numFmtId="14" fontId="5" fillId="0" borderId="27" xfId="1" applyNumberFormat="1" applyFont="1" applyFill="1" applyBorder="1"/>
    <xf numFmtId="164" fontId="5" fillId="0" borderId="25" xfId="0" applyNumberFormat="1" applyFont="1" applyFill="1" applyBorder="1"/>
    <xf numFmtId="0" fontId="5" fillId="0" borderId="26" xfId="0" applyFont="1" applyFill="1" applyBorder="1"/>
    <xf numFmtId="4" fontId="5" fillId="0" borderId="25" xfId="0" applyNumberFormat="1" applyFont="1" applyFill="1" applyBorder="1"/>
    <xf numFmtId="0" fontId="5" fillId="0" borderId="27" xfId="0" applyFont="1" applyFill="1" applyBorder="1"/>
    <xf numFmtId="43" fontId="5" fillId="0" borderId="0" xfId="1" applyFont="1" applyFill="1"/>
    <xf numFmtId="0" fontId="3" fillId="0" borderId="26" xfId="0" applyFont="1" applyFill="1" applyBorder="1"/>
    <xf numFmtId="164" fontId="3" fillId="0" borderId="25" xfId="0" applyNumberFormat="1" applyFont="1" applyFill="1" applyBorder="1"/>
    <xf numFmtId="0" fontId="3" fillId="0" borderId="27" xfId="0" applyFont="1" applyFill="1" applyBorder="1"/>
    <xf numFmtId="4" fontId="3" fillId="0" borderId="25" xfId="0" applyNumberFormat="1" applyFont="1" applyFill="1" applyBorder="1"/>
    <xf numFmtId="43" fontId="3" fillId="0" borderId="0" xfId="1" applyFont="1" applyFill="1"/>
    <xf numFmtId="0" fontId="7" fillId="4" borderId="18" xfId="0" applyFont="1" applyFill="1" applyBorder="1"/>
    <xf numFmtId="0" fontId="7" fillId="4" borderId="19" xfId="0" applyFont="1" applyFill="1" applyBorder="1"/>
    <xf numFmtId="14" fontId="7" fillId="4" borderId="20" xfId="0" applyNumberFormat="1" applyFont="1" applyFill="1" applyBorder="1"/>
    <xf numFmtId="0" fontId="7" fillId="4" borderId="20" xfId="0" applyFont="1" applyFill="1" applyBorder="1"/>
    <xf numFmtId="4" fontId="7" fillId="4" borderId="20" xfId="0" applyNumberFormat="1" applyFont="1" applyFill="1" applyBorder="1"/>
    <xf numFmtId="164" fontId="7" fillId="4" borderId="20" xfId="0" applyNumberFormat="1" applyFont="1" applyFill="1" applyBorder="1"/>
    <xf numFmtId="14" fontId="7" fillId="4" borderId="21" xfId="0" applyNumberFormat="1" applyFont="1" applyFill="1" applyBorder="1"/>
    <xf numFmtId="164" fontId="7" fillId="4" borderId="19" xfId="0" applyNumberFormat="1" applyFont="1" applyFill="1" applyBorder="1"/>
    <xf numFmtId="4" fontId="7" fillId="4" borderId="19" xfId="0" applyNumberFormat="1" applyFont="1" applyFill="1" applyBorder="1"/>
    <xf numFmtId="4" fontId="7" fillId="4" borderId="18" xfId="0" applyNumberFormat="1" applyFont="1" applyFill="1" applyBorder="1"/>
    <xf numFmtId="0" fontId="7" fillId="4" borderId="10" xfId="0" applyFont="1" applyFill="1" applyBorder="1"/>
    <xf numFmtId="0" fontId="7" fillId="4" borderId="11" xfId="0" applyFont="1" applyFill="1" applyBorder="1"/>
    <xf numFmtId="14" fontId="7" fillId="4" borderId="12" xfId="0" applyNumberFormat="1" applyFont="1" applyFill="1" applyBorder="1"/>
    <xf numFmtId="0" fontId="7" fillId="4" borderId="12" xfId="0" applyFont="1" applyFill="1" applyBorder="1"/>
    <xf numFmtId="4" fontId="7" fillId="4" borderId="12" xfId="0" applyNumberFormat="1" applyFont="1" applyFill="1" applyBorder="1"/>
    <xf numFmtId="164" fontId="7" fillId="4" borderId="12" xfId="0" applyNumberFormat="1" applyFont="1" applyFill="1" applyBorder="1"/>
    <xf numFmtId="14" fontId="7" fillId="4" borderId="13" xfId="1" applyNumberFormat="1" applyFont="1" applyFill="1" applyBorder="1"/>
    <xf numFmtId="164" fontId="7" fillId="4" borderId="11" xfId="0" applyNumberFormat="1" applyFont="1" applyFill="1" applyBorder="1"/>
    <xf numFmtId="14" fontId="7" fillId="4" borderId="13" xfId="0" applyNumberFormat="1" applyFont="1" applyFill="1" applyBorder="1"/>
    <xf numFmtId="4" fontId="7" fillId="4" borderId="11" xfId="0" applyNumberFormat="1" applyFont="1" applyFill="1" applyBorder="1"/>
    <xf numFmtId="0" fontId="7" fillId="4" borderId="13" xfId="0" applyFont="1" applyFill="1" applyBorder="1"/>
    <xf numFmtId="4" fontId="7" fillId="4" borderId="10" xfId="0" applyNumberFormat="1" applyFont="1" applyFill="1" applyBorder="1"/>
    <xf numFmtId="14" fontId="2" fillId="0" borderId="27" xfId="0" applyNumberFormat="1" applyFont="1" applyFill="1" applyBorder="1"/>
    <xf numFmtId="164" fontId="2" fillId="0" borderId="25" xfId="0" applyNumberFormat="1" applyFont="1" applyFill="1" applyBorder="1"/>
    <xf numFmtId="43" fontId="4" fillId="0" borderId="0" xfId="1" applyFont="1" applyFill="1"/>
    <xf numFmtId="0" fontId="2" fillId="4" borderId="24" xfId="0" applyFont="1" applyFill="1" applyBorder="1"/>
    <xf numFmtId="0" fontId="2" fillId="4" borderId="25" xfId="0" applyFont="1" applyFill="1" applyBorder="1"/>
    <xf numFmtId="14" fontId="2" fillId="4" borderId="26" xfId="0" applyNumberFormat="1" applyFont="1" applyFill="1" applyBorder="1"/>
    <xf numFmtId="0" fontId="2" fillId="4" borderId="26" xfId="0" applyFont="1" applyFill="1" applyBorder="1"/>
    <xf numFmtId="4" fontId="2" fillId="4" borderId="26" xfId="0" applyNumberFormat="1" applyFont="1" applyFill="1" applyBorder="1"/>
    <xf numFmtId="164" fontId="2" fillId="4" borderId="26" xfId="0" applyNumberFormat="1" applyFont="1" applyFill="1" applyBorder="1"/>
    <xf numFmtId="0" fontId="2" fillId="4" borderId="27" xfId="0" applyFont="1" applyFill="1" applyBorder="1"/>
    <xf numFmtId="4" fontId="2" fillId="4" borderId="25" xfId="0" applyNumberFormat="1" applyFont="1" applyFill="1" applyBorder="1"/>
    <xf numFmtId="4" fontId="6" fillId="0" borderId="11" xfId="0" applyNumberFormat="1" applyFont="1" applyBorder="1"/>
    <xf numFmtId="0" fontId="6" fillId="0" borderId="12" xfId="0" applyFont="1" applyBorder="1"/>
    <xf numFmtId="4" fontId="6" fillId="0" borderId="12" xfId="0" applyNumberFormat="1" applyFont="1" applyBorder="1"/>
    <xf numFmtId="0" fontId="6" fillId="0" borderId="11" xfId="0" applyFont="1" applyBorder="1"/>
    <xf numFmtId="164" fontId="6" fillId="0" borderId="12" xfId="0" applyNumberFormat="1" applyFont="1" applyBorder="1"/>
    <xf numFmtId="0" fontId="6" fillId="0" borderId="1" xfId="0" applyFont="1" applyBorder="1"/>
    <xf numFmtId="0" fontId="2" fillId="0" borderId="4" xfId="0" applyFont="1" applyBorder="1"/>
    <xf numFmtId="0" fontId="2" fillId="0" borderId="48" xfId="0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0" fontId="2" fillId="0" borderId="29" xfId="0" applyFont="1" applyBorder="1"/>
    <xf numFmtId="0" fontId="2" fillId="0" borderId="41" xfId="0" applyFont="1" applyBorder="1"/>
    <xf numFmtId="11" fontId="6" fillId="0" borderId="5" xfId="0" applyNumberFormat="1" applyFont="1" applyBorder="1" applyAlignment="1">
      <alignment horizontal="center"/>
    </xf>
    <xf numFmtId="43" fontId="5" fillId="0" borderId="0" xfId="0" applyNumberFormat="1" applyFont="1"/>
    <xf numFmtId="43" fontId="5" fillId="0" borderId="0" xfId="0" applyNumberFormat="1" applyFont="1" applyFill="1"/>
    <xf numFmtId="43" fontId="6" fillId="0" borderId="0" xfId="0" applyNumberFormat="1" applyFont="1" applyFill="1"/>
    <xf numFmtId="164" fontId="2" fillId="4" borderId="25" xfId="0" applyNumberFormat="1" applyFont="1" applyFill="1" applyBorder="1"/>
    <xf numFmtId="14" fontId="2" fillId="4" borderId="27" xfId="0" applyNumberFormat="1" applyFont="1" applyFill="1" applyBorder="1"/>
    <xf numFmtId="4" fontId="5" fillId="0" borderId="24" xfId="0" applyNumberFormat="1" applyFont="1" applyFill="1" applyBorder="1"/>
    <xf numFmtId="4" fontId="3" fillId="0" borderId="24" xfId="0" applyNumberFormat="1" applyFont="1" applyFill="1" applyBorder="1"/>
    <xf numFmtId="4" fontId="2" fillId="4" borderId="24" xfId="0" applyNumberFormat="1" applyFont="1" applyFill="1" applyBorder="1"/>
    <xf numFmtId="172" fontId="0" fillId="0" borderId="0" xfId="0" applyNumberFormat="1"/>
    <xf numFmtId="14" fontId="4" fillId="4" borderId="27" xfId="1" applyNumberFormat="1" applyFont="1" applyFill="1" applyBorder="1"/>
    <xf numFmtId="2" fontId="5" fillId="0" borderId="0" xfId="0" applyNumberFormat="1" applyFont="1"/>
    <xf numFmtId="173" fontId="0" fillId="0" borderId="0" xfId="0" applyNumberFormat="1"/>
    <xf numFmtId="3" fontId="10" fillId="5" borderId="19" xfId="0" applyNumberFormat="1" applyFont="1" applyFill="1" applyBorder="1" applyAlignment="1">
      <alignment horizontal="center"/>
    </xf>
    <xf numFmtId="3" fontId="10" fillId="5" borderId="20" xfId="0" applyNumberFormat="1" applyFont="1" applyFill="1" applyBorder="1" applyAlignment="1">
      <alignment horizontal="center"/>
    </xf>
    <xf numFmtId="3" fontId="10" fillId="5" borderId="21" xfId="0" applyNumberFormat="1" applyFont="1" applyFill="1" applyBorder="1" applyAlignment="1">
      <alignment horizontal="center"/>
    </xf>
    <xf numFmtId="0" fontId="29" fillId="0" borderId="0" xfId="0" applyFont="1"/>
    <xf numFmtId="3" fontId="29" fillId="0" borderId="0" xfId="0" applyNumberFormat="1" applyFont="1"/>
    <xf numFmtId="3" fontId="13" fillId="0" borderId="0" xfId="0" applyNumberFormat="1" applyFont="1"/>
    <xf numFmtId="0" fontId="13" fillId="0" borderId="0" xfId="0" applyFont="1"/>
    <xf numFmtId="3" fontId="27" fillId="0" borderId="0" xfId="0" applyNumberFormat="1" applyFont="1"/>
    <xf numFmtId="164" fontId="7" fillId="4" borderId="25" xfId="0" applyNumberFormat="1" applyFont="1" applyFill="1" applyBorder="1"/>
    <xf numFmtId="0" fontId="7" fillId="4" borderId="26" xfId="0" applyFont="1" applyFill="1" applyBorder="1"/>
    <xf numFmtId="14" fontId="7" fillId="4" borderId="27" xfId="0" applyNumberFormat="1" applyFont="1" applyFill="1" applyBorder="1"/>
    <xf numFmtId="174" fontId="0" fillId="0" borderId="0" xfId="0" applyNumberFormat="1"/>
    <xf numFmtId="0" fontId="7" fillId="0" borderId="16" xfId="0" applyFont="1" applyFill="1" applyBorder="1"/>
    <xf numFmtId="14" fontId="2" fillId="0" borderId="0" xfId="0" applyNumberFormat="1" applyFont="1"/>
    <xf numFmtId="14" fontId="2" fillId="0" borderId="0" xfId="1" applyNumberFormat="1" applyFont="1"/>
    <xf numFmtId="3" fontId="27" fillId="0" borderId="12" xfId="0" applyNumberFormat="1" applyFont="1" applyFill="1" applyBorder="1" applyAlignment="1">
      <alignment horizontal="right" indent="1"/>
    </xf>
    <xf numFmtId="3" fontId="5" fillId="0" borderId="12" xfId="0" applyNumberFormat="1" applyFont="1" applyBorder="1" applyAlignment="1">
      <alignment horizontal="right" indent="1"/>
    </xf>
    <xf numFmtId="4" fontId="7" fillId="0" borderId="0" xfId="0" applyNumberFormat="1" applyFont="1" applyFill="1"/>
    <xf numFmtId="14" fontId="31" fillId="0" borderId="0" xfId="0" applyNumberFormat="1" applyFont="1" applyAlignment="1">
      <alignment horizontal="right"/>
    </xf>
    <xf numFmtId="0" fontId="31" fillId="0" borderId="0" xfId="0" applyFont="1" applyAlignment="1">
      <alignment horizontal="right"/>
    </xf>
    <xf numFmtId="0" fontId="30" fillId="0" borderId="0" xfId="0" applyFont="1" applyAlignment="1">
      <alignment horizontal="right"/>
    </xf>
    <xf numFmtId="3" fontId="30" fillId="0" borderId="0" xfId="0" applyNumberFormat="1" applyFont="1" applyAlignment="1">
      <alignment horizontal="right"/>
    </xf>
    <xf numFmtId="0" fontId="32" fillId="8" borderId="6" xfId="0" applyFont="1" applyFill="1" applyBorder="1" applyAlignment="1">
      <alignment horizontal="right"/>
    </xf>
    <xf numFmtId="3" fontId="32" fillId="8" borderId="6" xfId="0" applyNumberFormat="1" applyFont="1" applyFill="1" applyBorder="1" applyAlignment="1">
      <alignment horizontal="center"/>
    </xf>
    <xf numFmtId="14" fontId="32" fillId="8" borderId="6" xfId="0" applyNumberFormat="1" applyFont="1" applyFill="1" applyBorder="1" applyAlignment="1">
      <alignment horizontal="center"/>
    </xf>
    <xf numFmtId="14" fontId="32" fillId="8" borderId="7" xfId="0" applyNumberFormat="1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1" fillId="0" borderId="0" xfId="0" applyFont="1" applyFill="1" applyAlignment="1">
      <alignment horizontal="right"/>
    </xf>
    <xf numFmtId="3" fontId="35" fillId="9" borderId="53" xfId="0" applyNumberFormat="1" applyFont="1" applyFill="1" applyBorder="1" applyAlignment="1">
      <alignment horizontal="right"/>
    </xf>
    <xf numFmtId="3" fontId="35" fillId="9" borderId="46" xfId="0" applyNumberFormat="1" applyFont="1" applyFill="1" applyBorder="1" applyAlignment="1">
      <alignment horizontal="right"/>
    </xf>
    <xf numFmtId="3" fontId="30" fillId="9" borderId="5" xfId="0" applyNumberFormat="1" applyFont="1" applyFill="1" applyBorder="1" applyAlignment="1">
      <alignment horizontal="right"/>
    </xf>
    <xf numFmtId="14" fontId="31" fillId="9" borderId="6" xfId="0" applyNumberFormat="1" applyFont="1" applyFill="1" applyBorder="1" applyAlignment="1">
      <alignment horizontal="right"/>
    </xf>
    <xf numFmtId="14" fontId="31" fillId="9" borderId="7" xfId="0" applyNumberFormat="1" applyFont="1" applyFill="1" applyBorder="1" applyAlignment="1">
      <alignment horizontal="right"/>
    </xf>
    <xf numFmtId="3" fontId="35" fillId="9" borderId="5" xfId="0" applyNumberFormat="1" applyFont="1" applyFill="1" applyBorder="1" applyAlignment="1">
      <alignment horizontal="right"/>
    </xf>
    <xf numFmtId="3" fontId="35" fillId="9" borderId="6" xfId="0" applyNumberFormat="1" applyFont="1" applyFill="1" applyBorder="1" applyAlignment="1">
      <alignment horizontal="right"/>
    </xf>
    <xf numFmtId="3" fontId="30" fillId="9" borderId="7" xfId="0" applyNumberFormat="1" applyFont="1" applyFill="1" applyBorder="1" applyAlignment="1">
      <alignment horizontal="right"/>
    </xf>
    <xf numFmtId="14" fontId="31" fillId="9" borderId="5" xfId="0" applyNumberFormat="1" applyFont="1" applyFill="1" applyBorder="1" applyAlignment="1">
      <alignment horizontal="right"/>
    </xf>
    <xf numFmtId="0" fontId="31" fillId="0" borderId="0" xfId="0" applyFont="1" applyFill="1" applyBorder="1"/>
    <xf numFmtId="3" fontId="31" fillId="0" borderId="0" xfId="0" applyNumberFormat="1" applyFont="1" applyFill="1" applyBorder="1"/>
    <xf numFmtId="0" fontId="31" fillId="0" borderId="0" xfId="0" applyFont="1" applyFill="1" applyBorder="1" applyAlignment="1">
      <alignment horizontal="right"/>
    </xf>
    <xf numFmtId="3" fontId="34" fillId="0" borderId="53" xfId="0" applyNumberFormat="1" applyFont="1" applyFill="1" applyBorder="1" applyAlignment="1">
      <alignment horizontal="right"/>
    </xf>
    <xf numFmtId="0" fontId="34" fillId="0" borderId="33" xfId="0" applyFont="1" applyFill="1" applyBorder="1"/>
    <xf numFmtId="0" fontId="34" fillId="0" borderId="0" xfId="0" applyFont="1" applyFill="1" applyBorder="1"/>
    <xf numFmtId="3" fontId="31" fillId="0" borderId="0" xfId="0" applyNumberFormat="1" applyFont="1" applyAlignment="1">
      <alignment horizontal="right"/>
    </xf>
    <xf numFmtId="0" fontId="31" fillId="0" borderId="19" xfId="0" applyFont="1" applyFill="1" applyBorder="1"/>
    <xf numFmtId="3" fontId="31" fillId="0" borderId="21" xfId="0" applyNumberFormat="1" applyFont="1" applyFill="1" applyBorder="1"/>
    <xf numFmtId="3" fontId="33" fillId="0" borderId="20" xfId="0" applyNumberFormat="1" applyFont="1" applyFill="1" applyBorder="1" applyAlignment="1">
      <alignment horizontal="right"/>
    </xf>
    <xf numFmtId="0" fontId="31" fillId="0" borderId="21" xfId="0" applyFont="1" applyFill="1" applyBorder="1"/>
    <xf numFmtId="0" fontId="31" fillId="0" borderId="15" xfId="0" applyFont="1" applyFill="1" applyBorder="1"/>
    <xf numFmtId="3" fontId="31" fillId="0" borderId="17" xfId="0" applyNumberFormat="1" applyFont="1" applyFill="1" applyBorder="1"/>
    <xf numFmtId="3" fontId="31" fillId="0" borderId="54" xfId="0" applyNumberFormat="1" applyFont="1" applyFill="1" applyBorder="1"/>
    <xf numFmtId="14" fontId="33" fillId="0" borderId="19" xfId="0" applyNumberFormat="1" applyFont="1" applyFill="1" applyBorder="1" applyAlignment="1">
      <alignment horizontal="right"/>
    </xf>
    <xf numFmtId="0" fontId="31" fillId="0" borderId="11" xfId="0" applyFont="1" applyFill="1" applyBorder="1"/>
    <xf numFmtId="3" fontId="31" fillId="0" borderId="42" xfId="0" applyNumberFormat="1" applyFont="1" applyFill="1" applyBorder="1"/>
    <xf numFmtId="14" fontId="33" fillId="0" borderId="11" xfId="0" applyNumberFormat="1" applyFont="1" applyFill="1" applyBorder="1" applyAlignment="1">
      <alignment horizontal="right"/>
    </xf>
    <xf numFmtId="3" fontId="33" fillId="0" borderId="12" xfId="0" applyNumberFormat="1" applyFont="1" applyFill="1" applyBorder="1" applyAlignment="1">
      <alignment horizontal="right"/>
    </xf>
    <xf numFmtId="3" fontId="31" fillId="0" borderId="13" xfId="0" applyNumberFormat="1" applyFont="1" applyFill="1" applyBorder="1"/>
    <xf numFmtId="0" fontId="31" fillId="0" borderId="13" xfId="0" applyFont="1" applyFill="1" applyBorder="1"/>
    <xf numFmtId="3" fontId="31" fillId="0" borderId="44" xfId="0" applyNumberFormat="1" applyFont="1" applyFill="1" applyBorder="1"/>
    <xf numFmtId="164" fontId="31" fillId="0" borderId="0" xfId="0" applyNumberFormat="1" applyFont="1" applyAlignment="1">
      <alignment horizontal="right"/>
    </xf>
    <xf numFmtId="14" fontId="31" fillId="9" borderId="53" xfId="0" applyNumberFormat="1" applyFont="1" applyFill="1" applyBorder="1" applyAlignment="1">
      <alignment horizontal="right"/>
    </xf>
    <xf numFmtId="167" fontId="31" fillId="0" borderId="0" xfId="0" applyNumberFormat="1" applyFont="1" applyAlignment="1">
      <alignment horizontal="right"/>
    </xf>
    <xf numFmtId="14" fontId="18" fillId="0" borderId="0" xfId="0" applyNumberFormat="1" applyFont="1"/>
    <xf numFmtId="0" fontId="7" fillId="0" borderId="11" xfId="0" applyFont="1" applyFill="1" applyBorder="1"/>
    <xf numFmtId="4" fontId="4" fillId="0" borderId="0" xfId="0" applyNumberFormat="1" applyFont="1" applyFill="1"/>
    <xf numFmtId="3" fontId="10" fillId="0" borderId="43" xfId="0" applyNumberFormat="1" applyFont="1" applyBorder="1" applyAlignment="1">
      <alignment horizontal="right"/>
    </xf>
    <xf numFmtId="3" fontId="19" fillId="0" borderId="12" xfId="0" applyNumberFormat="1" applyFont="1" applyFill="1" applyBorder="1"/>
    <xf numFmtId="4" fontId="2" fillId="0" borderId="24" xfId="0" applyNumberFormat="1" applyFont="1" applyFill="1" applyBorder="1"/>
    <xf numFmtId="0" fontId="7" fillId="0" borderId="0" xfId="0" applyFont="1" applyFill="1" applyBorder="1"/>
    <xf numFmtId="0" fontId="7" fillId="0" borderId="17" xfId="0" applyFont="1" applyFill="1" applyBorder="1"/>
    <xf numFmtId="164" fontId="7" fillId="0" borderId="0" xfId="0" applyNumberFormat="1" applyFont="1" applyFill="1"/>
    <xf numFmtId="164" fontId="4" fillId="0" borderId="6" xfId="0" applyNumberFormat="1" applyFont="1" applyFill="1" applyBorder="1" applyAlignment="1">
      <alignment horizontal="center"/>
    </xf>
    <xf numFmtId="164" fontId="7" fillId="0" borderId="12" xfId="0" applyNumberFormat="1" applyFont="1" applyFill="1" applyBorder="1"/>
    <xf numFmtId="164" fontId="4" fillId="0" borderId="31" xfId="0" applyNumberFormat="1" applyFont="1" applyFill="1" applyBorder="1"/>
    <xf numFmtId="164" fontId="7" fillId="0" borderId="16" xfId="0" applyNumberFormat="1" applyFont="1" applyFill="1" applyBorder="1"/>
    <xf numFmtId="164" fontId="4" fillId="0" borderId="0" xfId="0" applyNumberFormat="1" applyFont="1" applyFill="1" applyBorder="1"/>
    <xf numFmtId="14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164" fontId="7" fillId="0" borderId="0" xfId="0" applyNumberFormat="1" applyFont="1" applyFill="1" applyBorder="1"/>
    <xf numFmtId="0" fontId="4" fillId="0" borderId="0" xfId="0" applyFont="1" applyFill="1" applyBorder="1"/>
    <xf numFmtId="14" fontId="5" fillId="0" borderId="27" xfId="0" applyNumberFormat="1" applyFont="1" applyFill="1" applyBorder="1"/>
    <xf numFmtId="0" fontId="31" fillId="4" borderId="19" xfId="0" applyFont="1" applyFill="1" applyBorder="1"/>
    <xf numFmtId="3" fontId="31" fillId="4" borderId="21" xfId="0" applyNumberFormat="1" applyFont="1" applyFill="1" applyBorder="1"/>
    <xf numFmtId="14" fontId="31" fillId="4" borderId="19" xfId="0" applyNumberFormat="1" applyFont="1" applyFill="1" applyBorder="1" applyAlignment="1">
      <alignment horizontal="right"/>
    </xf>
    <xf numFmtId="3" fontId="33" fillId="4" borderId="20" xfId="0" applyNumberFormat="1" applyFont="1" applyFill="1" applyBorder="1" applyAlignment="1">
      <alignment horizontal="right"/>
    </xf>
    <xf numFmtId="0" fontId="31" fillId="4" borderId="51" xfId="0" applyFont="1" applyFill="1" applyBorder="1"/>
    <xf numFmtId="0" fontId="31" fillId="4" borderId="21" xfId="0" applyFont="1" applyFill="1" applyBorder="1"/>
    <xf numFmtId="0" fontId="31" fillId="4" borderId="15" xfId="0" applyFont="1" applyFill="1" applyBorder="1"/>
    <xf numFmtId="3" fontId="31" fillId="4" borderId="17" xfId="0" applyNumberFormat="1" applyFont="1" applyFill="1" applyBorder="1"/>
    <xf numFmtId="14" fontId="31" fillId="4" borderId="15" xfId="0" applyNumberFormat="1" applyFont="1" applyFill="1" applyBorder="1" applyAlignment="1">
      <alignment horizontal="right"/>
    </xf>
    <xf numFmtId="3" fontId="33" fillId="4" borderId="16" xfId="0" applyNumberFormat="1" applyFont="1" applyFill="1" applyBorder="1" applyAlignment="1">
      <alignment horizontal="right"/>
    </xf>
    <xf numFmtId="0" fontId="31" fillId="4" borderId="52" xfId="0" applyFont="1" applyFill="1" applyBorder="1"/>
    <xf numFmtId="0" fontId="31" fillId="4" borderId="17" xfId="0" applyFont="1" applyFill="1" applyBorder="1"/>
    <xf numFmtId="0" fontId="7" fillId="0" borderId="12" xfId="0" applyFont="1" applyFill="1" applyBorder="1"/>
    <xf numFmtId="4" fontId="7" fillId="0" borderId="12" xfId="0" applyNumberFormat="1" applyFont="1" applyFill="1" applyBorder="1"/>
    <xf numFmtId="4" fontId="2" fillId="0" borderId="14" xfId="0" applyNumberFormat="1" applyFont="1" applyFill="1" applyBorder="1"/>
    <xf numFmtId="14" fontId="6" fillId="0" borderId="0" xfId="1" applyNumberFormat="1" applyFont="1" applyFill="1"/>
    <xf numFmtId="4" fontId="3" fillId="0" borderId="0" xfId="0" applyNumberFormat="1" applyFont="1" applyFill="1"/>
    <xf numFmtId="4" fontId="6" fillId="0" borderId="0" xfId="0" applyNumberFormat="1" applyFont="1" applyFill="1"/>
    <xf numFmtId="0" fontId="7" fillId="4" borderId="27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7" fillId="0" borderId="25" xfId="0" applyFont="1" applyFill="1" applyBorder="1"/>
    <xf numFmtId="0" fontId="17" fillId="0" borderId="26" xfId="0" applyFont="1" applyFill="1" applyBorder="1"/>
    <xf numFmtId="4" fontId="17" fillId="0" borderId="26" xfId="0" applyNumberFormat="1" applyFont="1" applyFill="1" applyBorder="1"/>
    <xf numFmtId="164" fontId="7" fillId="0" borderId="26" xfId="0" applyNumberFormat="1" applyFont="1" applyFill="1" applyBorder="1"/>
    <xf numFmtId="14" fontId="17" fillId="0" borderId="26" xfId="0" applyNumberFormat="1" applyFont="1" applyFill="1" applyBorder="1"/>
    <xf numFmtId="14" fontId="38" fillId="0" borderId="0" xfId="0" applyNumberFormat="1" applyFont="1"/>
    <xf numFmtId="0" fontId="38" fillId="0" borderId="0" xfId="0" applyNumberFormat="1" applyFont="1"/>
    <xf numFmtId="164" fontId="38" fillId="0" borderId="0" xfId="0" applyNumberFormat="1" applyFont="1"/>
    <xf numFmtId="164" fontId="39" fillId="0" borderId="0" xfId="0" applyNumberFormat="1" applyFont="1"/>
    <xf numFmtId="14" fontId="39" fillId="0" borderId="0" xfId="0" applyNumberFormat="1" applyFont="1"/>
    <xf numFmtId="0" fontId="39" fillId="0" borderId="0" xfId="0" applyNumberFormat="1" applyFont="1"/>
    <xf numFmtId="3" fontId="31" fillId="0" borderId="59" xfId="0" applyNumberFormat="1" applyFont="1" applyFill="1" applyBorder="1"/>
    <xf numFmtId="3" fontId="33" fillId="0" borderId="26" xfId="0" applyNumberFormat="1" applyFont="1" applyFill="1" applyBorder="1" applyAlignment="1">
      <alignment horizontal="right"/>
    </xf>
    <xf numFmtId="3" fontId="31" fillId="0" borderId="27" xfId="0" applyNumberFormat="1" applyFont="1" applyFill="1" applyBorder="1"/>
    <xf numFmtId="0" fontId="31" fillId="4" borderId="5" xfId="0" applyFont="1" applyFill="1" applyBorder="1"/>
    <xf numFmtId="3" fontId="31" fillId="4" borderId="7" xfId="0" applyNumberFormat="1" applyFont="1" applyFill="1" applyBorder="1"/>
    <xf numFmtId="14" fontId="31" fillId="4" borderId="5" xfId="0" applyNumberFormat="1" applyFont="1" applyFill="1" applyBorder="1" applyAlignment="1">
      <alignment horizontal="right"/>
    </xf>
    <xf numFmtId="3" fontId="33" fillId="4" borderId="6" xfId="0" applyNumberFormat="1" applyFont="1" applyFill="1" applyBorder="1" applyAlignment="1">
      <alignment horizontal="right"/>
    </xf>
    <xf numFmtId="0" fontId="31" fillId="4" borderId="53" xfId="0" applyFont="1" applyFill="1" applyBorder="1"/>
    <xf numFmtId="0" fontId="31" fillId="4" borderId="7" xfId="0" applyFont="1" applyFill="1" applyBorder="1"/>
    <xf numFmtId="3" fontId="31" fillId="4" borderId="54" xfId="0" applyNumberFormat="1" applyFont="1" applyFill="1" applyBorder="1"/>
    <xf numFmtId="14" fontId="33" fillId="4" borderId="19" xfId="0" applyNumberFormat="1" applyFont="1" applyFill="1" applyBorder="1" applyAlignment="1">
      <alignment horizontal="right"/>
    </xf>
    <xf numFmtId="0" fontId="31" fillId="4" borderId="11" xfId="0" applyFont="1" applyFill="1" applyBorder="1"/>
    <xf numFmtId="3" fontId="31" fillId="4" borderId="42" xfId="0" applyNumberFormat="1" applyFont="1" applyFill="1" applyBorder="1"/>
    <xf numFmtId="14" fontId="33" fillId="4" borderId="11" xfId="0" applyNumberFormat="1" applyFont="1" applyFill="1" applyBorder="1" applyAlignment="1">
      <alignment horizontal="right"/>
    </xf>
    <xf numFmtId="3" fontId="33" fillId="4" borderId="12" xfId="0" applyNumberFormat="1" applyFont="1" applyFill="1" applyBorder="1" applyAlignment="1">
      <alignment horizontal="right"/>
    </xf>
    <xf numFmtId="3" fontId="31" fillId="4" borderId="13" xfId="0" applyNumberFormat="1" applyFont="1" applyFill="1" applyBorder="1"/>
    <xf numFmtId="0" fontId="31" fillId="4" borderId="55" xfId="0" applyFont="1" applyFill="1" applyBorder="1"/>
    <xf numFmtId="0" fontId="31" fillId="4" borderId="13" xfId="0" applyFont="1" applyFill="1" applyBorder="1"/>
    <xf numFmtId="3" fontId="31" fillId="4" borderId="59" xfId="0" applyNumberFormat="1" applyFont="1" applyFill="1" applyBorder="1"/>
    <xf numFmtId="3" fontId="33" fillId="4" borderId="26" xfId="0" applyNumberFormat="1" applyFont="1" applyFill="1" applyBorder="1" applyAlignment="1">
      <alignment horizontal="right"/>
    </xf>
    <xf numFmtId="0" fontId="31" fillId="4" borderId="60" xfId="0" applyFont="1" applyFill="1" applyBorder="1"/>
    <xf numFmtId="0" fontId="31" fillId="4" borderId="27" xfId="0" applyFont="1" applyFill="1" applyBorder="1"/>
    <xf numFmtId="0" fontId="3" fillId="0" borderId="25" xfId="0" applyFont="1" applyFill="1" applyBorder="1"/>
    <xf numFmtId="164" fontId="3" fillId="0" borderId="26" xfId="0" applyNumberFormat="1" applyFont="1" applyFill="1" applyBorder="1"/>
    <xf numFmtId="0" fontId="3" fillId="0" borderId="24" xfId="0" applyFont="1" applyFill="1" applyBorder="1"/>
    <xf numFmtId="14" fontId="3" fillId="0" borderId="26" xfId="0" applyNumberFormat="1" applyFont="1" applyFill="1" applyBorder="1"/>
    <xf numFmtId="4" fontId="3" fillId="0" borderId="26" xfId="0" applyNumberFormat="1" applyFont="1" applyFill="1" applyBorder="1"/>
    <xf numFmtId="14" fontId="3" fillId="0" borderId="27" xfId="1" applyNumberFormat="1" applyFont="1" applyFill="1" applyBorder="1"/>
    <xf numFmtId="14" fontId="3" fillId="0" borderId="27" xfId="0" applyNumberFormat="1" applyFont="1" applyFill="1" applyBorder="1"/>
    <xf numFmtId="4" fontId="4" fillId="0" borderId="58" xfId="0" applyNumberFormat="1" applyFont="1" applyFill="1" applyBorder="1"/>
    <xf numFmtId="3" fontId="37" fillId="0" borderId="12" xfId="0" applyNumberFormat="1" applyFont="1" applyFill="1" applyBorder="1" applyAlignment="1">
      <alignment horizontal="right" indent="1"/>
    </xf>
    <xf numFmtId="43" fontId="0" fillId="0" borderId="0" xfId="1" applyFont="1"/>
    <xf numFmtId="4" fontId="3" fillId="0" borderId="0" xfId="0" applyNumberFormat="1" applyFont="1"/>
    <xf numFmtId="4" fontId="5" fillId="0" borderId="0" xfId="0" applyNumberFormat="1" applyFont="1" applyFill="1"/>
    <xf numFmtId="4" fontId="5" fillId="0" borderId="0" xfId="0" applyNumberFormat="1" applyFont="1" applyBorder="1"/>
    <xf numFmtId="4" fontId="7" fillId="0" borderId="0" xfId="0" applyNumberFormat="1" applyFont="1"/>
    <xf numFmtId="3" fontId="27" fillId="3" borderId="12" xfId="0" applyNumberFormat="1" applyFont="1" applyFill="1" applyBorder="1"/>
    <xf numFmtId="3" fontId="27" fillId="3" borderId="13" xfId="0" applyNumberFormat="1" applyFont="1" applyFill="1" applyBorder="1" applyAlignment="1">
      <alignment horizontal="right" indent="1"/>
    </xf>
    <xf numFmtId="0" fontId="6" fillId="0" borderId="24" xfId="0" applyFont="1" applyBorder="1"/>
    <xf numFmtId="164" fontId="6" fillId="0" borderId="26" xfId="0" applyNumberFormat="1" applyFont="1" applyBorder="1"/>
    <xf numFmtId="4" fontId="6" fillId="0" borderId="25" xfId="0" applyNumberFormat="1" applyFont="1" applyBorder="1"/>
    <xf numFmtId="43" fontId="6" fillId="0" borderId="0" xfId="1" applyFont="1"/>
    <xf numFmtId="0" fontId="7" fillId="4" borderId="24" xfId="0" applyFont="1" applyFill="1" applyBorder="1"/>
    <xf numFmtId="0" fontId="7" fillId="4" borderId="25" xfId="0" applyFont="1" applyFill="1" applyBorder="1"/>
    <xf numFmtId="14" fontId="7" fillId="4" borderId="26" xfId="0" applyNumberFormat="1" applyFont="1" applyFill="1" applyBorder="1"/>
    <xf numFmtId="4" fontId="7" fillId="4" borderId="26" xfId="0" applyNumberFormat="1" applyFont="1" applyFill="1" applyBorder="1"/>
    <xf numFmtId="164" fontId="7" fillId="4" borderId="26" xfId="0" applyNumberFormat="1" applyFont="1" applyFill="1" applyBorder="1"/>
    <xf numFmtId="14" fontId="7" fillId="4" borderId="27" xfId="1" applyNumberFormat="1" applyFont="1" applyFill="1" applyBorder="1"/>
    <xf numFmtId="4" fontId="7" fillId="4" borderId="25" xfId="0" applyNumberFormat="1" applyFont="1" applyFill="1" applyBorder="1"/>
    <xf numFmtId="4" fontId="7" fillId="4" borderId="24" xfId="0" applyNumberFormat="1" applyFont="1" applyFill="1" applyBorder="1"/>
    <xf numFmtId="0" fontId="31" fillId="0" borderId="25" xfId="0" applyFont="1" applyFill="1" applyBorder="1"/>
    <xf numFmtId="14" fontId="33" fillId="0" borderId="25" xfId="0" applyNumberFormat="1" applyFont="1" applyFill="1" applyBorder="1" applyAlignment="1">
      <alignment horizontal="right"/>
    </xf>
    <xf numFmtId="3" fontId="31" fillId="4" borderId="44" xfId="0" applyNumberFormat="1" applyFont="1" applyFill="1" applyBorder="1"/>
    <xf numFmtId="166" fontId="10" fillId="5" borderId="42" xfId="0" applyNumberFormat="1" applyFont="1" applyFill="1" applyBorder="1" applyAlignment="1">
      <alignment horizontal="center"/>
    </xf>
    <xf numFmtId="3" fontId="11" fillId="0" borderId="49" xfId="0" applyNumberFormat="1" applyFont="1" applyBorder="1"/>
    <xf numFmtId="3" fontId="11" fillId="0" borderId="42" xfId="0" applyNumberFormat="1" applyFont="1" applyBorder="1"/>
    <xf numFmtId="3" fontId="5" fillId="3" borderId="42" xfId="0" applyNumberFormat="1" applyFont="1" applyFill="1" applyBorder="1"/>
    <xf numFmtId="3" fontId="10" fillId="0" borderId="42" xfId="0" applyNumberFormat="1" applyFont="1" applyBorder="1"/>
    <xf numFmtId="3" fontId="11" fillId="0" borderId="42" xfId="0" applyNumberFormat="1" applyFont="1" applyFill="1" applyBorder="1"/>
    <xf numFmtId="3" fontId="11" fillId="7" borderId="42" xfId="0" applyNumberFormat="1" applyFont="1" applyFill="1" applyBorder="1"/>
    <xf numFmtId="3" fontId="11" fillId="0" borderId="11" xfId="0" applyNumberFormat="1" applyFont="1" applyBorder="1"/>
    <xf numFmtId="3" fontId="11" fillId="7" borderId="11" xfId="0" applyNumberFormat="1" applyFont="1" applyFill="1" applyBorder="1"/>
    <xf numFmtId="3" fontId="10" fillId="0" borderId="42" xfId="0" applyNumberFormat="1" applyFont="1" applyBorder="1" applyAlignment="1">
      <alignment horizontal="right"/>
    </xf>
    <xf numFmtId="3" fontId="2" fillId="0" borderId="42" xfId="0" applyNumberFormat="1" applyFont="1" applyBorder="1" applyAlignment="1">
      <alignment horizontal="right" indent="1"/>
    </xf>
    <xf numFmtId="3" fontId="7" fillId="0" borderId="42" xfId="0" applyNumberFormat="1" applyFont="1" applyBorder="1" applyAlignment="1">
      <alignment horizontal="right" indent="1"/>
    </xf>
    <xf numFmtId="3" fontId="11" fillId="0" borderId="42" xfId="0" applyNumberFormat="1" applyFont="1" applyBorder="1" applyAlignment="1">
      <alignment horizontal="right" indent="1"/>
    </xf>
    <xf numFmtId="166" fontId="14" fillId="4" borderId="44" xfId="0" applyNumberFormat="1" applyFont="1" applyFill="1" applyBorder="1"/>
    <xf numFmtId="3" fontId="11" fillId="0" borderId="43" xfId="0" applyNumberFormat="1" applyFont="1" applyBorder="1"/>
    <xf numFmtId="3" fontId="5" fillId="3" borderId="43" xfId="0" applyNumberFormat="1" applyFont="1" applyFill="1" applyBorder="1"/>
    <xf numFmtId="3" fontId="10" fillId="0" borderId="43" xfId="0" applyNumberFormat="1" applyFont="1" applyBorder="1"/>
    <xf numFmtId="3" fontId="11" fillId="7" borderId="43" xfId="0" applyNumberFormat="1" applyFont="1" applyFill="1" applyBorder="1"/>
    <xf numFmtId="3" fontId="2" fillId="0" borderId="43" xfId="0" applyNumberFormat="1" applyFont="1" applyBorder="1" applyAlignment="1">
      <alignment horizontal="right" indent="1"/>
    </xf>
    <xf numFmtId="3" fontId="11" fillId="0" borderId="43" xfId="0" applyNumberFormat="1" applyFont="1" applyFill="1" applyBorder="1" applyAlignment="1">
      <alignment horizontal="right" indent="1"/>
    </xf>
    <xf numFmtId="3" fontId="11" fillId="0" borderId="43" xfId="0" applyNumberFormat="1" applyFont="1" applyBorder="1" applyAlignment="1">
      <alignment horizontal="right" indent="1"/>
    </xf>
    <xf numFmtId="166" fontId="10" fillId="5" borderId="43" xfId="0" applyNumberFormat="1" applyFont="1" applyFill="1" applyBorder="1" applyAlignment="1">
      <alignment horizontal="center"/>
    </xf>
    <xf numFmtId="166" fontId="14" fillId="4" borderId="45" xfId="0" applyNumberFormat="1" applyFont="1" applyFill="1" applyBorder="1"/>
    <xf numFmtId="3" fontId="37" fillId="0" borderId="13" xfId="0" applyNumberFormat="1" applyFont="1" applyFill="1" applyBorder="1" applyAlignment="1">
      <alignment horizontal="right" indent="1"/>
    </xf>
    <xf numFmtId="3" fontId="2" fillId="0" borderId="11" xfId="0" applyNumberFormat="1" applyFont="1" applyBorder="1" applyAlignment="1">
      <alignment horizontal="right" indent="1"/>
    </xf>
    <xf numFmtId="3" fontId="10" fillId="0" borderId="12" xfId="0" applyNumberFormat="1" applyFont="1" applyFill="1" applyBorder="1"/>
    <xf numFmtId="0" fontId="33" fillId="4" borderId="19" xfId="0" applyFont="1" applyFill="1" applyBorder="1"/>
    <xf numFmtId="3" fontId="33" fillId="4" borderId="54" xfId="0" applyNumberFormat="1" applyFont="1" applyFill="1" applyBorder="1"/>
    <xf numFmtId="3" fontId="33" fillId="4" borderId="21" xfId="0" applyNumberFormat="1" applyFont="1" applyFill="1" applyBorder="1"/>
    <xf numFmtId="0" fontId="33" fillId="4" borderId="51" xfId="0" applyFont="1" applyFill="1" applyBorder="1"/>
    <xf numFmtId="0" fontId="33" fillId="4" borderId="21" xfId="0" applyFont="1" applyFill="1" applyBorder="1"/>
    <xf numFmtId="0" fontId="33" fillId="4" borderId="11" xfId="0" applyFont="1" applyFill="1" applyBorder="1"/>
    <xf numFmtId="3" fontId="33" fillId="4" borderId="42" xfId="0" applyNumberFormat="1" applyFont="1" applyFill="1" applyBorder="1"/>
    <xf numFmtId="3" fontId="33" fillId="4" borderId="13" xfId="0" applyNumberFormat="1" applyFont="1" applyFill="1" applyBorder="1"/>
    <xf numFmtId="0" fontId="33" fillId="4" borderId="55" xfId="0" applyFont="1" applyFill="1" applyBorder="1"/>
    <xf numFmtId="0" fontId="33" fillId="4" borderId="13" xfId="0" applyFont="1" applyFill="1" applyBorder="1"/>
    <xf numFmtId="3" fontId="33" fillId="4" borderId="59" xfId="0" applyNumberFormat="1" applyFont="1" applyFill="1" applyBorder="1"/>
    <xf numFmtId="0" fontId="33" fillId="4" borderId="60" xfId="0" applyFont="1" applyFill="1" applyBorder="1"/>
    <xf numFmtId="0" fontId="33" fillId="4" borderId="27" xfId="0" applyFont="1" applyFill="1" applyBorder="1"/>
    <xf numFmtId="0" fontId="33" fillId="4" borderId="25" xfId="0" applyFont="1" applyFill="1" applyBorder="1"/>
    <xf numFmtId="14" fontId="33" fillId="4" borderId="25" xfId="0" applyNumberFormat="1" applyFont="1" applyFill="1" applyBorder="1" applyAlignment="1">
      <alignment horizontal="right"/>
    </xf>
    <xf numFmtId="3" fontId="33" fillId="4" borderId="27" xfId="0" applyNumberFormat="1" applyFont="1" applyFill="1" applyBorder="1"/>
    <xf numFmtId="0" fontId="33" fillId="4" borderId="15" xfId="0" applyFont="1" applyFill="1" applyBorder="1"/>
    <xf numFmtId="3" fontId="33" fillId="4" borderId="44" xfId="0" applyNumberFormat="1" applyFont="1" applyFill="1" applyBorder="1"/>
    <xf numFmtId="14" fontId="33" fillId="4" borderId="15" xfId="0" applyNumberFormat="1" applyFont="1" applyFill="1" applyBorder="1" applyAlignment="1">
      <alignment horizontal="right"/>
    </xf>
    <xf numFmtId="3" fontId="33" fillId="4" borderId="17" xfId="0" applyNumberFormat="1" applyFont="1" applyFill="1" applyBorder="1"/>
    <xf numFmtId="0" fontId="33" fillId="4" borderId="52" xfId="0" applyFont="1" applyFill="1" applyBorder="1"/>
    <xf numFmtId="0" fontId="33" fillId="4" borderId="17" xfId="0" applyFont="1" applyFill="1" applyBorder="1"/>
    <xf numFmtId="0" fontId="7" fillId="0" borderId="19" xfId="0" applyFont="1" applyFill="1" applyBorder="1"/>
    <xf numFmtId="4" fontId="7" fillId="0" borderId="20" xfId="0" applyNumberFormat="1" applyFont="1" applyFill="1" applyBorder="1"/>
    <xf numFmtId="164" fontId="7" fillId="0" borderId="20" xfId="0" applyNumberFormat="1" applyFont="1" applyFill="1" applyBorder="1"/>
    <xf numFmtId="14" fontId="17" fillId="0" borderId="27" xfId="0" applyNumberFormat="1" applyFont="1" applyFill="1" applyBorder="1" applyAlignment="1">
      <alignment horizontal="right"/>
    </xf>
    <xf numFmtId="164" fontId="7" fillId="4" borderId="32" xfId="0" applyNumberFormat="1" applyFont="1" applyFill="1" applyBorder="1"/>
    <xf numFmtId="164" fontId="7" fillId="4" borderId="0" xfId="0" applyNumberFormat="1" applyFont="1" applyFill="1" applyBorder="1"/>
    <xf numFmtId="164" fontId="7" fillId="4" borderId="22" xfId="0" applyNumberFormat="1" applyFont="1" applyFill="1" applyBorder="1"/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11" fontId="6" fillId="0" borderId="6" xfId="0" applyNumberFormat="1" applyFont="1" applyBorder="1" applyAlignment="1">
      <alignment horizontal="center"/>
    </xf>
    <xf numFmtId="43" fontId="7" fillId="0" borderId="0" xfId="1" applyFont="1"/>
    <xf numFmtId="0" fontId="7" fillId="0" borderId="24" xfId="0" applyFont="1" applyFill="1" applyBorder="1"/>
    <xf numFmtId="14" fontId="7" fillId="0" borderId="26" xfId="0" applyNumberFormat="1" applyFont="1" applyFill="1" applyBorder="1"/>
    <xf numFmtId="0" fontId="7" fillId="0" borderId="26" xfId="0" applyFont="1" applyFill="1" applyBorder="1"/>
    <xf numFmtId="4" fontId="7" fillId="0" borderId="26" xfId="0" applyNumberFormat="1" applyFont="1" applyFill="1" applyBorder="1"/>
    <xf numFmtId="14" fontId="7" fillId="0" borderId="27" xfId="0" applyNumberFormat="1" applyFont="1" applyFill="1" applyBorder="1"/>
    <xf numFmtId="164" fontId="7" fillId="0" borderId="25" xfId="0" applyNumberFormat="1" applyFont="1" applyFill="1" applyBorder="1"/>
    <xf numFmtId="4" fontId="7" fillId="0" borderId="25" xfId="0" applyNumberFormat="1" applyFont="1" applyFill="1" applyBorder="1"/>
    <xf numFmtId="0" fontId="7" fillId="0" borderId="27" xfId="0" applyFont="1" applyFill="1" applyBorder="1"/>
    <xf numFmtId="4" fontId="7" fillId="0" borderId="24" xfId="0" applyNumberFormat="1" applyFont="1" applyFill="1" applyBorder="1"/>
    <xf numFmtId="4" fontId="7" fillId="0" borderId="21" xfId="0" applyNumberFormat="1" applyFont="1" applyFill="1" applyBorder="1"/>
    <xf numFmtId="4" fontId="7" fillId="0" borderId="13" xfId="0" applyNumberFormat="1" applyFont="1" applyFill="1" applyBorder="1"/>
    <xf numFmtId="3" fontId="11" fillId="0" borderId="11" xfId="0" applyNumberFormat="1" applyFont="1" applyFill="1" applyBorder="1"/>
    <xf numFmtId="3" fontId="11" fillId="0" borderId="13" xfId="0" applyNumberFormat="1" applyFont="1" applyFill="1" applyBorder="1"/>
    <xf numFmtId="3" fontId="11" fillId="0" borderId="42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 applyAlignment="1">
      <alignment horizontal="right" indent="1"/>
    </xf>
    <xf numFmtId="3" fontId="40" fillId="0" borderId="55" xfId="0" applyNumberFormat="1" applyFont="1" applyFill="1" applyBorder="1" applyAlignment="1">
      <alignment horizontal="right"/>
    </xf>
    <xf numFmtId="3" fontId="40" fillId="0" borderId="13" xfId="0" applyNumberFormat="1" applyFont="1" applyFill="1" applyBorder="1" applyAlignment="1">
      <alignment horizontal="right"/>
    </xf>
    <xf numFmtId="14" fontId="33" fillId="4" borderId="5" xfId="0" applyNumberFormat="1" applyFont="1" applyFill="1" applyBorder="1" applyAlignment="1">
      <alignment horizontal="center"/>
    </xf>
    <xf numFmtId="14" fontId="33" fillId="0" borderId="18" xfId="0" applyNumberFormat="1" applyFont="1" applyFill="1" applyBorder="1" applyAlignment="1">
      <alignment horizontal="center"/>
    </xf>
    <xf numFmtId="14" fontId="33" fillId="0" borderId="14" xfId="0" applyNumberFormat="1" applyFont="1" applyFill="1" applyBorder="1" applyAlignment="1">
      <alignment horizontal="center"/>
    </xf>
    <xf numFmtId="3" fontId="33" fillId="0" borderId="19" xfId="0" applyNumberFormat="1" applyFont="1" applyFill="1" applyBorder="1" applyAlignment="1">
      <alignment horizontal="right"/>
    </xf>
    <xf numFmtId="0" fontId="31" fillId="0" borderId="15" xfId="0" applyFont="1" applyFill="1" applyBorder="1" applyAlignment="1">
      <alignment horizontal="center"/>
    </xf>
    <xf numFmtId="0" fontId="31" fillId="0" borderId="17" xfId="0" applyFont="1" applyFill="1" applyBorder="1" applyAlignment="1">
      <alignment horizontal="center"/>
    </xf>
    <xf numFmtId="3" fontId="13" fillId="0" borderId="12" xfId="0" applyNumberFormat="1" applyFont="1" applyFill="1" applyBorder="1"/>
    <xf numFmtId="3" fontId="11" fillId="0" borderId="0" xfId="0" applyNumberFormat="1" applyFont="1" applyFill="1" applyBorder="1"/>
    <xf numFmtId="3" fontId="13" fillId="0" borderId="12" xfId="0" applyNumberFormat="1" applyFont="1" applyBorder="1"/>
    <xf numFmtId="3" fontId="13" fillId="0" borderId="42" xfId="0" applyNumberFormat="1" applyFont="1" applyFill="1" applyBorder="1"/>
    <xf numFmtId="0" fontId="41" fillId="0" borderId="2" xfId="0" applyFont="1" applyFill="1" applyBorder="1" applyAlignment="1">
      <alignment horizontal="center" vertical="center"/>
    </xf>
    <xf numFmtId="0" fontId="42" fillId="0" borderId="28" xfId="0" applyFont="1" applyFill="1" applyBorder="1"/>
    <xf numFmtId="170" fontId="42" fillId="0" borderId="28" xfId="0" applyNumberFormat="1" applyFont="1" applyFill="1" applyBorder="1"/>
    <xf numFmtId="0" fontId="0" fillId="0" borderId="28" xfId="0" applyFont="1" applyFill="1" applyBorder="1" applyAlignment="1">
      <alignment wrapText="1"/>
    </xf>
    <xf numFmtId="171" fontId="0" fillId="0" borderId="28" xfId="0" applyNumberFormat="1" applyFont="1" applyFill="1" applyBorder="1" applyAlignment="1">
      <alignment horizontal="right" wrapText="1"/>
    </xf>
    <xf numFmtId="14" fontId="42" fillId="0" borderId="28" xfId="0" applyNumberFormat="1" applyFont="1" applyFill="1" applyBorder="1"/>
    <xf numFmtId="14" fontId="42" fillId="0" borderId="28" xfId="0" applyNumberFormat="1" applyFont="1" applyFill="1" applyBorder="1" applyAlignment="1">
      <alignment horizontal="right"/>
    </xf>
    <xf numFmtId="0" fontId="43" fillId="0" borderId="28" xfId="0" applyFont="1" applyFill="1" applyBorder="1"/>
    <xf numFmtId="9" fontId="7" fillId="0" borderId="20" xfId="0" applyNumberFormat="1" applyFont="1" applyFill="1" applyBorder="1"/>
    <xf numFmtId="9" fontId="7" fillId="0" borderId="12" xfId="0" applyNumberFormat="1" applyFont="1" applyFill="1" applyBorder="1"/>
    <xf numFmtId="176" fontId="7" fillId="0" borderId="21" xfId="0" applyNumberFormat="1" applyFont="1" applyFill="1" applyBorder="1"/>
    <xf numFmtId="176" fontId="7" fillId="0" borderId="13" xfId="0" applyNumberFormat="1" applyFont="1" applyFill="1" applyBorder="1"/>
    <xf numFmtId="14" fontId="6" fillId="0" borderId="0" xfId="0" applyNumberFormat="1" applyFont="1" applyFill="1"/>
    <xf numFmtId="14" fontId="2" fillId="0" borderId="0" xfId="0" applyNumberFormat="1" applyFont="1" applyFill="1"/>
    <xf numFmtId="175" fontId="7" fillId="4" borderId="33" xfId="0" applyNumberFormat="1" applyFont="1" applyFill="1" applyBorder="1" applyAlignment="1">
      <alignment horizontal="center"/>
    </xf>
    <xf numFmtId="0" fontId="7" fillId="4" borderId="0" xfId="0" applyFont="1" applyFill="1" applyBorder="1"/>
    <xf numFmtId="0" fontId="7" fillId="4" borderId="0" xfId="0" applyFont="1" applyFill="1" applyBorder="1" applyAlignment="1">
      <alignment horizontal="center"/>
    </xf>
    <xf numFmtId="4" fontId="7" fillId="4" borderId="0" xfId="0" applyNumberFormat="1" applyFont="1" applyFill="1" applyBorder="1"/>
    <xf numFmtId="14" fontId="7" fillId="4" borderId="0" xfId="0" applyNumberFormat="1" applyFont="1" applyFill="1" applyBorder="1"/>
    <xf numFmtId="0" fontId="4" fillId="4" borderId="0" xfId="0" applyFont="1" applyFill="1" applyBorder="1"/>
    <xf numFmtId="175" fontId="7" fillId="4" borderId="31" xfId="0" applyNumberFormat="1" applyFont="1" applyFill="1" applyBorder="1" applyAlignment="1">
      <alignment horizontal="center"/>
    </xf>
    <xf numFmtId="0" fontId="7" fillId="4" borderId="32" xfId="0" applyFont="1" applyFill="1" applyBorder="1"/>
    <xf numFmtId="0" fontId="7" fillId="4" borderId="32" xfId="0" applyFont="1" applyFill="1" applyBorder="1" applyAlignment="1">
      <alignment horizontal="center"/>
    </xf>
    <xf numFmtId="4" fontId="7" fillId="4" borderId="32" xfId="0" applyNumberFormat="1" applyFont="1" applyFill="1" applyBorder="1"/>
    <xf numFmtId="14" fontId="7" fillId="4" borderId="32" xfId="0" applyNumberFormat="1" applyFont="1" applyFill="1" applyBorder="1"/>
    <xf numFmtId="0" fontId="4" fillId="4" borderId="32" xfId="0" applyFont="1" applyFill="1" applyBorder="1"/>
    <xf numFmtId="175" fontId="7" fillId="4" borderId="36" xfId="0" applyNumberFormat="1" applyFont="1" applyFill="1" applyBorder="1" applyAlignment="1">
      <alignment horizontal="center"/>
    </xf>
    <xf numFmtId="0" fontId="7" fillId="4" borderId="22" xfId="0" applyFont="1" applyFill="1" applyBorder="1"/>
    <xf numFmtId="0" fontId="7" fillId="4" borderId="22" xfId="0" applyFont="1" applyFill="1" applyBorder="1" applyAlignment="1">
      <alignment horizontal="center"/>
    </xf>
    <xf numFmtId="4" fontId="7" fillId="4" borderId="22" xfId="0" applyNumberFormat="1" applyFont="1" applyFill="1" applyBorder="1"/>
    <xf numFmtId="14" fontId="7" fillId="4" borderId="22" xfId="0" applyNumberFormat="1" applyFont="1" applyFill="1" applyBorder="1"/>
    <xf numFmtId="0" fontId="4" fillId="4" borderId="22" xfId="0" applyFont="1" applyFill="1" applyBorder="1"/>
    <xf numFmtId="0" fontId="33" fillId="4" borderId="5" xfId="0" applyFont="1" applyFill="1" applyBorder="1"/>
    <xf numFmtId="3" fontId="33" fillId="4" borderId="46" xfId="0" applyNumberFormat="1" applyFont="1" applyFill="1" applyBorder="1"/>
    <xf numFmtId="14" fontId="33" fillId="4" borderId="5" xfId="0" applyNumberFormat="1" applyFont="1" applyFill="1" applyBorder="1" applyAlignment="1">
      <alignment horizontal="right"/>
    </xf>
    <xf numFmtId="3" fontId="33" fillId="4" borderId="7" xfId="0" applyNumberFormat="1" applyFont="1" applyFill="1" applyBorder="1"/>
    <xf numFmtId="14" fontId="36" fillId="4" borderId="15" xfId="0" applyNumberFormat="1" applyFont="1" applyFill="1" applyBorder="1" applyAlignment="1">
      <alignment horizontal="right"/>
    </xf>
    <xf numFmtId="3" fontId="36" fillId="4" borderId="16" xfId="0" applyNumberFormat="1" applyFont="1" applyFill="1" applyBorder="1" applyAlignment="1">
      <alignment horizontal="right"/>
    </xf>
    <xf numFmtId="14" fontId="7" fillId="4" borderId="32" xfId="0" applyNumberFormat="1" applyFont="1" applyFill="1" applyBorder="1" applyAlignment="1">
      <alignment horizontal="center"/>
    </xf>
    <xf numFmtId="14" fontId="7" fillId="4" borderId="0" xfId="0" applyNumberFormat="1" applyFont="1" applyFill="1" applyBorder="1" applyAlignment="1">
      <alignment horizontal="center"/>
    </xf>
    <xf numFmtId="164" fontId="7" fillId="0" borderId="0" xfId="0" applyNumberFormat="1" applyFont="1"/>
    <xf numFmtId="175" fontId="7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4" fontId="7" fillId="0" borderId="0" xfId="0" applyNumberFormat="1" applyFont="1" applyBorder="1"/>
    <xf numFmtId="164" fontId="7" fillId="0" borderId="0" xfId="0" applyNumberFormat="1" applyFont="1" applyBorder="1"/>
    <xf numFmtId="14" fontId="7" fillId="0" borderId="0" xfId="0" applyNumberFormat="1" applyFont="1" applyBorder="1"/>
    <xf numFmtId="0" fontId="4" fillId="0" borderId="0" xfId="0" applyFont="1" applyBorder="1"/>
    <xf numFmtId="17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7" fillId="0" borderId="0" xfId="0" applyNumberFormat="1" applyFont="1"/>
    <xf numFmtId="0" fontId="4" fillId="0" borderId="0" xfId="0" applyFont="1"/>
    <xf numFmtId="3" fontId="40" fillId="4" borderId="55" xfId="0" applyNumberFormat="1" applyFont="1" applyFill="1" applyBorder="1" applyAlignment="1">
      <alignment horizontal="right"/>
    </xf>
    <xf numFmtId="3" fontId="40" fillId="4" borderId="13" xfId="0" applyNumberFormat="1" applyFont="1" applyFill="1" applyBorder="1" applyAlignment="1">
      <alignment horizontal="right"/>
    </xf>
    <xf numFmtId="3" fontId="19" fillId="7" borderId="15" xfId="0" applyNumberFormat="1" applyFont="1" applyFill="1" applyBorder="1"/>
    <xf numFmtId="3" fontId="19" fillId="7" borderId="16" xfId="0" applyNumberFormat="1" applyFont="1" applyFill="1" applyBorder="1"/>
    <xf numFmtId="3" fontId="19" fillId="7" borderId="17" xfId="0" applyNumberFormat="1" applyFont="1" applyFill="1" applyBorder="1"/>
    <xf numFmtId="3" fontId="16" fillId="6" borderId="64" xfId="0" applyNumberFormat="1" applyFont="1" applyFill="1" applyBorder="1" applyAlignment="1">
      <alignment horizontal="center"/>
    </xf>
    <xf numFmtId="3" fontId="16" fillId="6" borderId="65" xfId="0" applyNumberFormat="1" applyFont="1" applyFill="1" applyBorder="1" applyAlignment="1">
      <alignment horizontal="center"/>
    </xf>
    <xf numFmtId="3" fontId="10" fillId="0" borderId="19" xfId="0" applyNumberFormat="1" applyFont="1" applyBorder="1" applyAlignment="1">
      <alignment horizontal="right"/>
    </xf>
    <xf numFmtId="3" fontId="10" fillId="0" borderId="20" xfId="0" applyNumberFormat="1" applyFont="1" applyBorder="1" applyAlignment="1">
      <alignment horizontal="right"/>
    </xf>
    <xf numFmtId="3" fontId="10" fillId="0" borderId="21" xfId="0" applyNumberFormat="1" applyFont="1" applyBorder="1" applyAlignment="1">
      <alignment horizontal="right"/>
    </xf>
    <xf numFmtId="3" fontId="27" fillId="0" borderId="11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 applyAlignment="1">
      <alignment horizontal="center"/>
    </xf>
    <xf numFmtId="3" fontId="11" fillId="0" borderId="39" xfId="0" applyNumberFormat="1" applyFont="1" applyFill="1" applyBorder="1" applyAlignment="1">
      <alignment horizontal="center"/>
    </xf>
    <xf numFmtId="3" fontId="27" fillId="0" borderId="12" xfId="0" applyNumberFormat="1" applyFont="1" applyFill="1" applyBorder="1"/>
    <xf numFmtId="3" fontId="11" fillId="0" borderId="43" xfId="0" applyNumberFormat="1" applyFont="1" applyFill="1" applyBorder="1"/>
    <xf numFmtId="3" fontId="11" fillId="0" borderId="39" xfId="0" applyNumberFormat="1" applyFont="1" applyFill="1" applyBorder="1" applyAlignment="1">
      <alignment horizontal="right" indent="1"/>
    </xf>
    <xf numFmtId="3" fontId="19" fillId="0" borderId="12" xfId="0" applyNumberFormat="1" applyFont="1" applyFill="1" applyBorder="1" applyAlignment="1">
      <alignment horizontal="right" indent="1"/>
    </xf>
    <xf numFmtId="175" fontId="12" fillId="6" borderId="26" xfId="0" applyNumberFormat="1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4" fontId="12" fillId="6" borderId="26" xfId="0" applyNumberFormat="1" applyFont="1" applyFill="1" applyBorder="1" applyAlignment="1">
      <alignment horizontal="center" vertical="center" wrapText="1"/>
    </xf>
    <xf numFmtId="164" fontId="12" fillId="6" borderId="26" xfId="0" applyNumberFormat="1" applyFont="1" applyFill="1" applyBorder="1" applyAlignment="1">
      <alignment horizontal="center" vertical="center" wrapText="1"/>
    </xf>
    <xf numFmtId="14" fontId="12" fillId="6" borderId="26" xfId="0" applyNumberFormat="1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4" fontId="11" fillId="0" borderId="0" xfId="0" applyNumberFormat="1" applyFont="1"/>
    <xf numFmtId="177" fontId="6" fillId="0" borderId="0" xfId="1" applyNumberFormat="1" applyFont="1" applyFill="1"/>
    <xf numFmtId="178" fontId="6" fillId="0" borderId="0" xfId="0" applyNumberFormat="1" applyFont="1" applyFill="1"/>
    <xf numFmtId="178" fontId="2" fillId="0" borderId="0" xfId="0" applyNumberFormat="1" applyFont="1" applyFill="1"/>
    <xf numFmtId="4" fontId="7" fillId="0" borderId="27" xfId="0" applyNumberFormat="1" applyFont="1" applyFill="1" applyBorder="1"/>
    <xf numFmtId="3" fontId="2" fillId="0" borderId="12" xfId="0" applyNumberFormat="1" applyFont="1" applyFill="1" applyBorder="1" applyAlignment="1">
      <alignment horizontal="right" indent="1"/>
    </xf>
    <xf numFmtId="175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4" fontId="7" fillId="0" borderId="0" xfId="0" applyNumberFormat="1" applyFont="1" applyFill="1" applyBorder="1"/>
    <xf numFmtId="14" fontId="7" fillId="0" borderId="0" xfId="0" applyNumberFormat="1" applyFont="1" applyFill="1" applyBorder="1"/>
    <xf numFmtId="175" fontId="7" fillId="0" borderId="31" xfId="0" applyNumberFormat="1" applyFont="1" applyFill="1" applyBorder="1" applyAlignment="1">
      <alignment horizontal="center"/>
    </xf>
    <xf numFmtId="0" fontId="7" fillId="0" borderId="32" xfId="0" applyFont="1" applyFill="1" applyBorder="1"/>
    <xf numFmtId="0" fontId="7" fillId="0" borderId="32" xfId="0" applyFont="1" applyFill="1" applyBorder="1" applyAlignment="1">
      <alignment horizontal="center"/>
    </xf>
    <xf numFmtId="4" fontId="7" fillId="0" borderId="32" xfId="0" applyNumberFormat="1" applyFont="1" applyFill="1" applyBorder="1"/>
    <xf numFmtId="164" fontId="7" fillId="0" borderId="32" xfId="0" applyNumberFormat="1" applyFont="1" applyFill="1" applyBorder="1"/>
    <xf numFmtId="175" fontId="7" fillId="0" borderId="33" xfId="0" applyNumberFormat="1" applyFont="1" applyFill="1" applyBorder="1" applyAlignment="1">
      <alignment horizontal="center"/>
    </xf>
    <xf numFmtId="175" fontId="7" fillId="0" borderId="36" xfId="0" applyNumberFormat="1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2" xfId="0" applyFont="1" applyFill="1" applyBorder="1" applyAlignment="1">
      <alignment horizontal="center"/>
    </xf>
    <xf numFmtId="4" fontId="7" fillId="0" borderId="22" xfId="0" applyNumberFormat="1" applyFont="1" applyFill="1" applyBorder="1"/>
    <xf numFmtId="164" fontId="7" fillId="0" borderId="22" xfId="0" applyNumberFormat="1" applyFont="1" applyFill="1" applyBorder="1"/>
    <xf numFmtId="14" fontId="7" fillId="0" borderId="22" xfId="0" applyNumberFormat="1" applyFont="1" applyFill="1" applyBorder="1"/>
    <xf numFmtId="0" fontId="4" fillId="0" borderId="22" xfId="0" applyFont="1" applyFill="1" applyBorder="1"/>
    <xf numFmtId="4" fontId="4" fillId="0" borderId="0" xfId="0" applyNumberFormat="1" applyFont="1"/>
    <xf numFmtId="43" fontId="4" fillId="0" borderId="0" xfId="1" applyFont="1"/>
    <xf numFmtId="0" fontId="18" fillId="0" borderId="0" xfId="0" applyFont="1" applyFill="1" applyAlignment="1">
      <alignment horizontal="center"/>
    </xf>
    <xf numFmtId="164" fontId="44" fillId="0" borderId="7" xfId="0" applyNumberFormat="1" applyFont="1" applyFill="1" applyBorder="1"/>
    <xf numFmtId="0" fontId="2" fillId="0" borderId="10" xfId="0" applyFont="1" applyFill="1" applyBorder="1" applyAlignment="1">
      <alignment horizontal="left" indent="2"/>
    </xf>
    <xf numFmtId="0" fontId="11" fillId="0" borderId="0" xfId="0" applyFont="1" applyFill="1"/>
    <xf numFmtId="3" fontId="19" fillId="0" borderId="42" xfId="0" applyNumberFormat="1" applyFont="1" applyFill="1" applyBorder="1"/>
    <xf numFmtId="14" fontId="31" fillId="4" borderId="11" xfId="0" applyNumberFormat="1" applyFont="1" applyFill="1" applyBorder="1" applyAlignment="1">
      <alignment horizontal="right"/>
    </xf>
    <xf numFmtId="3" fontId="31" fillId="4" borderId="27" xfId="0" applyNumberFormat="1" applyFont="1" applyFill="1" applyBorder="1"/>
    <xf numFmtId="0" fontId="31" fillId="4" borderId="25" xfId="0" applyFont="1" applyFill="1" applyBorder="1"/>
    <xf numFmtId="0" fontId="12" fillId="6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75" fontId="7" fillId="4" borderId="2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vertical="center"/>
    </xf>
    <xf numFmtId="164" fontId="7" fillId="4" borderId="3" xfId="0" applyNumberFormat="1" applyFont="1" applyFill="1" applyBorder="1" applyAlignment="1">
      <alignment vertical="center"/>
    </xf>
    <xf numFmtId="14" fontId="7" fillId="4" borderId="3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vertical="center"/>
    </xf>
    <xf numFmtId="175" fontId="7" fillId="0" borderId="2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7" xfId="0" applyFont="1" applyFill="1" applyBorder="1" applyAlignment="1">
      <alignment horizontal="center" vertical="center"/>
    </xf>
    <xf numFmtId="175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Alignment="1">
      <alignment vertical="center"/>
    </xf>
    <xf numFmtId="175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14" fontId="7" fillId="0" borderId="0" xfId="0" applyNumberFormat="1" applyFont="1" applyAlignment="1">
      <alignment vertical="center"/>
    </xf>
    <xf numFmtId="175" fontId="7" fillId="4" borderId="3" xfId="0" applyNumberFormat="1" applyFont="1" applyFill="1" applyBorder="1" applyAlignment="1">
      <alignment horizontal="center" vertical="center"/>
    </xf>
    <xf numFmtId="175" fontId="7" fillId="0" borderId="2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vertical="center"/>
    </xf>
    <xf numFmtId="175" fontId="7" fillId="0" borderId="3" xfId="0" applyNumberFormat="1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vertical="center"/>
    </xf>
    <xf numFmtId="3" fontId="11" fillId="0" borderId="29" xfId="0" applyNumberFormat="1" applyFont="1" applyBorder="1"/>
    <xf numFmtId="3" fontId="11" fillId="0" borderId="30" xfId="0" applyNumberFormat="1" applyFont="1" applyBorder="1"/>
    <xf numFmtId="3" fontId="11" fillId="0" borderId="50" xfId="0" applyNumberFormat="1" applyFont="1" applyBorder="1"/>
    <xf numFmtId="3" fontId="10" fillId="5" borderId="18" xfId="0" applyNumberFormat="1" applyFont="1" applyFill="1" applyBorder="1" applyAlignment="1">
      <alignment horizontal="center"/>
    </xf>
    <xf numFmtId="3" fontId="27" fillId="3" borderId="42" xfId="0" applyNumberFormat="1" applyFont="1" applyFill="1" applyBorder="1" applyAlignment="1">
      <alignment horizontal="right" indent="1"/>
    </xf>
    <xf numFmtId="16" fontId="7" fillId="0" borderId="12" xfId="0" applyNumberFormat="1" applyFont="1" applyFill="1" applyBorder="1"/>
    <xf numFmtId="16" fontId="7" fillId="0" borderId="26" xfId="0" applyNumberFormat="1" applyFont="1" applyFill="1" applyBorder="1"/>
    <xf numFmtId="0" fontId="7" fillId="4" borderId="3" xfId="0" applyFont="1" applyFill="1" applyBorder="1" applyAlignment="1">
      <alignment horizontal="left" vertical="center"/>
    </xf>
    <xf numFmtId="0" fontId="3" fillId="0" borderId="5" xfId="0" applyFont="1" applyFill="1" applyBorder="1"/>
    <xf numFmtId="0" fontId="3" fillId="0" borderId="6" xfId="0" applyFont="1" applyFill="1" applyBorder="1"/>
    <xf numFmtId="4" fontId="3" fillId="0" borderId="6" xfId="0" applyNumberFormat="1" applyFont="1" applyFill="1" applyBorder="1"/>
    <xf numFmtId="164" fontId="3" fillId="0" borderId="6" xfId="0" applyNumberFormat="1" applyFont="1" applyFill="1" applyBorder="1"/>
    <xf numFmtId="14" fontId="3" fillId="0" borderId="6" xfId="0" applyNumberFormat="1" applyFont="1" applyFill="1" applyBorder="1"/>
    <xf numFmtId="14" fontId="3" fillId="0" borderId="7" xfId="0" applyNumberFormat="1" applyFont="1" applyFill="1" applyBorder="1" applyAlignment="1">
      <alignment horizontal="right"/>
    </xf>
    <xf numFmtId="0" fontId="7" fillId="0" borderId="3" xfId="0" applyFont="1" applyBorder="1" applyAlignment="1">
      <alignment vertical="center"/>
    </xf>
    <xf numFmtId="0" fontId="45" fillId="0" borderId="0" xfId="0" applyFont="1"/>
    <xf numFmtId="0" fontId="44" fillId="0" borderId="5" xfId="0" applyFont="1" applyFill="1" applyBorder="1" applyAlignment="1">
      <alignment horizontal="center"/>
    </xf>
    <xf numFmtId="0" fontId="44" fillId="0" borderId="6" xfId="0" applyFont="1" applyFill="1" applyBorder="1" applyAlignment="1">
      <alignment horizontal="center"/>
    </xf>
    <xf numFmtId="0" fontId="44" fillId="0" borderId="7" xfId="0" applyFont="1" applyFill="1" applyBorder="1" applyAlignment="1">
      <alignment horizontal="center"/>
    </xf>
    <xf numFmtId="0" fontId="45" fillId="0" borderId="0" xfId="0" applyFont="1" applyFill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64" fontId="4" fillId="0" borderId="7" xfId="0" applyNumberFormat="1" applyFont="1" applyBorder="1" applyAlignment="1">
      <alignment horizontal="center"/>
    </xf>
    <xf numFmtId="0" fontId="44" fillId="0" borderId="0" xfId="0" applyFont="1" applyAlignment="1">
      <alignment horizontal="center"/>
    </xf>
    <xf numFmtId="0" fontId="44" fillId="0" borderId="0" xfId="0" applyFont="1"/>
    <xf numFmtId="179" fontId="7" fillId="0" borderId="0" xfId="5" applyNumberFormat="1" applyFont="1"/>
    <xf numFmtId="14" fontId="4" fillId="0" borderId="0" xfId="0" applyNumberFormat="1" applyFont="1"/>
    <xf numFmtId="164" fontId="4" fillId="0" borderId="3" xfId="0" applyNumberFormat="1" applyFont="1" applyBorder="1"/>
    <xf numFmtId="164" fontId="4" fillId="0" borderId="47" xfId="0" applyNumberFormat="1" applyFont="1" applyBorder="1"/>
    <xf numFmtId="0" fontId="7" fillId="0" borderId="0" xfId="0" applyNumberFormat="1" applyFont="1" applyFill="1" applyBorder="1"/>
    <xf numFmtId="167" fontId="2" fillId="0" borderId="0" xfId="0" applyNumberFormat="1" applyFont="1"/>
    <xf numFmtId="0" fontId="7" fillId="4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164" fontId="18" fillId="0" borderId="7" xfId="0" applyNumberFormat="1" applyFont="1" applyBorder="1"/>
    <xf numFmtId="3" fontId="10" fillId="0" borderId="30" xfId="0" applyNumberFormat="1" applyFont="1" applyBorder="1" applyAlignment="1">
      <alignment horizontal="right"/>
    </xf>
    <xf numFmtId="3" fontId="16" fillId="6" borderId="5" xfId="0" applyNumberFormat="1" applyFont="1" applyFill="1" applyBorder="1" applyAlignment="1">
      <alignment horizontal="center"/>
    </xf>
    <xf numFmtId="3" fontId="16" fillId="6" borderId="7" xfId="0" applyNumberFormat="1" applyFont="1" applyFill="1" applyBorder="1" applyAlignment="1">
      <alignment horizontal="center"/>
    </xf>
    <xf numFmtId="3" fontId="19" fillId="7" borderId="66" xfId="0" applyNumberFormat="1" applyFont="1" applyFill="1" applyBorder="1"/>
    <xf numFmtId="3" fontId="19" fillId="7" borderId="27" xfId="0" applyNumberFormat="1" applyFont="1" applyFill="1" applyBorder="1"/>
    <xf numFmtId="3" fontId="10" fillId="0" borderId="50" xfId="0" applyNumberFormat="1" applyFont="1" applyBorder="1" applyAlignment="1">
      <alignment horizontal="right"/>
    </xf>
    <xf numFmtId="3" fontId="16" fillId="6" borderId="6" xfId="0" applyNumberFormat="1" applyFont="1" applyFill="1" applyBorder="1" applyAlignment="1">
      <alignment horizontal="center"/>
    </xf>
    <xf numFmtId="3" fontId="16" fillId="6" borderId="28" xfId="0" applyNumberFormat="1" applyFont="1" applyFill="1" applyBorder="1" applyAlignment="1">
      <alignment horizontal="center"/>
    </xf>
    <xf numFmtId="3" fontId="16" fillId="6" borderId="67" xfId="0" applyNumberFormat="1" applyFont="1" applyFill="1" applyBorder="1" applyAlignment="1">
      <alignment horizontal="center"/>
    </xf>
    <xf numFmtId="3" fontId="14" fillId="7" borderId="25" xfId="0" applyNumberFormat="1" applyFont="1" applyFill="1" applyBorder="1" applyAlignment="1">
      <alignment horizontal="center"/>
    </xf>
    <xf numFmtId="3" fontId="19" fillId="7" borderId="26" xfId="0" applyNumberFormat="1" applyFont="1" applyFill="1" applyBorder="1"/>
    <xf numFmtId="3" fontId="19" fillId="7" borderId="59" xfId="0" applyNumberFormat="1" applyFont="1" applyFill="1" applyBorder="1"/>
    <xf numFmtId="3" fontId="10" fillId="0" borderId="29" xfId="0" applyNumberFormat="1" applyFont="1" applyBorder="1" applyAlignment="1">
      <alignment horizontal="right"/>
    </xf>
    <xf numFmtId="3" fontId="10" fillId="0" borderId="41" xfId="0" applyNumberFormat="1" applyFont="1" applyBorder="1" applyAlignment="1">
      <alignment horizontal="right"/>
    </xf>
    <xf numFmtId="3" fontId="10" fillId="0" borderId="49" xfId="0" applyNumberFormat="1" applyFont="1" applyBorder="1" applyAlignment="1">
      <alignment horizontal="right"/>
    </xf>
    <xf numFmtId="3" fontId="11" fillId="0" borderId="19" xfId="0" applyNumberFormat="1" applyFont="1" applyBorder="1"/>
    <xf numFmtId="3" fontId="11" fillId="0" borderId="21" xfId="0" applyNumberFormat="1" applyFont="1" applyBorder="1"/>
    <xf numFmtId="3" fontId="12" fillId="6" borderId="56" xfId="0" applyNumberFormat="1" applyFont="1" applyFill="1" applyBorder="1"/>
    <xf numFmtId="166" fontId="10" fillId="5" borderId="15" xfId="0" applyNumberFormat="1" applyFont="1" applyFill="1" applyBorder="1" applyAlignment="1">
      <alignment horizontal="center"/>
    </xf>
    <xf numFmtId="166" fontId="10" fillId="5" borderId="17" xfId="0" applyNumberFormat="1" applyFont="1" applyFill="1" applyBorder="1" applyAlignment="1">
      <alignment horizontal="center"/>
    </xf>
    <xf numFmtId="3" fontId="14" fillId="7" borderId="68" xfId="0" applyNumberFormat="1" applyFont="1" applyFill="1" applyBorder="1" applyAlignment="1">
      <alignment horizontal="center"/>
    </xf>
    <xf numFmtId="3" fontId="10" fillId="0" borderId="40" xfId="0" applyNumberFormat="1" applyFont="1" applyBorder="1" applyAlignment="1">
      <alignment horizontal="right"/>
    </xf>
    <xf numFmtId="3" fontId="12" fillId="6" borderId="58" xfId="0" applyNumberFormat="1" applyFont="1" applyFill="1" applyBorder="1"/>
    <xf numFmtId="3" fontId="12" fillId="6" borderId="57" xfId="0" applyNumberFormat="1" applyFont="1" applyFill="1" applyBorder="1"/>
    <xf numFmtId="166" fontId="10" fillId="5" borderId="16" xfId="0" applyNumberFormat="1" applyFont="1" applyFill="1" applyBorder="1" applyAlignment="1">
      <alignment horizontal="center"/>
    </xf>
    <xf numFmtId="3" fontId="12" fillId="6" borderId="34" xfId="0" applyNumberFormat="1" applyFont="1" applyFill="1" applyBorder="1"/>
    <xf numFmtId="166" fontId="10" fillId="5" borderId="14" xfId="0" applyNumberFormat="1" applyFont="1" applyFill="1" applyBorder="1" applyAlignment="1">
      <alignment horizontal="center"/>
    </xf>
    <xf numFmtId="0" fontId="7" fillId="0" borderId="5" xfId="0" applyFont="1" applyFill="1" applyBorder="1"/>
    <xf numFmtId="0" fontId="7" fillId="0" borderId="6" xfId="0" applyFont="1" applyFill="1" applyBorder="1"/>
    <xf numFmtId="4" fontId="7" fillId="0" borderId="6" xfId="0" applyNumberFormat="1" applyFont="1" applyFill="1" applyBorder="1"/>
    <xf numFmtId="164" fontId="7" fillId="0" borderId="6" xfId="0" applyNumberFormat="1" applyFont="1" applyFill="1" applyBorder="1"/>
    <xf numFmtId="14" fontId="7" fillId="0" borderId="6" xfId="0" applyNumberFormat="1" applyFont="1" applyFill="1" applyBorder="1"/>
    <xf numFmtId="14" fontId="7" fillId="0" borderId="7" xfId="0" applyNumberFormat="1" applyFont="1" applyFill="1" applyBorder="1" applyAlignment="1">
      <alignment horizontal="right"/>
    </xf>
    <xf numFmtId="3" fontId="27" fillId="3" borderId="12" xfId="0" applyNumberFormat="1" applyFont="1" applyFill="1" applyBorder="1" applyAlignment="1">
      <alignment horizontal="right" indent="1"/>
    </xf>
    <xf numFmtId="3" fontId="12" fillId="6" borderId="5" xfId="0" applyNumberFormat="1" applyFont="1" applyFill="1" applyBorder="1"/>
    <xf numFmtId="3" fontId="12" fillId="6" borderId="7" xfId="0" applyNumberFormat="1" applyFont="1" applyFill="1" applyBorder="1"/>
    <xf numFmtId="164" fontId="18" fillId="0" borderId="0" xfId="0" applyNumberFormat="1" applyFont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14" fontId="2" fillId="4" borderId="27" xfId="1" applyNumberFormat="1" applyFont="1" applyFill="1" applyBorder="1"/>
    <xf numFmtId="0" fontId="0" fillId="0" borderId="0" xfId="0" applyFont="1"/>
    <xf numFmtId="14" fontId="46" fillId="0" borderId="0" xfId="0" applyNumberFormat="1" applyFont="1"/>
    <xf numFmtId="0" fontId="46" fillId="0" borderId="0" xfId="0" applyFont="1"/>
    <xf numFmtId="164" fontId="46" fillId="0" borderId="0" xfId="0" applyNumberFormat="1" applyFont="1"/>
    <xf numFmtId="3" fontId="27" fillId="3" borderId="11" xfId="0" applyNumberFormat="1" applyFont="1" applyFill="1" applyBorder="1"/>
    <xf numFmtId="0" fontId="3" fillId="3" borderId="25" xfId="0" applyFont="1" applyFill="1" applyBorder="1"/>
    <xf numFmtId="0" fontId="28" fillId="3" borderId="26" xfId="0" applyFont="1" applyFill="1" applyBorder="1"/>
    <xf numFmtId="4" fontId="28" fillId="3" borderId="26" xfId="0" applyNumberFormat="1" applyFont="1" applyFill="1" applyBorder="1"/>
    <xf numFmtId="164" fontId="3" fillId="3" borderId="26" xfId="0" applyNumberFormat="1" applyFont="1" applyFill="1" applyBorder="1"/>
    <xf numFmtId="14" fontId="28" fillId="3" borderId="26" xfId="0" applyNumberFormat="1" applyFont="1" applyFill="1" applyBorder="1"/>
    <xf numFmtId="14" fontId="28" fillId="3" borderId="27" xfId="0" applyNumberFormat="1" applyFont="1" applyFill="1" applyBorder="1" applyAlignment="1">
      <alignment horizontal="right"/>
    </xf>
    <xf numFmtId="0" fontId="3" fillId="3" borderId="19" xfId="0" applyFont="1" applyFill="1" applyBorder="1"/>
    <xf numFmtId="0" fontId="3" fillId="3" borderId="20" xfId="0" applyFont="1" applyFill="1" applyBorder="1"/>
    <xf numFmtId="164" fontId="3" fillId="3" borderId="20" xfId="0" applyNumberFormat="1" applyFont="1" applyFill="1" applyBorder="1"/>
    <xf numFmtId="4" fontId="3" fillId="3" borderId="20" xfId="0" applyNumberFormat="1" applyFont="1" applyFill="1" applyBorder="1"/>
    <xf numFmtId="14" fontId="3" fillId="3" borderId="20" xfId="0" applyNumberFormat="1" applyFont="1" applyFill="1" applyBorder="1"/>
    <xf numFmtId="14" fontId="3" fillId="3" borderId="21" xfId="0" applyNumberFormat="1" applyFont="1" applyFill="1" applyBorder="1" applyAlignment="1">
      <alignment horizontal="right"/>
    </xf>
    <xf numFmtId="0" fontId="0" fillId="10" borderId="0" xfId="0" applyFill="1"/>
    <xf numFmtId="14" fontId="0" fillId="10" borderId="0" xfId="0" applyNumberFormat="1" applyFill="1"/>
    <xf numFmtId="164" fontId="0" fillId="10" borderId="0" xfId="0" applyNumberFormat="1" applyFill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0" xfId="0" applyNumberFormat="1" applyFont="1" applyFill="1" applyBorder="1"/>
    <xf numFmtId="164" fontId="4" fillId="4" borderId="0" xfId="0" applyNumberFormat="1" applyFont="1" applyFill="1" applyBorder="1"/>
    <xf numFmtId="3" fontId="19" fillId="0" borderId="11" xfId="0" applyNumberFormat="1" applyFont="1" applyFill="1" applyBorder="1"/>
    <xf numFmtId="3" fontId="10" fillId="4" borderId="12" xfId="0" applyNumberFormat="1" applyFont="1" applyFill="1" applyBorder="1"/>
    <xf numFmtId="3" fontId="10" fillId="4" borderId="13" xfId="0" applyNumberFormat="1" applyFont="1" applyFill="1" applyBorder="1" applyAlignment="1">
      <alignment horizontal="right" indent="1"/>
    </xf>
    <xf numFmtId="0" fontId="0" fillId="0" borderId="0" xfId="0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75" fontId="7" fillId="0" borderId="31" xfId="0" applyNumberFormat="1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vertical="center"/>
    </xf>
    <xf numFmtId="0" fontId="7" fillId="0" borderId="32" xfId="0" applyFont="1" applyFill="1" applyBorder="1" applyAlignment="1">
      <alignment horizontal="center" vertical="center"/>
    </xf>
    <xf numFmtId="4" fontId="7" fillId="0" borderId="32" xfId="0" applyNumberFormat="1" applyFont="1" applyFill="1" applyBorder="1" applyAlignment="1">
      <alignment vertical="center"/>
    </xf>
    <xf numFmtId="164" fontId="7" fillId="0" borderId="32" xfId="0" applyNumberFormat="1" applyFont="1" applyFill="1" applyBorder="1" applyAlignment="1">
      <alignment vertical="center"/>
    </xf>
    <xf numFmtId="175" fontId="7" fillId="0" borderId="33" xfId="0" applyNumberFormat="1" applyFont="1" applyFill="1" applyBorder="1" applyAlignment="1">
      <alignment horizontal="center" vertical="center"/>
    </xf>
    <xf numFmtId="175" fontId="7" fillId="0" borderId="36" xfId="0" applyNumberFormat="1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vertical="center"/>
    </xf>
    <xf numFmtId="0" fontId="7" fillId="0" borderId="22" xfId="0" applyFont="1" applyFill="1" applyBorder="1" applyAlignment="1">
      <alignment horizontal="center" vertical="center"/>
    </xf>
    <xf numFmtId="4" fontId="7" fillId="0" borderId="22" xfId="0" applyNumberFormat="1" applyFont="1" applyFill="1" applyBorder="1" applyAlignment="1">
      <alignment vertical="center"/>
    </xf>
    <xf numFmtId="164" fontId="7" fillId="0" borderId="22" xfId="0" applyNumberFormat="1" applyFont="1" applyFill="1" applyBorder="1" applyAlignment="1">
      <alignment vertical="center"/>
    </xf>
    <xf numFmtId="175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4" fontId="7" fillId="0" borderId="0" xfId="0" applyNumberFormat="1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175" fontId="7" fillId="0" borderId="31" xfId="0" applyNumberFormat="1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4" fontId="7" fillId="0" borderId="32" xfId="0" applyNumberFormat="1" applyFont="1" applyBorder="1" applyAlignment="1">
      <alignment vertical="center"/>
    </xf>
    <xf numFmtId="164" fontId="7" fillId="0" borderId="32" xfId="0" applyNumberFormat="1" applyFont="1" applyBorder="1" applyAlignment="1">
      <alignment vertical="center"/>
    </xf>
    <xf numFmtId="175" fontId="7" fillId="0" borderId="36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0" fontId="7" fillId="0" borderId="22" xfId="0" applyFont="1" applyBorder="1" applyAlignment="1">
      <alignment horizontal="center" vertical="center"/>
    </xf>
    <xf numFmtId="4" fontId="7" fillId="0" borderId="22" xfId="0" applyNumberFormat="1" applyFont="1" applyBorder="1" applyAlignment="1">
      <alignment vertical="center"/>
    </xf>
    <xf numFmtId="164" fontId="7" fillId="0" borderId="22" xfId="0" applyNumberFormat="1" applyFont="1" applyBorder="1" applyAlignment="1">
      <alignment vertical="center"/>
    </xf>
    <xf numFmtId="175" fontId="7" fillId="0" borderId="3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64" fontId="47" fillId="0" borderId="0" xfId="0" applyNumberFormat="1" applyFont="1"/>
    <xf numFmtId="175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175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/>
    </xf>
    <xf numFmtId="164" fontId="4" fillId="0" borderId="0" xfId="0" applyNumberFormat="1" applyFont="1" applyBorder="1" applyAlignment="1">
      <alignment vertical="center"/>
    </xf>
    <xf numFmtId="0" fontId="4" fillId="4" borderId="47" xfId="0" applyFont="1" applyFill="1" applyBorder="1" applyAlignment="1">
      <alignment vertical="center"/>
    </xf>
    <xf numFmtId="43" fontId="7" fillId="0" borderId="0" xfId="1" applyFont="1" applyFill="1"/>
    <xf numFmtId="164" fontId="0" fillId="0" borderId="0" xfId="0" applyNumberFormat="1" applyFill="1"/>
    <xf numFmtId="0" fontId="18" fillId="0" borderId="0" xfId="0" applyFont="1" applyFill="1"/>
    <xf numFmtId="0" fontId="0" fillId="0" borderId="33" xfId="0" applyFill="1" applyBorder="1"/>
    <xf numFmtId="164" fontId="0" fillId="0" borderId="0" xfId="0" applyNumberFormat="1" applyFill="1" applyBorder="1"/>
    <xf numFmtId="0" fontId="0" fillId="0" borderId="0" xfId="0" applyFill="1" applyBorder="1"/>
    <xf numFmtId="164" fontId="0" fillId="0" borderId="62" xfId="0" applyNumberFormat="1" applyFill="1" applyBorder="1"/>
    <xf numFmtId="0" fontId="18" fillId="0" borderId="36" xfId="0" applyFont="1" applyFill="1" applyBorder="1"/>
    <xf numFmtId="164" fontId="18" fillId="0" borderId="22" xfId="0" applyNumberFormat="1" applyFont="1" applyFill="1" applyBorder="1"/>
    <xf numFmtId="0" fontId="18" fillId="0" borderId="22" xfId="0" applyFont="1" applyFill="1" applyBorder="1"/>
    <xf numFmtId="164" fontId="18" fillId="0" borderId="35" xfId="0" applyNumberFormat="1" applyFont="1" applyFill="1" applyBorder="1"/>
    <xf numFmtId="0" fontId="48" fillId="0" borderId="33" xfId="0" applyFont="1" applyFill="1" applyBorder="1"/>
    <xf numFmtId="164" fontId="48" fillId="0" borderId="0" xfId="0" applyNumberFormat="1" applyFont="1" applyFill="1" applyBorder="1"/>
    <xf numFmtId="0" fontId="0" fillId="5" borderId="33" xfId="0" applyFill="1" applyBorder="1"/>
    <xf numFmtId="164" fontId="0" fillId="5" borderId="0" xfId="0" applyNumberFormat="1" applyFill="1" applyBorder="1"/>
    <xf numFmtId="0" fontId="0" fillId="5" borderId="0" xfId="0" applyFill="1" applyBorder="1"/>
    <xf numFmtId="164" fontId="0" fillId="5" borderId="62" xfId="0" applyNumberFormat="1" applyFill="1" applyBorder="1"/>
    <xf numFmtId="0" fontId="48" fillId="5" borderId="0" xfId="0" applyFont="1" applyFill="1" applyBorder="1"/>
    <xf numFmtId="164" fontId="48" fillId="5" borderId="62" xfId="0" applyNumberFormat="1" applyFont="1" applyFill="1" applyBorder="1"/>
    <xf numFmtId="0" fontId="18" fillId="5" borderId="36" xfId="0" applyFont="1" applyFill="1" applyBorder="1"/>
    <xf numFmtId="164" fontId="18" fillId="5" borderId="22" xfId="0" applyNumberFormat="1" applyFont="1" applyFill="1" applyBorder="1"/>
    <xf numFmtId="0" fontId="18" fillId="5" borderId="22" xfId="0" applyFont="1" applyFill="1" applyBorder="1"/>
    <xf numFmtId="164" fontId="18" fillId="5" borderId="35" xfId="0" applyNumberFormat="1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164" fontId="0" fillId="0" borderId="0" xfId="0" applyNumberFormat="1" applyFont="1" applyFill="1"/>
    <xf numFmtId="164" fontId="4" fillId="3" borderId="0" xfId="0" applyNumberFormat="1" applyFont="1" applyFill="1" applyBorder="1" applyAlignment="1">
      <alignment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6" fillId="4" borderId="10" xfId="0" applyFont="1" applyFill="1" applyBorder="1"/>
    <xf numFmtId="0" fontId="2" fillId="4" borderId="10" xfId="0" applyFont="1" applyFill="1" applyBorder="1"/>
    <xf numFmtId="0" fontId="6" fillId="4" borderId="11" xfId="0" applyFont="1" applyFill="1" applyBorder="1"/>
    <xf numFmtId="14" fontId="6" fillId="4" borderId="12" xfId="0" applyNumberFormat="1" applyFont="1" applyFill="1" applyBorder="1"/>
    <xf numFmtId="0" fontId="6" fillId="4" borderId="12" xfId="0" applyFont="1" applyFill="1" applyBorder="1"/>
    <xf numFmtId="4" fontId="6" fillId="4" borderId="12" xfId="0" applyNumberFormat="1" applyFont="1" applyFill="1" applyBorder="1"/>
    <xf numFmtId="164" fontId="6" fillId="4" borderId="12" xfId="0" applyNumberFormat="1" applyFont="1" applyFill="1" applyBorder="1"/>
    <xf numFmtId="14" fontId="6" fillId="4" borderId="13" xfId="0" applyNumberFormat="1" applyFont="1" applyFill="1" applyBorder="1"/>
    <xf numFmtId="0" fontId="2" fillId="4" borderId="11" xfId="0" applyFont="1" applyFill="1" applyBorder="1"/>
    <xf numFmtId="14" fontId="2" fillId="4" borderId="12" xfId="0" applyNumberFormat="1" applyFont="1" applyFill="1" applyBorder="1"/>
    <xf numFmtId="0" fontId="2" fillId="4" borderId="12" xfId="0" applyFont="1" applyFill="1" applyBorder="1"/>
    <xf numFmtId="4" fontId="2" fillId="4" borderId="12" xfId="0" applyNumberFormat="1" applyFont="1" applyFill="1" applyBorder="1"/>
    <xf numFmtId="164" fontId="2" fillId="4" borderId="12" xfId="0" applyNumberFormat="1" applyFont="1" applyFill="1" applyBorder="1"/>
    <xf numFmtId="14" fontId="2" fillId="4" borderId="13" xfId="0" applyNumberFormat="1" applyFont="1" applyFill="1" applyBorder="1"/>
    <xf numFmtId="14" fontId="6" fillId="0" borderId="12" xfId="0" applyNumberFormat="1" applyFont="1" applyBorder="1"/>
    <xf numFmtId="14" fontId="6" fillId="0" borderId="13" xfId="0" applyNumberFormat="1" applyFont="1" applyBorder="1"/>
    <xf numFmtId="164" fontId="6" fillId="4" borderId="11" xfId="0" applyNumberFormat="1" applyFont="1" applyFill="1" applyBorder="1"/>
    <xf numFmtId="164" fontId="2" fillId="4" borderId="11" xfId="0" applyNumberFormat="1" applyFont="1" applyFill="1" applyBorder="1"/>
    <xf numFmtId="164" fontId="6" fillId="0" borderId="11" xfId="0" applyNumberFormat="1" applyFont="1" applyBorder="1"/>
    <xf numFmtId="0" fontId="6" fillId="4" borderId="13" xfId="0" applyFont="1" applyFill="1" applyBorder="1"/>
    <xf numFmtId="4" fontId="2" fillId="4" borderId="11" xfId="0" applyNumberFormat="1" applyFont="1" applyFill="1" applyBorder="1"/>
    <xf numFmtId="0" fontId="2" fillId="4" borderId="13" xfId="0" applyFont="1" applyFill="1" applyBorder="1"/>
    <xf numFmtId="0" fontId="6" fillId="0" borderId="13" xfId="0" applyFont="1" applyBorder="1"/>
    <xf numFmtId="4" fontId="6" fillId="4" borderId="10" xfId="0" applyNumberFormat="1" applyFont="1" applyFill="1" applyBorder="1"/>
    <xf numFmtId="4" fontId="2" fillId="4" borderId="10" xfId="0" applyNumberFormat="1" applyFont="1" applyFill="1" applyBorder="1"/>
    <xf numFmtId="4" fontId="6" fillId="0" borderId="10" xfId="0" applyNumberFormat="1" applyFont="1" applyFill="1" applyBorder="1"/>
    <xf numFmtId="4" fontId="6" fillId="0" borderId="14" xfId="0" applyNumberFormat="1" applyFont="1" applyFill="1" applyBorder="1"/>
    <xf numFmtId="0" fontId="46" fillId="0" borderId="19" xfId="0" applyFont="1" applyBorder="1"/>
    <xf numFmtId="0" fontId="46" fillId="0" borderId="20" xfId="0" applyFont="1" applyBorder="1"/>
    <xf numFmtId="14" fontId="46" fillId="0" borderId="20" xfId="0" applyNumberFormat="1" applyFont="1" applyBorder="1"/>
    <xf numFmtId="164" fontId="46" fillId="0" borderId="21" xfId="0" applyNumberFormat="1" applyFont="1" applyBorder="1"/>
    <xf numFmtId="0" fontId="46" fillId="0" borderId="11" xfId="0" applyFont="1" applyBorder="1"/>
    <xf numFmtId="0" fontId="46" fillId="0" borderId="12" xfId="0" applyFont="1" applyBorder="1"/>
    <xf numFmtId="14" fontId="46" fillId="0" borderId="12" xfId="0" applyNumberFormat="1" applyFont="1" applyBorder="1"/>
    <xf numFmtId="164" fontId="46" fillId="0" borderId="13" xfId="0" applyNumberFormat="1" applyFont="1" applyBorder="1"/>
    <xf numFmtId="0" fontId="46" fillId="0" borderId="15" xfId="0" applyFont="1" applyBorder="1"/>
    <xf numFmtId="0" fontId="46" fillId="0" borderId="16" xfId="0" applyFont="1" applyBorder="1"/>
    <xf numFmtId="14" fontId="46" fillId="0" borderId="16" xfId="0" applyNumberFormat="1" applyFont="1" applyBorder="1"/>
    <xf numFmtId="164" fontId="46" fillId="0" borderId="17" xfId="0" applyNumberFormat="1" applyFont="1" applyBorder="1"/>
    <xf numFmtId="0" fontId="0" fillId="0" borderId="11" xfId="0" applyBorder="1"/>
    <xf numFmtId="0" fontId="0" fillId="0" borderId="12" xfId="0" applyBorder="1"/>
    <xf numFmtId="14" fontId="0" fillId="0" borderId="12" xfId="0" applyNumberFormat="1" applyBorder="1"/>
    <xf numFmtId="164" fontId="0" fillId="0" borderId="13" xfId="0" applyNumberFormat="1" applyBorder="1"/>
    <xf numFmtId="0" fontId="0" fillId="0" borderId="19" xfId="0" applyBorder="1"/>
    <xf numFmtId="0" fontId="0" fillId="0" borderId="20" xfId="0" applyBorder="1"/>
    <xf numFmtId="14" fontId="0" fillId="0" borderId="20" xfId="0" applyNumberFormat="1" applyBorder="1"/>
    <xf numFmtId="164" fontId="0" fillId="0" borderId="21" xfId="0" applyNumberFormat="1" applyBorder="1"/>
    <xf numFmtId="0" fontId="0" fillId="0" borderId="15" xfId="0" applyBorder="1"/>
    <xf numFmtId="0" fontId="0" fillId="0" borderId="16" xfId="0" applyBorder="1"/>
    <xf numFmtId="14" fontId="0" fillId="0" borderId="16" xfId="0" applyNumberFormat="1" applyBorder="1"/>
    <xf numFmtId="164" fontId="0" fillId="0" borderId="17" xfId="0" applyNumberFormat="1" applyBorder="1"/>
    <xf numFmtId="0" fontId="46" fillId="0" borderId="19" xfId="0" applyFont="1" applyFill="1" applyBorder="1"/>
    <xf numFmtId="0" fontId="46" fillId="0" borderId="20" xfId="0" applyFont="1" applyFill="1" applyBorder="1"/>
    <xf numFmtId="14" fontId="46" fillId="0" borderId="20" xfId="0" applyNumberFormat="1" applyFont="1" applyFill="1" applyBorder="1"/>
    <xf numFmtId="164" fontId="46" fillId="0" borderId="21" xfId="0" applyNumberFormat="1" applyFont="1" applyFill="1" applyBorder="1"/>
    <xf numFmtId="0" fontId="46" fillId="0" borderId="11" xfId="0" applyFont="1" applyFill="1" applyBorder="1"/>
    <xf numFmtId="0" fontId="46" fillId="0" borderId="12" xfId="0" applyFont="1" applyFill="1" applyBorder="1"/>
    <xf numFmtId="14" fontId="46" fillId="0" borderId="12" xfId="0" applyNumberFormat="1" applyFont="1" applyFill="1" applyBorder="1"/>
    <xf numFmtId="164" fontId="46" fillId="0" borderId="13" xfId="0" applyNumberFormat="1" applyFont="1" applyFill="1" applyBorder="1"/>
    <xf numFmtId="0" fontId="0" fillId="0" borderId="11" xfId="0" applyFill="1" applyBorder="1"/>
    <xf numFmtId="0" fontId="0" fillId="0" borderId="12" xfId="0" applyFill="1" applyBorder="1"/>
    <xf numFmtId="14" fontId="0" fillId="0" borderId="12" xfId="0" applyNumberFormat="1" applyFill="1" applyBorder="1"/>
    <xf numFmtId="164" fontId="0" fillId="0" borderId="13" xfId="0" applyNumberFormat="1" applyFill="1" applyBorder="1"/>
    <xf numFmtId="0" fontId="46" fillId="0" borderId="15" xfId="0" applyFont="1" applyFill="1" applyBorder="1"/>
    <xf numFmtId="0" fontId="46" fillId="0" borderId="16" xfId="0" applyFont="1" applyFill="1" applyBorder="1"/>
    <xf numFmtId="14" fontId="46" fillId="0" borderId="16" xfId="0" applyNumberFormat="1" applyFont="1" applyFill="1" applyBorder="1"/>
    <xf numFmtId="164" fontId="46" fillId="0" borderId="17" xfId="0" applyNumberFormat="1" applyFont="1" applyFill="1" applyBorder="1"/>
    <xf numFmtId="164" fontId="18" fillId="0" borderId="0" xfId="0" applyNumberFormat="1" applyFont="1" applyFill="1"/>
    <xf numFmtId="164" fontId="46" fillId="0" borderId="0" xfId="0" applyNumberFormat="1" applyFont="1" applyFill="1"/>
    <xf numFmtId="0" fontId="46" fillId="0" borderId="33" xfId="0" applyFont="1" applyFill="1" applyBorder="1"/>
    <xf numFmtId="164" fontId="46" fillId="0" borderId="0" xfId="0" applyNumberFormat="1" applyFont="1" applyFill="1" applyBorder="1"/>
    <xf numFmtId="0" fontId="46" fillId="0" borderId="0" xfId="0" applyFont="1" applyFill="1" applyBorder="1"/>
    <xf numFmtId="164" fontId="46" fillId="0" borderId="62" xfId="0" applyNumberFormat="1" applyFont="1" applyFill="1" applyBorder="1"/>
    <xf numFmtId="0" fontId="18" fillId="5" borderId="33" xfId="0" applyFont="1" applyFill="1" applyBorder="1"/>
    <xf numFmtId="164" fontId="18" fillId="5" borderId="0" xfId="0" applyNumberFormat="1" applyFont="1" applyFill="1" applyBorder="1"/>
    <xf numFmtId="0" fontId="48" fillId="0" borderId="0" xfId="0" applyFont="1" applyFill="1" applyBorder="1"/>
    <xf numFmtId="164" fontId="48" fillId="0" borderId="62" xfId="0" applyNumberFormat="1" applyFont="1" applyFill="1" applyBorder="1"/>
    <xf numFmtId="0" fontId="46" fillId="4" borderId="33" xfId="0" applyFont="1" applyFill="1" applyBorder="1"/>
    <xf numFmtId="164" fontId="46" fillId="4" borderId="0" xfId="0" applyNumberFormat="1" applyFont="1" applyFill="1" applyBorder="1"/>
    <xf numFmtId="164" fontId="3" fillId="0" borderId="0" xfId="0" applyNumberFormat="1" applyFont="1" applyBorder="1"/>
    <xf numFmtId="0" fontId="3" fillId="0" borderId="0" xfId="0" applyFont="1" applyBorder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0" fillId="3" borderId="0" xfId="0" applyFill="1" applyBorder="1"/>
    <xf numFmtId="164" fontId="0" fillId="3" borderId="62" xfId="0" applyNumberFormat="1" applyFill="1" applyBorder="1"/>
    <xf numFmtId="164" fontId="0" fillId="3" borderId="0" xfId="0" applyNumberFormat="1" applyFill="1" applyBorder="1"/>
    <xf numFmtId="0" fontId="0" fillId="3" borderId="33" xfId="0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175" fontId="7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7" fillId="0" borderId="47" xfId="0" applyFont="1" applyBorder="1" applyAlignment="1">
      <alignment horizontal="center" vertical="center"/>
    </xf>
    <xf numFmtId="175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" fontId="3" fillId="0" borderId="0" xfId="0" applyNumberFormat="1" applyFont="1" applyBorder="1"/>
    <xf numFmtId="175" fontId="3" fillId="0" borderId="0" xfId="0" applyNumberFormat="1" applyFont="1" applyAlignment="1">
      <alignment horizontal="center"/>
    </xf>
    <xf numFmtId="164" fontId="4" fillId="0" borderId="0" xfId="0" applyNumberFormat="1" applyFont="1" applyBorder="1"/>
    <xf numFmtId="4" fontId="4" fillId="0" borderId="0" xfId="0" applyNumberFormat="1" applyFont="1" applyBorder="1"/>
    <xf numFmtId="17" fontId="7" fillId="0" borderId="21" xfId="0" applyNumberFormat="1" applyFont="1" applyFill="1" applyBorder="1" applyAlignment="1">
      <alignment horizontal="center" vertical="center"/>
    </xf>
    <xf numFmtId="0" fontId="28" fillId="0" borderId="6" xfId="0" applyFont="1" applyFill="1" applyBorder="1"/>
    <xf numFmtId="4" fontId="49" fillId="0" borderId="6" xfId="0" applyNumberFormat="1" applyFont="1" applyFill="1" applyBorder="1"/>
    <xf numFmtId="14" fontId="28" fillId="0" borderId="6" xfId="0" applyNumberFormat="1" applyFont="1" applyFill="1" applyBorder="1"/>
    <xf numFmtId="14" fontId="28" fillId="0" borderId="7" xfId="0" applyNumberFormat="1" applyFont="1" applyFill="1" applyBorder="1" applyAlignment="1">
      <alignment horizontal="right"/>
    </xf>
    <xf numFmtId="0" fontId="3" fillId="0" borderId="15" xfId="0" applyFont="1" applyFill="1" applyBorder="1"/>
    <xf numFmtId="0" fontId="3" fillId="0" borderId="16" xfId="0" applyFont="1" applyFill="1" applyBorder="1"/>
    <xf numFmtId="4" fontId="3" fillId="0" borderId="16" xfId="0" applyNumberFormat="1" applyFont="1" applyFill="1" applyBorder="1"/>
    <xf numFmtId="164" fontId="3" fillId="0" borderId="16" xfId="0" applyNumberFormat="1" applyFont="1" applyFill="1" applyBorder="1"/>
    <xf numFmtId="14" fontId="3" fillId="0" borderId="16" xfId="0" applyNumberFormat="1" applyFont="1" applyFill="1" applyBorder="1"/>
    <xf numFmtId="14" fontId="3" fillId="0" borderId="17" xfId="0" applyNumberFormat="1" applyFont="1" applyFill="1" applyBorder="1" applyAlignment="1">
      <alignment horizontal="right"/>
    </xf>
    <xf numFmtId="14" fontId="7" fillId="0" borderId="20" xfId="0" applyNumberFormat="1" applyFont="1" applyFill="1" applyBorder="1"/>
    <xf numFmtId="14" fontId="7" fillId="0" borderId="21" xfId="0" applyNumberFormat="1" applyFont="1" applyFill="1" applyBorder="1" applyAlignment="1">
      <alignment horizontal="right"/>
    </xf>
    <xf numFmtId="14" fontId="7" fillId="0" borderId="16" xfId="0" applyNumberFormat="1" applyFont="1" applyFill="1" applyBorder="1"/>
    <xf numFmtId="14" fontId="7" fillId="0" borderId="17" xfId="0" applyNumberFormat="1" applyFont="1" applyFill="1" applyBorder="1" applyAlignment="1">
      <alignment horizontal="right"/>
    </xf>
    <xf numFmtId="16" fontId="7" fillId="0" borderId="0" xfId="0" applyNumberFormat="1" applyFont="1"/>
    <xf numFmtId="164" fontId="0" fillId="3" borderId="0" xfId="0" applyNumberFormat="1" applyFill="1"/>
    <xf numFmtId="0" fontId="0" fillId="0" borderId="0" xfId="0" applyAlignment="1">
      <alignment horizontal="center"/>
    </xf>
    <xf numFmtId="3" fontId="0" fillId="0" borderId="0" xfId="0" applyNumberFormat="1"/>
    <xf numFmtId="3" fontId="0" fillId="0" borderId="11" xfId="0" applyNumberFormat="1" applyBorder="1"/>
    <xf numFmtId="3" fontId="0" fillId="0" borderId="15" xfId="0" applyNumberFormat="1" applyBorder="1"/>
    <xf numFmtId="0" fontId="0" fillId="0" borderId="18" xfId="0" applyBorder="1"/>
    <xf numFmtId="0" fontId="0" fillId="0" borderId="10" xfId="0" applyBorder="1"/>
    <xf numFmtId="0" fontId="0" fillId="0" borderId="14" xfId="0" applyBorder="1"/>
    <xf numFmtId="14" fontId="18" fillId="0" borderId="0" xfId="0" applyNumberFormat="1" applyFont="1" applyAlignment="1">
      <alignment horizontal="center"/>
    </xf>
    <xf numFmtId="164" fontId="0" fillId="0" borderId="30" xfId="0" applyNumberFormat="1" applyBorder="1"/>
    <xf numFmtId="3" fontId="0" fillId="0" borderId="29" xfId="0" applyNumberFormat="1" applyBorder="1"/>
    <xf numFmtId="3" fontId="18" fillId="0" borderId="5" xfId="0" applyNumberFormat="1" applyFont="1" applyBorder="1" applyAlignment="1">
      <alignment horizontal="center"/>
    </xf>
    <xf numFmtId="164" fontId="18" fillId="0" borderId="7" xfId="0" applyNumberFormat="1" applyFont="1" applyBorder="1" applyAlignment="1">
      <alignment horizontal="center"/>
    </xf>
    <xf numFmtId="164" fontId="18" fillId="11" borderId="47" xfId="0" applyNumberFormat="1" applyFont="1" applyFill="1" applyBorder="1"/>
    <xf numFmtId="164" fontId="18" fillId="11" borderId="7" xfId="0" applyNumberFormat="1" applyFont="1" applyFill="1" applyBorder="1"/>
    <xf numFmtId="3" fontId="10" fillId="5" borderId="5" xfId="0" applyNumberFormat="1" applyFont="1" applyFill="1" applyBorder="1" applyAlignment="1">
      <alignment horizontal="center"/>
    </xf>
    <xf numFmtId="3" fontId="10" fillId="5" borderId="3" xfId="0" applyNumberFormat="1" applyFont="1" applyFill="1" applyBorder="1" applyAlignment="1">
      <alignment horizontal="center"/>
    </xf>
    <xf numFmtId="3" fontId="10" fillId="5" borderId="6" xfId="0" applyNumberFormat="1" applyFont="1" applyFill="1" applyBorder="1" applyAlignment="1">
      <alignment horizontal="center"/>
    </xf>
    <xf numFmtId="3" fontId="10" fillId="5" borderId="46" xfId="0" applyNumberFormat="1" applyFont="1" applyFill="1" applyBorder="1" applyAlignment="1">
      <alignment horizontal="center"/>
    </xf>
    <xf numFmtId="3" fontId="10" fillId="5" borderId="7" xfId="0" applyNumberFormat="1" applyFont="1" applyFill="1" applyBorder="1" applyAlignment="1">
      <alignment horizontal="center"/>
    </xf>
    <xf numFmtId="3" fontId="10" fillId="5" borderId="2" xfId="0" applyNumberFormat="1" applyFont="1" applyFill="1" applyBorder="1" applyAlignment="1">
      <alignment horizontal="center"/>
    </xf>
    <xf numFmtId="3" fontId="10" fillId="5" borderId="47" xfId="0" applyNumberFormat="1" applyFont="1" applyFill="1" applyBorder="1" applyAlignment="1">
      <alignment horizontal="center"/>
    </xf>
    <xf numFmtId="0" fontId="4" fillId="0" borderId="56" xfId="0" applyFont="1" applyFill="1" applyBorder="1" applyAlignment="1">
      <alignment horizontal="center"/>
    </xf>
    <xf numFmtId="0" fontId="4" fillId="0" borderId="57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34" fillId="9" borderId="5" xfId="0" applyFont="1" applyFill="1" applyBorder="1" applyAlignment="1">
      <alignment horizontal="center"/>
    </xf>
    <xf numFmtId="0" fontId="34" fillId="9" borderId="6" xfId="0" applyFont="1" applyFill="1" applyBorder="1" applyAlignment="1">
      <alignment horizontal="center"/>
    </xf>
    <xf numFmtId="0" fontId="34" fillId="9" borderId="7" xfId="0" applyFont="1" applyFill="1" applyBorder="1" applyAlignment="1">
      <alignment horizontal="center"/>
    </xf>
    <xf numFmtId="0" fontId="34" fillId="9" borderId="46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31" fillId="4" borderId="15" xfId="0" applyFont="1" applyFill="1" applyBorder="1" applyAlignment="1">
      <alignment horizontal="center"/>
    </xf>
    <xf numFmtId="0" fontId="31" fillId="4" borderId="17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center"/>
    </xf>
    <xf numFmtId="0" fontId="34" fillId="0" borderId="3" xfId="0" applyFont="1" applyFill="1" applyBorder="1" applyAlignment="1">
      <alignment horizontal="center"/>
    </xf>
    <xf numFmtId="0" fontId="34" fillId="0" borderId="47" xfId="0" applyFont="1" applyFill="1" applyBorder="1" applyAlignment="1">
      <alignment horizontal="center"/>
    </xf>
    <xf numFmtId="0" fontId="32" fillId="8" borderId="5" xfId="0" applyFont="1" applyFill="1" applyBorder="1" applyAlignment="1">
      <alignment horizontal="center"/>
    </xf>
    <xf numFmtId="0" fontId="32" fillId="8" borderId="6" xfId="0" applyFont="1" applyFill="1" applyBorder="1" applyAlignment="1">
      <alignment horizontal="center"/>
    </xf>
    <xf numFmtId="0" fontId="31" fillId="0" borderId="19" xfId="0" applyFont="1" applyFill="1" applyBorder="1" applyAlignment="1">
      <alignment horizontal="center"/>
    </xf>
    <xf numFmtId="0" fontId="31" fillId="0" borderId="21" xfId="0" applyFont="1" applyFill="1" applyBorder="1" applyAlignment="1">
      <alignment horizontal="center"/>
    </xf>
    <xf numFmtId="0" fontId="33" fillId="4" borderId="2" xfId="0" applyFont="1" applyFill="1" applyBorder="1" applyAlignment="1">
      <alignment horizontal="center"/>
    </xf>
    <xf numFmtId="0" fontId="33" fillId="4" borderId="47" xfId="0" applyFont="1" applyFill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4" fontId="6" fillId="0" borderId="46" xfId="0" applyNumberFormat="1" applyFont="1" applyBorder="1" applyAlignment="1">
      <alignment horizontal="center"/>
    </xf>
    <xf numFmtId="4" fontId="6" fillId="0" borderId="47" xfId="0" applyNumberFormat="1" applyFont="1" applyBorder="1" applyAlignment="1">
      <alignment horizontal="center"/>
    </xf>
    <xf numFmtId="11" fontId="6" fillId="0" borderId="46" xfId="0" applyNumberFormat="1" applyFont="1" applyBorder="1" applyAlignment="1">
      <alignment horizontal="center"/>
    </xf>
    <xf numFmtId="11" fontId="6" fillId="0" borderId="47" xfId="0" applyNumberFormat="1" applyFont="1" applyBorder="1" applyAlignment="1">
      <alignment horizontal="center"/>
    </xf>
    <xf numFmtId="4" fontId="6" fillId="0" borderId="42" xfId="0" applyNumberFormat="1" applyFont="1" applyBorder="1" applyAlignment="1">
      <alignment horizontal="center"/>
    </xf>
    <xf numFmtId="4" fontId="6" fillId="0" borderId="43" xfId="0" applyNumberFormat="1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1" fillId="2" borderId="36" xfId="0" applyFont="1" applyFill="1" applyBorder="1" applyAlignment="1">
      <alignment horizontal="left"/>
    </xf>
    <xf numFmtId="0" fontId="21" fillId="2" borderId="22" xfId="0" applyFont="1" applyFill="1" applyBorder="1" applyAlignment="1">
      <alignment horizontal="left"/>
    </xf>
    <xf numFmtId="0" fontId="21" fillId="2" borderId="35" xfId="0" applyFont="1" applyFill="1" applyBorder="1" applyAlignment="1">
      <alignment horizontal="left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44" fillId="0" borderId="5" xfId="0" applyFont="1" applyFill="1" applyBorder="1" applyAlignment="1">
      <alignment horizontal="center"/>
    </xf>
    <xf numFmtId="0" fontId="44" fillId="0" borderId="6" xfId="0" applyFont="1" applyFill="1" applyBorder="1" applyAlignment="1">
      <alignment horizontal="center"/>
    </xf>
    <xf numFmtId="0" fontId="4" fillId="4" borderId="32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61" xfId="0" applyFont="1" applyFill="1" applyBorder="1" applyAlignment="1">
      <alignment horizontal="center" vertical="center"/>
    </xf>
    <xf numFmtId="0" fontId="4" fillId="4" borderId="62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175" fontId="4" fillId="0" borderId="2" xfId="0" applyNumberFormat="1" applyFont="1" applyBorder="1" applyAlignment="1">
      <alignment horizontal="center"/>
    </xf>
    <xf numFmtId="175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61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right" vertical="center"/>
    </xf>
    <xf numFmtId="164" fontId="7" fillId="4" borderId="3" xfId="0" applyNumberFormat="1" applyFont="1" applyFill="1" applyBorder="1" applyAlignment="1">
      <alignment horizontal="right" vertical="center"/>
    </xf>
    <xf numFmtId="175" fontId="7" fillId="4" borderId="3" xfId="0" applyNumberFormat="1" applyFont="1" applyFill="1" applyBorder="1" applyAlignment="1">
      <alignment horizontal="right" vertic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8" fillId="0" borderId="31" xfId="0" applyFont="1" applyFill="1" applyBorder="1" applyAlignment="1">
      <alignment horizontal="center"/>
    </xf>
    <xf numFmtId="0" fontId="18" fillId="0" borderId="32" xfId="0" applyFont="1" applyFill="1" applyBorder="1" applyAlignment="1">
      <alignment horizontal="center"/>
    </xf>
    <xf numFmtId="0" fontId="18" fillId="0" borderId="61" xfId="0" applyFont="1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62" xfId="0" applyFill="1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5" borderId="33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62" xfId="0" applyFill="1" applyBorder="1" applyAlignment="1">
      <alignment horizontal="center"/>
    </xf>
    <xf numFmtId="0" fontId="18" fillId="5" borderId="31" xfId="0" applyFont="1" applyFill="1" applyBorder="1" applyAlignment="1">
      <alignment horizontal="center"/>
    </xf>
    <xf numFmtId="0" fontId="18" fillId="5" borderId="32" xfId="0" applyFont="1" applyFill="1" applyBorder="1" applyAlignment="1">
      <alignment horizontal="center"/>
    </xf>
    <xf numFmtId="0" fontId="18" fillId="5" borderId="61" xfId="0" applyFont="1" applyFill="1" applyBorder="1" applyAlignment="1">
      <alignment horizontal="center"/>
    </xf>
    <xf numFmtId="0" fontId="18" fillId="11" borderId="5" xfId="0" applyFont="1" applyFill="1" applyBorder="1" applyAlignment="1">
      <alignment horizontal="center"/>
    </xf>
    <xf numFmtId="0" fontId="18" fillId="11" borderId="6" xfId="0" applyFont="1" applyFill="1" applyBorder="1" applyAlignment="1">
      <alignment horizontal="center"/>
    </xf>
    <xf numFmtId="0" fontId="18" fillId="11" borderId="2" xfId="0" applyFont="1" applyFill="1" applyBorder="1" applyAlignment="1">
      <alignment horizontal="center"/>
    </xf>
    <xf numFmtId="0" fontId="18" fillId="11" borderId="3" xfId="0" applyFont="1" applyFill="1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52" xfId="0" applyBorder="1" applyAlignment="1">
      <alignment horizontal="center"/>
    </xf>
  </cellXfs>
  <cellStyles count="6">
    <cellStyle name="Milliers" xfId="1" builtinId="3"/>
    <cellStyle name="Milliers 2" xfId="2"/>
    <cellStyle name="Normal" xfId="0" builtinId="0"/>
    <cellStyle name="Normal 2" xfId="3"/>
    <cellStyle name="Pourcentage" xfId="5" builtinId="5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72"/>
  <sheetViews>
    <sheetView zoomScale="70" zoomScaleNormal="70" workbookViewId="0">
      <pane ySplit="2" topLeftCell="A3" activePane="bottomLeft" state="frozen"/>
      <selection activeCell="A2" sqref="A2:F20"/>
      <selection pane="bottomLeft" activeCell="I14" sqref="I14"/>
    </sheetView>
  </sheetViews>
  <sheetFormatPr baseColWidth="10" defaultRowHeight="15"/>
  <cols>
    <col min="1" max="1" width="26.85546875" style="34" customWidth="1"/>
    <col min="2" max="12" width="14.7109375" style="91" customWidth="1"/>
    <col min="13" max="18" width="14.7109375" style="34" customWidth="1"/>
    <col min="19" max="20" width="11.42578125" style="34"/>
    <col min="21" max="21" width="11.7109375" style="34" bestFit="1" customWidth="1"/>
    <col min="22" max="22" width="21.85546875" style="34" customWidth="1"/>
    <col min="23" max="16384" width="11.42578125" style="34"/>
  </cols>
  <sheetData>
    <row r="1" spans="1:22" s="33" customFormat="1" thickBot="1">
      <c r="B1" s="1007" t="s">
        <v>106</v>
      </c>
      <c r="C1" s="1008"/>
      <c r="D1" s="1007" t="s">
        <v>45</v>
      </c>
      <c r="E1" s="1009"/>
      <c r="F1" s="1009"/>
      <c r="G1" s="1009"/>
      <c r="H1" s="1010"/>
      <c r="I1" s="1009" t="s">
        <v>46</v>
      </c>
      <c r="J1" s="1009"/>
      <c r="K1" s="1009"/>
      <c r="L1" s="1011"/>
      <c r="M1" s="146" t="s">
        <v>123</v>
      </c>
      <c r="N1" s="146" t="s">
        <v>126</v>
      </c>
      <c r="O1" s="146" t="s">
        <v>129</v>
      </c>
      <c r="P1" s="1012" t="s">
        <v>496</v>
      </c>
      <c r="Q1" s="1013"/>
      <c r="R1" s="146" t="s">
        <v>581</v>
      </c>
      <c r="S1" s="146" t="s">
        <v>582</v>
      </c>
    </row>
    <row r="2" spans="1:22" ht="15.75" thickBot="1">
      <c r="B2" s="282" t="s">
        <v>104</v>
      </c>
      <c r="C2" s="284" t="s">
        <v>103</v>
      </c>
      <c r="D2" s="282" t="s">
        <v>124</v>
      </c>
      <c r="E2" s="283" t="s">
        <v>104</v>
      </c>
      <c r="F2" s="283" t="s">
        <v>103</v>
      </c>
      <c r="G2" s="283" t="s">
        <v>347</v>
      </c>
      <c r="H2" s="284" t="s">
        <v>418</v>
      </c>
      <c r="I2" s="282" t="s">
        <v>103</v>
      </c>
      <c r="J2" s="283" t="s">
        <v>102</v>
      </c>
      <c r="K2" s="283" t="s">
        <v>347</v>
      </c>
      <c r="L2" s="284" t="s">
        <v>418</v>
      </c>
      <c r="M2" s="696" t="s">
        <v>103</v>
      </c>
      <c r="N2" s="696" t="s">
        <v>127</v>
      </c>
      <c r="O2" s="696" t="s">
        <v>127</v>
      </c>
      <c r="P2" s="282" t="s">
        <v>127</v>
      </c>
      <c r="Q2" s="284" t="s">
        <v>347</v>
      </c>
      <c r="R2" s="696" t="s">
        <v>127</v>
      </c>
      <c r="S2" s="696" t="s">
        <v>127</v>
      </c>
    </row>
    <row r="3" spans="1:22" s="36" customFormat="1" ht="15.75" thickBot="1">
      <c r="A3" s="35" t="s">
        <v>1349</v>
      </c>
      <c r="B3" s="749">
        <v>4701.3230000000003</v>
      </c>
      <c r="C3" s="750">
        <v>-262050.739</v>
      </c>
      <c r="D3" s="749">
        <v>21975.234</v>
      </c>
      <c r="E3" s="755">
        <v>-18540.050999999999</v>
      </c>
      <c r="F3" s="755">
        <v>-3326600.91</v>
      </c>
      <c r="G3" s="755">
        <v>444352.27</v>
      </c>
      <c r="H3" s="750">
        <v>2124.54</v>
      </c>
      <c r="I3" s="749">
        <v>-851597.13</v>
      </c>
      <c r="J3" s="755">
        <v>9124.9390000000003</v>
      </c>
      <c r="K3" s="755">
        <v>19102.45</v>
      </c>
      <c r="L3" s="750">
        <v>253976.7</v>
      </c>
      <c r="M3" s="757">
        <v>55786.269</v>
      </c>
      <c r="N3" s="757">
        <v>754039.88500000001</v>
      </c>
      <c r="O3" s="757">
        <v>28847.456999999999</v>
      </c>
      <c r="P3" s="749">
        <v>-2358.6390000000001</v>
      </c>
      <c r="Q3" s="750">
        <v>26102.2</v>
      </c>
      <c r="R3" s="757">
        <v>3929.5940000000001</v>
      </c>
      <c r="S3" s="757">
        <v>38766.061999999998</v>
      </c>
    </row>
    <row r="4" spans="1:22" s="1" customFormat="1" ht="13.5" thickBot="1">
      <c r="A4" s="37" t="s">
        <v>49</v>
      </c>
      <c r="B4" s="748">
        <f>SUM(B5:B7)</f>
        <v>0</v>
      </c>
      <c r="C4" s="753">
        <f>SUM(C5:C7)</f>
        <v>264945.83799999999</v>
      </c>
      <c r="D4" s="748">
        <f t="shared" ref="D4:P4" si="0">SUM(D5:D7)</f>
        <v>0</v>
      </c>
      <c r="E4" s="754">
        <f>SUM(E5:E7)</f>
        <v>30000</v>
      </c>
      <c r="F4" s="754">
        <f>SUM(F5:F7)</f>
        <v>0</v>
      </c>
      <c r="G4" s="754">
        <f>SUM(G5:G7)</f>
        <v>0</v>
      </c>
      <c r="H4" s="753">
        <f>SUM(H5:H7)</f>
        <v>0</v>
      </c>
      <c r="I4" s="748">
        <f t="shared" si="0"/>
        <v>0</v>
      </c>
      <c r="J4" s="754">
        <f>SUM(J5:J7)</f>
        <v>0</v>
      </c>
      <c r="K4" s="754">
        <f t="shared" si="0"/>
        <v>0</v>
      </c>
      <c r="L4" s="753">
        <f t="shared" si="0"/>
        <v>0</v>
      </c>
      <c r="M4" s="756">
        <f t="shared" si="0"/>
        <v>0</v>
      </c>
      <c r="N4" s="756">
        <f t="shared" si="0"/>
        <v>0</v>
      </c>
      <c r="O4" s="756">
        <f t="shared" si="0"/>
        <v>0</v>
      </c>
      <c r="P4" s="765">
        <f t="shared" si="0"/>
        <v>0</v>
      </c>
      <c r="Q4" s="766">
        <f>SUM(R5:R7)</f>
        <v>0</v>
      </c>
      <c r="R4" s="756">
        <f>SUM(S5:S7)</f>
        <v>0</v>
      </c>
      <c r="S4" s="756">
        <f>SUM(T5:T7)</f>
        <v>0</v>
      </c>
    </row>
    <row r="5" spans="1:22">
      <c r="A5" s="27" t="s">
        <v>101</v>
      </c>
      <c r="B5" s="147"/>
      <c r="C5" s="148">
        <v>26782.545999999998</v>
      </c>
      <c r="D5" s="147"/>
      <c r="E5" s="149">
        <v>30000</v>
      </c>
      <c r="F5" s="149"/>
      <c r="G5" s="149"/>
      <c r="H5" s="451"/>
      <c r="I5" s="693"/>
      <c r="J5" s="149"/>
      <c r="K5" s="149"/>
      <c r="L5" s="694"/>
      <c r="M5" s="695"/>
      <c r="N5" s="694"/>
      <c r="O5" s="694"/>
      <c r="P5" s="746"/>
      <c r="Q5" s="747"/>
      <c r="R5" s="695"/>
      <c r="S5" s="694"/>
    </row>
    <row r="6" spans="1:22">
      <c r="A6" s="27" t="s">
        <v>99</v>
      </c>
      <c r="B6" s="106"/>
      <c r="C6" s="141">
        <f>46486.894+87331.436+104344.962</f>
        <v>238163.29200000002</v>
      </c>
      <c r="D6" s="106"/>
      <c r="E6" s="131"/>
      <c r="F6" s="131"/>
      <c r="G6" s="131"/>
      <c r="H6" s="452"/>
      <c r="I6" s="457"/>
      <c r="J6" s="131"/>
      <c r="K6" s="131"/>
      <c r="L6" s="104"/>
      <c r="M6" s="464"/>
      <c r="N6" s="104"/>
      <c r="O6" s="104"/>
      <c r="P6" s="457"/>
      <c r="Q6" s="104"/>
      <c r="R6" s="464"/>
      <c r="S6" s="104"/>
    </row>
    <row r="7" spans="1:22">
      <c r="A7" s="27" t="s">
        <v>50</v>
      </c>
      <c r="B7" s="106"/>
      <c r="C7" s="141"/>
      <c r="D7" s="106"/>
      <c r="E7" s="131"/>
      <c r="F7" s="131"/>
      <c r="G7" s="131"/>
      <c r="H7" s="452"/>
      <c r="I7" s="457"/>
      <c r="J7" s="131"/>
      <c r="K7" s="131"/>
      <c r="L7" s="104"/>
      <c r="M7" s="464"/>
      <c r="N7" s="104"/>
      <c r="O7" s="104"/>
      <c r="P7" s="457"/>
      <c r="Q7" s="104"/>
      <c r="R7" s="464"/>
      <c r="S7" s="104"/>
    </row>
    <row r="8" spans="1:22">
      <c r="A8" s="38" t="s">
        <v>51</v>
      </c>
      <c r="B8" s="108">
        <f>B9+B10+B11+B12+B13</f>
        <v>0</v>
      </c>
      <c r="C8" s="142">
        <f>C9+C10+C11+C12+C13</f>
        <v>1136314.378</v>
      </c>
      <c r="D8" s="108">
        <f>D9+D10+D12+D13+D20+D26</f>
        <v>0</v>
      </c>
      <c r="E8" s="132">
        <f>E9+E10+E11+E12+E13</f>
        <v>0</v>
      </c>
      <c r="F8" s="132">
        <f>+F9+F12+F14+F22+F24</f>
        <v>1600000</v>
      </c>
      <c r="G8" s="132">
        <f>G14+G15+G16+G17+G18+G20</f>
        <v>400000</v>
      </c>
      <c r="H8" s="453">
        <f>H14+H15+H16+H17+H18+H20</f>
        <v>0</v>
      </c>
      <c r="I8" s="108">
        <f>I9+I10+I12+I13+I20+I26+I23+I11</f>
        <v>527823.53499999992</v>
      </c>
      <c r="J8" s="132">
        <f>J9+J10+J12+J13+J20+J26+J23</f>
        <v>0</v>
      </c>
      <c r="K8" s="132">
        <f t="shared" ref="K8:S8" si="1">K9+K10+K12+K13+K20+K26</f>
        <v>105932.20338983051</v>
      </c>
      <c r="L8" s="107">
        <f t="shared" si="1"/>
        <v>0</v>
      </c>
      <c r="M8" s="465">
        <f t="shared" si="1"/>
        <v>5000</v>
      </c>
      <c r="N8" s="107">
        <f t="shared" si="1"/>
        <v>0</v>
      </c>
      <c r="O8" s="107">
        <f t="shared" si="1"/>
        <v>0</v>
      </c>
      <c r="P8" s="108">
        <f t="shared" si="1"/>
        <v>10000</v>
      </c>
      <c r="Q8" s="107">
        <f t="shared" si="1"/>
        <v>0</v>
      </c>
      <c r="R8" s="465">
        <f t="shared" si="1"/>
        <v>0</v>
      </c>
      <c r="S8" s="107">
        <f t="shared" si="1"/>
        <v>0</v>
      </c>
      <c r="V8" s="91"/>
    </row>
    <row r="9" spans="1:22">
      <c r="A9" s="27" t="s">
        <v>101</v>
      </c>
      <c r="B9" s="106"/>
      <c r="C9" s="141">
        <f>CHEQUE!D302</f>
        <v>568745.44000000006</v>
      </c>
      <c r="D9" s="106"/>
      <c r="E9" s="131">
        <f>B55</f>
        <v>0</v>
      </c>
      <c r="F9" s="131">
        <f>C55</f>
        <v>1100000</v>
      </c>
      <c r="G9" s="131"/>
      <c r="H9" s="452"/>
      <c r="I9" s="520"/>
      <c r="J9" s="162">
        <f>B53</f>
        <v>0</v>
      </c>
      <c r="K9" s="131"/>
      <c r="L9" s="104"/>
      <c r="M9" s="464">
        <f>E59+F59</f>
        <v>5000</v>
      </c>
      <c r="N9" s="104">
        <f>E57</f>
        <v>0</v>
      </c>
      <c r="O9" s="104"/>
      <c r="P9" s="457">
        <f>F58</f>
        <v>10000</v>
      </c>
      <c r="Q9" s="104"/>
      <c r="R9" s="464"/>
      <c r="S9" s="104"/>
      <c r="V9" s="611"/>
    </row>
    <row r="10" spans="1:22">
      <c r="A10" s="27" t="s">
        <v>100</v>
      </c>
      <c r="B10" s="106"/>
      <c r="C10" s="141">
        <v>70000</v>
      </c>
      <c r="D10" s="106"/>
      <c r="E10" s="131"/>
      <c r="F10" s="131"/>
      <c r="G10" s="131"/>
      <c r="H10" s="452"/>
      <c r="I10" s="457"/>
      <c r="J10" s="131"/>
      <c r="K10" s="131"/>
      <c r="L10" s="104"/>
      <c r="M10" s="464"/>
      <c r="N10" s="104"/>
      <c r="O10" s="104"/>
      <c r="P10" s="457"/>
      <c r="Q10" s="104"/>
      <c r="R10" s="464"/>
      <c r="S10" s="104"/>
      <c r="V10" s="611"/>
    </row>
    <row r="11" spans="1:22">
      <c r="A11" s="27" t="s">
        <v>762</v>
      </c>
      <c r="B11" s="106"/>
      <c r="C11" s="141">
        <v>250000</v>
      </c>
      <c r="D11" s="106"/>
      <c r="E11" s="162"/>
      <c r="F11" s="131"/>
      <c r="G11" s="131"/>
      <c r="H11" s="452"/>
      <c r="I11" s="457"/>
      <c r="J11" s="131"/>
      <c r="K11" s="131"/>
      <c r="L11" s="104"/>
      <c r="M11" s="464"/>
      <c r="N11" s="104"/>
      <c r="O11" s="104"/>
      <c r="P11" s="457"/>
      <c r="Q11" s="104"/>
      <c r="R11" s="464"/>
      <c r="S11" s="104"/>
    </row>
    <row r="12" spans="1:22">
      <c r="A12" s="27" t="s">
        <v>99</v>
      </c>
      <c r="B12" s="106"/>
      <c r="C12" s="141">
        <f>TRAITE!D74</f>
        <v>232568.93800000002</v>
      </c>
      <c r="D12" s="106"/>
      <c r="E12" s="131"/>
      <c r="F12" s="131">
        <v>500000</v>
      </c>
      <c r="G12" s="131"/>
      <c r="H12" s="452"/>
      <c r="I12" s="457"/>
      <c r="J12" s="475"/>
      <c r="K12" s="131"/>
      <c r="L12" s="104"/>
      <c r="M12" s="464"/>
      <c r="N12" s="104"/>
      <c r="O12" s="104"/>
      <c r="P12" s="457"/>
      <c r="Q12" s="104"/>
      <c r="R12" s="464"/>
      <c r="S12" s="104"/>
    </row>
    <row r="13" spans="1:22" s="33" customFormat="1" ht="14.25">
      <c r="A13" s="8" t="s">
        <v>50</v>
      </c>
      <c r="B13" s="105">
        <v>0</v>
      </c>
      <c r="C13" s="143">
        <v>15000</v>
      </c>
      <c r="D13" s="97">
        <f>SUM(D14:D18)</f>
        <v>0</v>
      </c>
      <c r="E13" s="133">
        <f>SUM(E14:E26)</f>
        <v>0</v>
      </c>
      <c r="F13" s="133">
        <v>0</v>
      </c>
      <c r="G13" s="133">
        <f>SUM(G14:G20)</f>
        <v>400000</v>
      </c>
      <c r="H13" s="454">
        <f>SUM(H14:H20)</f>
        <v>0</v>
      </c>
      <c r="I13" s="97">
        <f>SUM(I14:I26)</f>
        <v>527823.53499999992</v>
      </c>
      <c r="J13" s="133">
        <f>SUM(J14:J26)</f>
        <v>0</v>
      </c>
      <c r="K13" s="133">
        <f>SUM(K14:K26)</f>
        <v>105932.20338983051</v>
      </c>
      <c r="L13" s="96">
        <f t="shared" ref="L13:S13" si="2">SUM(L14:L18)</f>
        <v>0</v>
      </c>
      <c r="M13" s="96">
        <f t="shared" si="2"/>
        <v>0</v>
      </c>
      <c r="N13" s="96">
        <f t="shared" si="2"/>
        <v>0</v>
      </c>
      <c r="O13" s="96">
        <f t="shared" si="2"/>
        <v>0</v>
      </c>
      <c r="P13" s="97">
        <f t="shared" si="2"/>
        <v>0</v>
      </c>
      <c r="Q13" s="96"/>
      <c r="R13" s="466">
        <f t="shared" si="2"/>
        <v>0</v>
      </c>
      <c r="S13" s="96">
        <f t="shared" si="2"/>
        <v>0</v>
      </c>
    </row>
    <row r="14" spans="1:22">
      <c r="A14" s="39" t="s">
        <v>52</v>
      </c>
      <c r="B14" s="599"/>
      <c r="C14" s="600"/>
      <c r="D14" s="599"/>
      <c r="E14" s="162"/>
      <c r="F14" s="433">
        <f>+G56*2.975+H56*2.51</f>
        <v>0</v>
      </c>
      <c r="G14" s="601"/>
      <c r="H14" s="455"/>
      <c r="I14" s="795">
        <f>C53</f>
        <v>65000</v>
      </c>
      <c r="J14" s="162"/>
      <c r="K14" s="433">
        <f>+L56/1.18</f>
        <v>105932.20338983051</v>
      </c>
      <c r="L14" s="473"/>
      <c r="M14" s="602"/>
      <c r="N14" s="521"/>
      <c r="O14" s="521"/>
      <c r="P14" s="520"/>
      <c r="Q14" s="521"/>
      <c r="R14" s="602"/>
      <c r="S14" s="521"/>
    </row>
    <row r="15" spans="1:22" s="639" customFormat="1">
      <c r="A15" s="638" t="s">
        <v>53</v>
      </c>
      <c r="B15" s="599"/>
      <c r="C15" s="600"/>
      <c r="D15" s="599"/>
      <c r="E15" s="162"/>
      <c r="F15" s="162"/>
      <c r="G15" s="162"/>
      <c r="H15" s="640"/>
      <c r="I15" s="520"/>
      <c r="J15" s="162"/>
      <c r="K15" s="162"/>
      <c r="L15" s="521"/>
      <c r="M15" s="602"/>
      <c r="N15" s="521"/>
      <c r="O15" s="521"/>
      <c r="P15" s="520"/>
      <c r="Q15" s="521"/>
      <c r="R15" s="602"/>
      <c r="S15" s="521"/>
    </row>
    <row r="16" spans="1:22" s="639" customFormat="1">
      <c r="A16" s="638" t="s">
        <v>54</v>
      </c>
      <c r="B16" s="599"/>
      <c r="C16" s="600"/>
      <c r="D16" s="599"/>
      <c r="E16" s="162"/>
      <c r="F16" s="162"/>
      <c r="G16" s="162"/>
      <c r="H16" s="535"/>
      <c r="I16" s="520"/>
      <c r="J16" s="162"/>
      <c r="K16" s="162"/>
      <c r="L16" s="521"/>
      <c r="M16" s="602"/>
      <c r="N16" s="521"/>
      <c r="O16" s="521"/>
      <c r="P16" s="520"/>
      <c r="Q16" s="521"/>
      <c r="R16" s="602"/>
      <c r="S16" s="521"/>
    </row>
    <row r="17" spans="1:19" s="639" customFormat="1">
      <c r="A17" s="638" t="s">
        <v>55</v>
      </c>
      <c r="B17" s="599"/>
      <c r="C17" s="600"/>
      <c r="D17" s="599"/>
      <c r="E17" s="162"/>
      <c r="F17" s="162"/>
      <c r="G17" s="348">
        <v>100000</v>
      </c>
      <c r="H17" s="455"/>
      <c r="I17" s="520"/>
      <c r="J17" s="162"/>
      <c r="K17" s="162"/>
      <c r="L17" s="521"/>
      <c r="M17" s="602"/>
      <c r="N17" s="521"/>
      <c r="O17" s="521"/>
      <c r="P17" s="520"/>
      <c r="Q17" s="521"/>
      <c r="R17" s="602"/>
      <c r="S17" s="521"/>
    </row>
    <row r="18" spans="1:19">
      <c r="A18" s="39" t="s">
        <v>56</v>
      </c>
      <c r="B18" s="599"/>
      <c r="C18" s="600"/>
      <c r="D18" s="599"/>
      <c r="E18" s="162"/>
      <c r="F18" s="162"/>
      <c r="G18" s="162">
        <v>300000</v>
      </c>
      <c r="H18" s="455"/>
      <c r="I18" s="520"/>
      <c r="J18" s="162"/>
      <c r="K18" s="348"/>
      <c r="L18" s="521"/>
      <c r="M18" s="602"/>
      <c r="N18" s="521"/>
      <c r="O18" s="521"/>
      <c r="P18" s="520"/>
      <c r="Q18" s="521"/>
      <c r="R18" s="602"/>
      <c r="S18" s="521"/>
    </row>
    <row r="19" spans="1:19">
      <c r="A19" s="39" t="s">
        <v>999</v>
      </c>
      <c r="B19" s="599"/>
      <c r="C19" s="600"/>
      <c r="D19" s="599"/>
      <c r="E19" s="162"/>
      <c r="F19" s="162"/>
      <c r="G19" s="533"/>
      <c r="H19" s="455"/>
      <c r="I19" s="520"/>
      <c r="J19" s="162"/>
      <c r="K19" s="348"/>
      <c r="L19" s="521"/>
      <c r="M19" s="602"/>
      <c r="N19" s="521"/>
      <c r="O19" s="521"/>
      <c r="P19" s="520"/>
      <c r="Q19" s="521"/>
      <c r="R19" s="602"/>
      <c r="S19" s="521"/>
    </row>
    <row r="20" spans="1:19">
      <c r="A20" s="27" t="s">
        <v>345</v>
      </c>
      <c r="B20" s="599"/>
      <c r="C20" s="600"/>
      <c r="D20" s="599"/>
      <c r="E20" s="532"/>
      <c r="F20" s="162"/>
      <c r="G20" s="601"/>
      <c r="H20" s="535"/>
      <c r="I20" s="520"/>
      <c r="J20" s="162"/>
      <c r="K20" s="532"/>
      <c r="L20" s="521"/>
      <c r="M20" s="602"/>
      <c r="N20" s="521"/>
      <c r="O20" s="521"/>
      <c r="P20" s="520"/>
      <c r="Q20" s="521"/>
      <c r="R20" s="602"/>
      <c r="S20" s="521"/>
    </row>
    <row r="21" spans="1:19">
      <c r="A21" s="27" t="s">
        <v>90</v>
      </c>
      <c r="B21" s="599"/>
      <c r="C21" s="600"/>
      <c r="D21" s="599"/>
      <c r="E21" s="532"/>
      <c r="F21" s="162"/>
      <c r="G21" s="162"/>
      <c r="H21" s="455"/>
      <c r="I21" s="520"/>
      <c r="J21" s="162"/>
      <c r="K21" s="162"/>
      <c r="L21" s="521"/>
      <c r="M21" s="602"/>
      <c r="N21" s="521"/>
      <c r="O21" s="521"/>
      <c r="P21" s="520"/>
      <c r="Q21" s="521"/>
      <c r="R21" s="602"/>
      <c r="S21" s="521"/>
    </row>
    <row r="22" spans="1:19">
      <c r="A22" s="27" t="s">
        <v>344</v>
      </c>
      <c r="B22" s="106"/>
      <c r="C22" s="141"/>
      <c r="D22" s="106"/>
      <c r="E22" s="534"/>
      <c r="F22" s="433"/>
      <c r="G22" s="131"/>
      <c r="H22" s="452"/>
      <c r="I22" s="775">
        <f>296976.523+165847.012</f>
        <v>462823.53499999997</v>
      </c>
      <c r="J22" s="131"/>
      <c r="K22" s="131"/>
      <c r="L22" s="104"/>
      <c r="M22" s="464"/>
      <c r="N22" s="104"/>
      <c r="O22" s="104"/>
      <c r="P22" s="457"/>
      <c r="Q22" s="104"/>
      <c r="R22" s="464"/>
      <c r="S22" s="104"/>
    </row>
    <row r="23" spans="1:19">
      <c r="A23" s="27" t="s">
        <v>128</v>
      </c>
      <c r="B23" s="106"/>
      <c r="C23" s="141"/>
      <c r="D23" s="106"/>
      <c r="E23" s="534"/>
      <c r="F23" s="131"/>
      <c r="G23" s="131"/>
      <c r="H23" s="452"/>
      <c r="I23" s="457"/>
      <c r="J23" s="131"/>
      <c r="K23" s="131"/>
      <c r="L23" s="104"/>
      <c r="M23" s="464"/>
      <c r="N23" s="104"/>
      <c r="O23" s="104"/>
      <c r="P23" s="457"/>
      <c r="Q23" s="104"/>
      <c r="R23" s="464"/>
      <c r="S23" s="104"/>
    </row>
    <row r="24" spans="1:19">
      <c r="A24" s="27" t="s">
        <v>1072</v>
      </c>
      <c r="B24" s="106"/>
      <c r="C24" s="141"/>
      <c r="D24" s="106"/>
      <c r="E24" s="534"/>
      <c r="F24" s="796">
        <f>+N61</f>
        <v>0</v>
      </c>
      <c r="G24" s="131"/>
      <c r="H24" s="452"/>
      <c r="I24" s="457"/>
      <c r="J24" s="131"/>
      <c r="K24" s="131"/>
      <c r="L24" s="104"/>
      <c r="M24" s="464"/>
      <c r="N24" s="104"/>
      <c r="O24" s="104"/>
      <c r="P24" s="457"/>
      <c r="Q24" s="104"/>
      <c r="R24" s="464"/>
      <c r="S24" s="104"/>
    </row>
    <row r="25" spans="1:19">
      <c r="A25" s="27" t="s">
        <v>890</v>
      </c>
      <c r="B25" s="106"/>
      <c r="C25" s="141"/>
      <c r="D25" s="106"/>
      <c r="E25" s="534"/>
      <c r="F25" s="131"/>
      <c r="G25" s="131"/>
      <c r="H25" s="452"/>
      <c r="I25" s="457"/>
      <c r="J25" s="131"/>
      <c r="K25" s="131"/>
      <c r="L25" s="104"/>
      <c r="M25" s="464"/>
      <c r="N25" s="104"/>
      <c r="O25" s="104"/>
      <c r="P25" s="457"/>
      <c r="Q25" s="104"/>
      <c r="R25" s="464"/>
      <c r="S25" s="104"/>
    </row>
    <row r="26" spans="1:19">
      <c r="A26" s="27" t="s">
        <v>2</v>
      </c>
      <c r="B26" s="106"/>
      <c r="C26" s="141"/>
      <c r="D26" s="106"/>
      <c r="E26" s="532"/>
      <c r="F26" s="131"/>
      <c r="G26" s="131"/>
      <c r="H26" s="452"/>
      <c r="I26" s="457"/>
      <c r="J26" s="131"/>
      <c r="K26" s="131"/>
      <c r="L26" s="104"/>
      <c r="M26" s="464"/>
      <c r="N26" s="104"/>
      <c r="O26" s="104"/>
      <c r="P26" s="457"/>
      <c r="Q26" s="104"/>
      <c r="R26" s="464"/>
      <c r="S26" s="104"/>
    </row>
    <row r="27" spans="1:19">
      <c r="A27" s="103" t="s">
        <v>588</v>
      </c>
      <c r="B27" s="163"/>
      <c r="C27" s="164"/>
      <c r="D27" s="163"/>
      <c r="E27" s="165"/>
      <c r="F27" s="165">
        <v>500000</v>
      </c>
      <c r="G27" s="165"/>
      <c r="H27" s="456"/>
      <c r="I27" s="458"/>
      <c r="J27" s="165"/>
      <c r="K27" s="165"/>
      <c r="L27" s="166"/>
      <c r="M27" s="467"/>
      <c r="N27" s="166"/>
      <c r="O27" s="166"/>
      <c r="P27" s="458"/>
      <c r="Q27" s="166"/>
      <c r="R27" s="467"/>
      <c r="S27" s="166"/>
    </row>
    <row r="28" spans="1:19" ht="15.75" thickBot="1">
      <c r="A28" s="103" t="s">
        <v>90</v>
      </c>
      <c r="B28" s="740"/>
      <c r="C28" s="751"/>
      <c r="D28" s="740"/>
      <c r="E28" s="741"/>
      <c r="F28" s="741"/>
      <c r="G28" s="741"/>
      <c r="H28" s="742"/>
      <c r="I28" s="590"/>
      <c r="J28" s="591"/>
      <c r="K28" s="591"/>
      <c r="L28" s="592"/>
      <c r="M28" s="734"/>
      <c r="N28" s="735"/>
      <c r="O28" s="735"/>
      <c r="P28" s="590"/>
      <c r="Q28" s="592"/>
      <c r="R28" s="734"/>
      <c r="S28" s="735"/>
    </row>
    <row r="29" spans="1:19" ht="15.75" thickBot="1">
      <c r="A29" s="40" t="s">
        <v>57</v>
      </c>
      <c r="B29" s="732">
        <f>B30+B45+B63</f>
        <v>4647.076</v>
      </c>
      <c r="C29" s="733">
        <f>C30+C45+C63</f>
        <v>1335465.4879999999</v>
      </c>
      <c r="D29" s="732">
        <f t="shared" ref="D29:S29" si="3">D30+D45+D63</f>
        <v>10907.227999999999</v>
      </c>
      <c r="E29" s="737">
        <f>E30+E45+E63</f>
        <v>7900.0370000000003</v>
      </c>
      <c r="F29" s="737">
        <f>F30+F45+F63</f>
        <v>710044.14508888882</v>
      </c>
      <c r="G29" s="737" t="e">
        <f>G30+G45+G63</f>
        <v>#REF!</v>
      </c>
      <c r="H29" s="733">
        <f t="shared" ref="H29" si="4">H30+H45+H63</f>
        <v>0</v>
      </c>
      <c r="I29" s="739">
        <f t="shared" si="3"/>
        <v>173003.02900000001</v>
      </c>
      <c r="J29" s="593">
        <f t="shared" si="3"/>
        <v>4758.51</v>
      </c>
      <c r="K29" s="593">
        <f t="shared" si="3"/>
        <v>0</v>
      </c>
      <c r="L29" s="594">
        <f t="shared" si="3"/>
        <v>253578.69079999998</v>
      </c>
      <c r="M29" s="738">
        <f t="shared" si="3"/>
        <v>60000</v>
      </c>
      <c r="N29" s="738">
        <f t="shared" si="3"/>
        <v>2375</v>
      </c>
      <c r="O29" s="738">
        <f t="shared" si="3"/>
        <v>0</v>
      </c>
      <c r="P29" s="732">
        <f t="shared" si="3"/>
        <v>5000</v>
      </c>
      <c r="Q29" s="733">
        <f t="shared" si="3"/>
        <v>0</v>
      </c>
      <c r="R29" s="738">
        <f t="shared" si="3"/>
        <v>0</v>
      </c>
      <c r="S29" s="738">
        <f t="shared" si="3"/>
        <v>0</v>
      </c>
    </row>
    <row r="30" spans="1:19" s="33" customFormat="1" ht="14.25">
      <c r="A30" s="41" t="s">
        <v>58</v>
      </c>
      <c r="B30" s="743">
        <f>SUM(B31:B44)</f>
        <v>0</v>
      </c>
      <c r="C30" s="752"/>
      <c r="D30" s="743">
        <f t="shared" ref="D30:S30" si="5">SUM(D31:D44)</f>
        <v>0</v>
      </c>
      <c r="E30" s="744">
        <f t="shared" si="5"/>
        <v>0</v>
      </c>
      <c r="F30" s="744">
        <f t="shared" si="5"/>
        <v>0</v>
      </c>
      <c r="G30" s="744" t="e">
        <f t="shared" si="5"/>
        <v>#REF!</v>
      </c>
      <c r="H30" s="745">
        <f>SUM(H31:H44)</f>
        <v>0</v>
      </c>
      <c r="I30" s="595">
        <f t="shared" si="5"/>
        <v>0</v>
      </c>
      <c r="J30" s="596">
        <f t="shared" si="5"/>
        <v>0</v>
      </c>
      <c r="K30" s="596">
        <f t="shared" si="5"/>
        <v>0</v>
      </c>
      <c r="L30" s="597">
        <f t="shared" si="5"/>
        <v>0</v>
      </c>
      <c r="M30" s="736">
        <f t="shared" si="5"/>
        <v>0</v>
      </c>
      <c r="N30" s="731">
        <f t="shared" si="5"/>
        <v>0</v>
      </c>
      <c r="O30" s="731">
        <f t="shared" si="5"/>
        <v>0</v>
      </c>
      <c r="P30" s="595">
        <f t="shared" si="5"/>
        <v>0</v>
      </c>
      <c r="Q30" s="597"/>
      <c r="R30" s="736">
        <f t="shared" si="5"/>
        <v>0</v>
      </c>
      <c r="S30" s="731">
        <f t="shared" si="5"/>
        <v>0</v>
      </c>
    </row>
    <row r="31" spans="1:19" s="1" customFormat="1" ht="12.75">
      <c r="A31" s="42" t="s">
        <v>59</v>
      </c>
      <c r="B31" s="102"/>
      <c r="C31" s="144"/>
      <c r="D31" s="102"/>
      <c r="E31" s="135"/>
      <c r="F31" s="135"/>
      <c r="G31" s="135" t="e">
        <f>etranger!#REF!+etranger!#REF!</f>
        <v>#REF!</v>
      </c>
      <c r="H31" s="460"/>
      <c r="I31" s="474"/>
      <c r="J31" s="135"/>
      <c r="K31" s="135">
        <f>+etranger!C11</f>
        <v>0</v>
      </c>
      <c r="L31" s="101"/>
      <c r="M31" s="468"/>
      <c r="N31" s="101"/>
      <c r="O31" s="101"/>
      <c r="P31" s="474"/>
      <c r="Q31" s="101"/>
      <c r="R31" s="468"/>
      <c r="S31" s="101"/>
    </row>
    <row r="32" spans="1:19" s="1" customFormat="1" ht="12.75">
      <c r="A32" s="42" t="s">
        <v>60</v>
      </c>
      <c r="B32" s="102"/>
      <c r="C32" s="144"/>
      <c r="D32" s="102"/>
      <c r="E32" s="135"/>
      <c r="F32" s="135"/>
      <c r="G32" s="135"/>
      <c r="H32" s="460"/>
      <c r="I32" s="474"/>
      <c r="J32" s="135"/>
      <c r="K32" s="135"/>
      <c r="L32" s="101"/>
      <c r="M32" s="468"/>
      <c r="N32" s="101"/>
      <c r="O32" s="101"/>
      <c r="P32" s="474"/>
      <c r="Q32" s="101"/>
      <c r="R32" s="468"/>
      <c r="S32" s="101"/>
    </row>
    <row r="33" spans="1:19" s="1" customFormat="1" ht="12.75">
      <c r="A33" s="42" t="s">
        <v>294</v>
      </c>
      <c r="B33" s="102"/>
      <c r="C33" s="144"/>
      <c r="D33" s="102"/>
      <c r="E33" s="135"/>
      <c r="F33" s="135"/>
      <c r="G33" s="135"/>
      <c r="H33" s="460"/>
      <c r="I33" s="474"/>
      <c r="J33" s="135"/>
      <c r="K33" s="135"/>
      <c r="L33" s="101"/>
      <c r="M33" s="468"/>
      <c r="N33" s="101"/>
      <c r="O33" s="101"/>
      <c r="P33" s="474"/>
      <c r="Q33" s="101"/>
      <c r="R33" s="468"/>
      <c r="S33" s="101"/>
    </row>
    <row r="34" spans="1:19" s="1" customFormat="1" ht="12.75">
      <c r="A34" s="42" t="s">
        <v>61</v>
      </c>
      <c r="B34" s="102"/>
      <c r="C34" s="144"/>
      <c r="D34" s="102"/>
      <c r="E34" s="135"/>
      <c r="F34" s="135"/>
      <c r="G34" s="135"/>
      <c r="H34" s="460"/>
      <c r="I34" s="474"/>
      <c r="J34" s="135"/>
      <c r="K34" s="135"/>
      <c r="L34" s="101"/>
      <c r="M34" s="468"/>
      <c r="N34" s="101"/>
      <c r="O34" s="101"/>
      <c r="P34" s="474"/>
      <c r="Q34" s="101"/>
      <c r="R34" s="468"/>
      <c r="S34" s="101"/>
    </row>
    <row r="35" spans="1:19" s="1" customFormat="1" ht="12.75">
      <c r="A35" s="42" t="s">
        <v>330</v>
      </c>
      <c r="B35" s="102"/>
      <c r="C35" s="144"/>
      <c r="D35" s="102"/>
      <c r="E35" s="135"/>
      <c r="F35" s="135"/>
      <c r="G35" s="135"/>
      <c r="H35" s="460"/>
      <c r="I35" s="474"/>
      <c r="J35" s="135"/>
      <c r="K35" s="135"/>
      <c r="L35" s="101"/>
      <c r="M35" s="468"/>
      <c r="N35" s="101"/>
      <c r="O35" s="101"/>
      <c r="P35" s="474"/>
      <c r="Q35" s="101"/>
      <c r="R35" s="468"/>
      <c r="S35" s="101"/>
    </row>
    <row r="36" spans="1:19" s="1" customFormat="1" ht="12.75">
      <c r="A36" s="42" t="s">
        <v>392</v>
      </c>
      <c r="B36" s="102"/>
      <c r="C36" s="144"/>
      <c r="D36" s="102"/>
      <c r="E36" s="135"/>
      <c r="F36" s="135"/>
      <c r="G36" s="135"/>
      <c r="H36" s="461"/>
      <c r="I36" s="474"/>
      <c r="J36" s="135"/>
      <c r="K36" s="135"/>
      <c r="L36" s="101"/>
      <c r="M36" s="468"/>
      <c r="N36" s="101"/>
      <c r="O36" s="101"/>
      <c r="P36" s="474"/>
      <c r="Q36" s="101"/>
      <c r="R36" s="468"/>
      <c r="S36" s="101"/>
    </row>
    <row r="37" spans="1:19" s="1" customFormat="1" ht="12.75">
      <c r="A37" s="42" t="s">
        <v>62</v>
      </c>
      <c r="B37" s="102"/>
      <c r="C37" s="144"/>
      <c r="D37" s="102"/>
      <c r="E37" s="135"/>
      <c r="F37" s="135"/>
      <c r="G37" s="135"/>
      <c r="H37" s="460"/>
      <c r="I37" s="474"/>
      <c r="J37" s="135"/>
      <c r="K37" s="135"/>
      <c r="L37" s="101"/>
      <c r="M37" s="468"/>
      <c r="N37" s="101"/>
      <c r="O37" s="101"/>
      <c r="P37" s="474"/>
      <c r="Q37" s="101"/>
      <c r="R37" s="468"/>
      <c r="S37" s="101"/>
    </row>
    <row r="38" spans="1:19" s="1" customFormat="1" ht="12.75">
      <c r="A38" s="42" t="s">
        <v>63</v>
      </c>
      <c r="B38" s="102"/>
      <c r="C38" s="144"/>
      <c r="D38" s="102"/>
      <c r="E38" s="135"/>
      <c r="F38" s="135"/>
      <c r="G38" s="135" t="e">
        <f>etranger!#REF!+etranger!#REF!+etranger!#REF!+etranger!#REF!+etranger!#REF!+etranger!C22+etranger!C23+etranger!C24+etranger!C25</f>
        <v>#REF!</v>
      </c>
      <c r="H38" s="460"/>
      <c r="I38" s="474"/>
      <c r="J38" s="135"/>
      <c r="K38" s="135">
        <f>etranger!C8</f>
        <v>0</v>
      </c>
      <c r="L38" s="101"/>
      <c r="M38" s="468"/>
      <c r="N38" s="101"/>
      <c r="O38" s="101"/>
      <c r="P38" s="474"/>
      <c r="Q38" s="101"/>
      <c r="R38" s="468"/>
      <c r="S38" s="101"/>
    </row>
    <row r="39" spans="1:19" s="1" customFormat="1" ht="12.75">
      <c r="A39" s="42" t="s">
        <v>64</v>
      </c>
      <c r="B39" s="102"/>
      <c r="C39" s="144"/>
      <c r="D39" s="102"/>
      <c r="E39" s="135"/>
      <c r="F39" s="135"/>
      <c r="G39" s="135"/>
      <c r="H39" s="460"/>
      <c r="I39" s="474"/>
      <c r="J39" s="135"/>
      <c r="K39" s="135"/>
      <c r="L39" s="101"/>
      <c r="M39" s="468"/>
      <c r="N39" s="101"/>
      <c r="O39" s="101"/>
      <c r="P39" s="474"/>
      <c r="Q39" s="101"/>
      <c r="R39" s="468"/>
      <c r="S39" s="101"/>
    </row>
    <row r="40" spans="1:19" s="1" customFormat="1" ht="12.75">
      <c r="A40" s="42" t="s">
        <v>589</v>
      </c>
      <c r="B40" s="102"/>
      <c r="C40" s="144"/>
      <c r="D40" s="102"/>
      <c r="E40" s="135"/>
      <c r="F40" s="135"/>
      <c r="G40" s="135">
        <f>+etranger!C68/1.18</f>
        <v>0</v>
      </c>
      <c r="H40" s="460"/>
      <c r="I40" s="474"/>
      <c r="J40" s="135"/>
      <c r="K40" s="135"/>
      <c r="L40" s="101"/>
      <c r="M40" s="468"/>
      <c r="N40" s="101"/>
      <c r="O40" s="101"/>
      <c r="P40" s="474"/>
      <c r="Q40" s="101"/>
      <c r="R40" s="468"/>
      <c r="S40" s="101"/>
    </row>
    <row r="41" spans="1:19" s="1" customFormat="1" ht="12.75">
      <c r="A41" s="42" t="s">
        <v>65</v>
      </c>
      <c r="B41" s="102"/>
      <c r="C41" s="144"/>
      <c r="D41" s="102"/>
      <c r="E41" s="135"/>
      <c r="F41" s="135"/>
      <c r="G41" s="135">
        <f>etranger!C58</f>
        <v>287</v>
      </c>
      <c r="H41" s="460"/>
      <c r="I41" s="474"/>
      <c r="J41" s="135"/>
      <c r="K41" s="135"/>
      <c r="L41" s="101"/>
      <c r="M41" s="468"/>
      <c r="N41" s="101"/>
      <c r="O41" s="101"/>
      <c r="P41" s="474"/>
      <c r="Q41" s="101"/>
      <c r="R41" s="468"/>
      <c r="S41" s="101"/>
    </row>
    <row r="42" spans="1:19" s="1" customFormat="1" ht="12.75">
      <c r="A42" s="42" t="s">
        <v>66</v>
      </c>
      <c r="B42" s="102"/>
      <c r="C42" s="144"/>
      <c r="D42" s="102"/>
      <c r="E42" s="135"/>
      <c r="F42" s="135"/>
      <c r="G42" s="616"/>
      <c r="H42" s="460"/>
      <c r="I42" s="474"/>
      <c r="J42" s="135"/>
      <c r="K42" s="135"/>
      <c r="L42" s="101"/>
      <c r="M42" s="468"/>
      <c r="N42" s="101"/>
      <c r="O42" s="101"/>
      <c r="P42" s="474"/>
      <c r="Q42" s="101"/>
      <c r="R42" s="468"/>
      <c r="S42" s="101"/>
    </row>
    <row r="43" spans="1:19" s="1" customFormat="1" ht="12.75">
      <c r="A43" s="42" t="s">
        <v>835</v>
      </c>
      <c r="B43" s="102"/>
      <c r="C43" s="144"/>
      <c r="D43" s="102"/>
      <c r="E43" s="135"/>
      <c r="F43" s="135"/>
      <c r="G43" s="135"/>
      <c r="H43" s="460"/>
      <c r="I43" s="474"/>
      <c r="J43" s="135"/>
      <c r="K43" s="135"/>
      <c r="L43" s="101"/>
      <c r="M43" s="468"/>
      <c r="N43" s="101"/>
      <c r="O43" s="101"/>
      <c r="P43" s="474"/>
      <c r="Q43" s="101"/>
      <c r="R43" s="468"/>
      <c r="S43" s="101"/>
    </row>
    <row r="44" spans="1:19" s="1" customFormat="1" ht="12.75">
      <c r="A44" s="42" t="s">
        <v>497</v>
      </c>
      <c r="B44" s="102"/>
      <c r="C44" s="144"/>
      <c r="D44" s="102"/>
      <c r="E44" s="135"/>
      <c r="F44" s="135"/>
      <c r="G44" s="135"/>
      <c r="H44" s="460"/>
      <c r="I44" s="474"/>
      <c r="J44" s="135"/>
      <c r="K44" s="298"/>
      <c r="L44" s="101"/>
      <c r="M44" s="468"/>
      <c r="N44" s="101"/>
      <c r="O44" s="101"/>
      <c r="P44" s="474"/>
      <c r="Q44" s="101"/>
      <c r="R44" s="468"/>
      <c r="S44" s="101"/>
    </row>
    <row r="45" spans="1:19" s="33" customFormat="1" ht="14.25">
      <c r="A45" s="100" t="s">
        <v>98</v>
      </c>
      <c r="B45" s="99">
        <f>SUM(B46:B61)</f>
        <v>4647.076</v>
      </c>
      <c r="C45" s="134">
        <f>SUM(C46:C61)</f>
        <v>1335465.4879999999</v>
      </c>
      <c r="D45" s="99">
        <f>SUM(D46:D60)</f>
        <v>0</v>
      </c>
      <c r="E45" s="134">
        <f>SUM(E46:E62)</f>
        <v>7900.0370000000003</v>
      </c>
      <c r="F45" s="134">
        <f>SUM(F46:F60)</f>
        <v>582662.66019999993</v>
      </c>
      <c r="G45" s="134">
        <f t="shared" ref="G45:L45" si="6">SUM(G46:G60)</f>
        <v>0</v>
      </c>
      <c r="H45" s="459">
        <f t="shared" si="6"/>
        <v>0</v>
      </c>
      <c r="I45" s="99">
        <f t="shared" si="6"/>
        <v>123298.84600000001</v>
      </c>
      <c r="J45" s="134">
        <f>SUM(J46:J61)</f>
        <v>4758.51</v>
      </c>
      <c r="K45" s="134">
        <f t="shared" si="6"/>
        <v>0</v>
      </c>
      <c r="L45" s="98">
        <f t="shared" si="6"/>
        <v>125000</v>
      </c>
      <c r="M45" s="347">
        <f>SUM(M46:M60)</f>
        <v>60000</v>
      </c>
      <c r="N45" s="98">
        <f t="shared" ref="N45:S45" si="7">SUM(N46:N62)</f>
        <v>2375</v>
      </c>
      <c r="O45" s="98">
        <f t="shared" si="7"/>
        <v>0</v>
      </c>
      <c r="P45" s="99">
        <f t="shared" si="7"/>
        <v>5000</v>
      </c>
      <c r="Q45" s="98">
        <f t="shared" si="7"/>
        <v>0</v>
      </c>
      <c r="R45" s="347">
        <f t="shared" si="7"/>
        <v>0</v>
      </c>
      <c r="S45" s="98">
        <f t="shared" si="7"/>
        <v>0</v>
      </c>
    </row>
    <row r="46" spans="1:19">
      <c r="A46" s="42" t="s">
        <v>97</v>
      </c>
      <c r="B46" s="523"/>
      <c r="C46" s="603">
        <f>30000</f>
        <v>30000</v>
      </c>
      <c r="D46" s="523"/>
      <c r="E46" s="161"/>
      <c r="F46" s="161">
        <f>100000</f>
        <v>100000</v>
      </c>
      <c r="G46" s="161"/>
      <c r="H46" s="522"/>
      <c r="I46" s="523">
        <f>25000</f>
        <v>25000</v>
      </c>
      <c r="J46" s="161"/>
      <c r="K46" s="161"/>
      <c r="L46" s="168"/>
      <c r="M46" s="469">
        <f>2000</f>
        <v>2000</v>
      </c>
      <c r="N46" s="168">
        <f>475</f>
        <v>475</v>
      </c>
      <c r="O46" s="168"/>
      <c r="P46" s="95">
        <f>1000</f>
        <v>1000</v>
      </c>
      <c r="Q46" s="94"/>
      <c r="R46" s="470"/>
      <c r="S46" s="94"/>
    </row>
    <row r="47" spans="1:19">
      <c r="A47" s="42" t="s">
        <v>96</v>
      </c>
      <c r="B47" s="523"/>
      <c r="C47" s="603">
        <v>30000</v>
      </c>
      <c r="D47" s="523"/>
      <c r="E47" s="161"/>
      <c r="F47" s="161">
        <v>95000</v>
      </c>
      <c r="G47" s="161"/>
      <c r="H47" s="522"/>
      <c r="I47" s="523">
        <v>47000</v>
      </c>
      <c r="J47" s="161"/>
      <c r="K47" s="161"/>
      <c r="L47" s="168"/>
      <c r="M47" s="469">
        <v>8000</v>
      </c>
      <c r="N47" s="168">
        <v>1900</v>
      </c>
      <c r="O47" s="168"/>
      <c r="P47" s="95">
        <v>4000</v>
      </c>
      <c r="Q47" s="94"/>
      <c r="R47" s="470"/>
      <c r="S47" s="94"/>
    </row>
    <row r="48" spans="1:19">
      <c r="A48" s="42" t="s">
        <v>290</v>
      </c>
      <c r="B48" s="523"/>
      <c r="C48" s="603"/>
      <c r="D48" s="523"/>
      <c r="E48" s="161"/>
      <c r="F48" s="161"/>
      <c r="G48" s="161"/>
      <c r="H48" s="522"/>
      <c r="I48" s="523"/>
      <c r="J48" s="161"/>
      <c r="K48" s="161"/>
      <c r="L48" s="168"/>
      <c r="M48" s="469"/>
      <c r="N48" s="168"/>
      <c r="O48" s="168"/>
      <c r="P48" s="95"/>
      <c r="Q48" s="94"/>
      <c r="R48" s="470"/>
      <c r="S48" s="94"/>
    </row>
    <row r="49" spans="1:19">
      <c r="A49" s="42" t="s">
        <v>95</v>
      </c>
      <c r="B49" s="523"/>
      <c r="C49" s="603"/>
      <c r="D49" s="523"/>
      <c r="E49" s="161"/>
      <c r="F49" s="161">
        <v>110000</v>
      </c>
      <c r="G49" s="161"/>
      <c r="H49" s="522"/>
      <c r="I49" s="523">
        <v>30000</v>
      </c>
      <c r="J49" s="161"/>
      <c r="K49" s="161"/>
      <c r="L49" s="168"/>
      <c r="M49" s="469"/>
      <c r="N49" s="168"/>
      <c r="O49" s="168"/>
      <c r="P49" s="95"/>
      <c r="Q49" s="94"/>
      <c r="R49" s="470"/>
      <c r="S49" s="94"/>
    </row>
    <row r="50" spans="1:19">
      <c r="A50" s="42" t="s">
        <v>94</v>
      </c>
      <c r="B50" s="523">
        <v>4647.076</v>
      </c>
      <c r="C50" s="603">
        <v>5465.4880000000003</v>
      </c>
      <c r="D50" s="523"/>
      <c r="E50" s="161">
        <v>2900.0369999999998</v>
      </c>
      <c r="F50" s="161">
        <v>4830.9930000000004</v>
      </c>
      <c r="G50" s="161"/>
      <c r="H50" s="522"/>
      <c r="I50" s="523">
        <v>1298.846</v>
      </c>
      <c r="J50" s="161">
        <v>4758.51</v>
      </c>
      <c r="K50" s="161"/>
      <c r="L50" s="168"/>
      <c r="M50" s="469"/>
      <c r="N50" s="168"/>
      <c r="O50" s="168"/>
      <c r="P50" s="95"/>
      <c r="Q50" s="94"/>
      <c r="R50" s="470"/>
      <c r="S50" s="94"/>
    </row>
    <row r="51" spans="1:19">
      <c r="A51" s="42" t="s">
        <v>587</v>
      </c>
      <c r="B51" s="523"/>
      <c r="C51" s="603"/>
      <c r="D51" s="523"/>
      <c r="E51" s="604"/>
      <c r="F51" s="161">
        <f>SOTRAM!J23+SOTRAM!J24+HAZEM!I14+'KAIS TAYACHI'!M84</f>
        <v>162831.66719999994</v>
      </c>
      <c r="G51" s="161"/>
      <c r="H51" s="522"/>
      <c r="I51" s="523"/>
      <c r="J51" s="161"/>
      <c r="K51" s="161"/>
      <c r="L51" s="168"/>
      <c r="M51" s="469"/>
      <c r="N51" s="168"/>
      <c r="O51" s="168"/>
      <c r="P51" s="95"/>
      <c r="Q51" s="94"/>
      <c r="R51" s="470"/>
      <c r="S51" s="94"/>
    </row>
    <row r="52" spans="1:19">
      <c r="A52" s="42" t="s">
        <v>93</v>
      </c>
      <c r="B52" s="523"/>
      <c r="C52" s="603">
        <v>25000</v>
      </c>
      <c r="D52" s="523"/>
      <c r="E52" s="161"/>
      <c r="F52" s="161"/>
      <c r="G52" s="161"/>
      <c r="H52" s="522"/>
      <c r="I52" s="523"/>
      <c r="J52" s="161"/>
      <c r="K52" s="161"/>
      <c r="L52" s="168"/>
      <c r="M52" s="469"/>
      <c r="N52" s="168"/>
      <c r="O52" s="168"/>
      <c r="P52" s="95"/>
      <c r="Q52" s="94"/>
      <c r="R52" s="470"/>
      <c r="S52" s="94"/>
    </row>
    <row r="53" spans="1:19" s="33" customFormat="1">
      <c r="A53" s="42" t="s">
        <v>46</v>
      </c>
      <c r="B53" s="523"/>
      <c r="C53" s="603">
        <v>65000</v>
      </c>
      <c r="D53" s="523"/>
      <c r="E53" s="297"/>
      <c r="F53" s="161"/>
      <c r="G53" s="161"/>
      <c r="H53" s="522"/>
      <c r="I53" s="523"/>
      <c r="J53" s="161"/>
      <c r="K53" s="161"/>
      <c r="L53" s="168"/>
      <c r="M53" s="469"/>
      <c r="N53" s="168"/>
      <c r="O53" s="168"/>
      <c r="P53" s="95"/>
      <c r="Q53" s="94"/>
      <c r="R53" s="470"/>
      <c r="S53" s="94"/>
    </row>
    <row r="54" spans="1:19" s="33" customFormat="1">
      <c r="A54" s="42" t="s">
        <v>92</v>
      </c>
      <c r="B54" s="523"/>
      <c r="C54" s="603">
        <v>50000</v>
      </c>
      <c r="D54" s="523"/>
      <c r="E54" s="161"/>
      <c r="F54" s="161"/>
      <c r="G54" s="161"/>
      <c r="H54" s="522"/>
      <c r="I54" s="523"/>
      <c r="J54" s="161"/>
      <c r="K54" s="161"/>
      <c r="L54" s="168"/>
      <c r="M54" s="469"/>
      <c r="N54" s="168"/>
      <c r="O54" s="168"/>
      <c r="P54" s="95"/>
      <c r="Q54" s="94"/>
      <c r="R54" s="470"/>
      <c r="S54" s="94"/>
    </row>
    <row r="55" spans="1:19">
      <c r="A55" s="42" t="s">
        <v>45</v>
      </c>
      <c r="B55" s="523"/>
      <c r="C55" s="603">
        <v>1100000</v>
      </c>
      <c r="D55" s="523"/>
      <c r="E55" s="161"/>
      <c r="F55" s="161"/>
      <c r="G55" s="161"/>
      <c r="H55" s="522"/>
      <c r="I55" s="523"/>
      <c r="J55" s="161"/>
      <c r="K55" s="161"/>
      <c r="L55" s="168"/>
      <c r="M55" s="469"/>
      <c r="N55" s="168"/>
      <c r="O55" s="168"/>
      <c r="P55" s="95"/>
      <c r="Q55" s="94"/>
      <c r="R55" s="470"/>
      <c r="S55" s="94"/>
    </row>
    <row r="56" spans="1:19">
      <c r="A56" s="42" t="s">
        <v>293</v>
      </c>
      <c r="B56" s="523"/>
      <c r="C56" s="603"/>
      <c r="D56" s="523"/>
      <c r="E56" s="161"/>
      <c r="F56" s="297"/>
      <c r="G56" s="764"/>
      <c r="H56" s="697"/>
      <c r="I56" s="598"/>
      <c r="J56" s="161"/>
      <c r="K56" s="427"/>
      <c r="L56" s="434">
        <v>125000</v>
      </c>
      <c r="M56" s="469"/>
      <c r="N56" s="168"/>
      <c r="O56" s="168"/>
      <c r="P56" s="95"/>
      <c r="Q56" s="94"/>
      <c r="R56" s="470"/>
      <c r="S56" s="94"/>
    </row>
    <row r="57" spans="1:19">
      <c r="A57" s="42" t="s">
        <v>130</v>
      </c>
      <c r="B57" s="523"/>
      <c r="C57" s="603"/>
      <c r="D57" s="523"/>
      <c r="E57" s="161"/>
      <c r="F57" s="161"/>
      <c r="G57" s="161"/>
      <c r="H57" s="522"/>
      <c r="I57" s="523"/>
      <c r="J57" s="161"/>
      <c r="K57" s="161"/>
      <c r="L57" s="168"/>
      <c r="M57" s="469"/>
      <c r="N57" s="168"/>
      <c r="O57" s="168"/>
      <c r="P57" s="95"/>
      <c r="Q57" s="94"/>
      <c r="R57" s="470"/>
      <c r="S57" s="94"/>
    </row>
    <row r="58" spans="1:19">
      <c r="A58" s="42" t="s">
        <v>834</v>
      </c>
      <c r="B58" s="523"/>
      <c r="C58" s="603"/>
      <c r="D58" s="523"/>
      <c r="E58" s="161"/>
      <c r="F58" s="161">
        <v>10000</v>
      </c>
      <c r="G58" s="161"/>
      <c r="H58" s="522"/>
      <c r="I58" s="523"/>
      <c r="J58" s="161"/>
      <c r="K58" s="161"/>
      <c r="L58" s="168"/>
      <c r="M58" s="469"/>
      <c r="N58" s="168"/>
      <c r="O58" s="168"/>
      <c r="P58" s="95"/>
      <c r="Q58" s="94"/>
      <c r="R58" s="470"/>
      <c r="S58" s="94"/>
    </row>
    <row r="59" spans="1:19">
      <c r="A59" s="42" t="s">
        <v>123</v>
      </c>
      <c r="B59" s="523"/>
      <c r="C59" s="603"/>
      <c r="D59" s="523"/>
      <c r="E59" s="604">
        <v>5000</v>
      </c>
      <c r="F59" s="161"/>
      <c r="G59" s="161"/>
      <c r="H59" s="522"/>
      <c r="I59" s="523"/>
      <c r="J59" s="161"/>
      <c r="K59" s="161"/>
      <c r="L59" s="168"/>
      <c r="M59" s="469"/>
      <c r="N59" s="168"/>
      <c r="O59" s="168"/>
      <c r="P59" s="95"/>
      <c r="Q59" s="94"/>
      <c r="R59" s="470"/>
      <c r="S59" s="94"/>
    </row>
    <row r="60" spans="1:19">
      <c r="A60" s="42" t="s">
        <v>91</v>
      </c>
      <c r="B60" s="523"/>
      <c r="C60" s="603">
        <v>30000</v>
      </c>
      <c r="D60" s="523"/>
      <c r="E60" s="161"/>
      <c r="F60" s="161">
        <v>100000</v>
      </c>
      <c r="G60" s="161"/>
      <c r="H60" s="522"/>
      <c r="I60" s="523">
        <v>20000</v>
      </c>
      <c r="J60" s="161"/>
      <c r="K60" s="161"/>
      <c r="L60" s="168"/>
      <c r="M60" s="469">
        <v>50000</v>
      </c>
      <c r="N60" s="168"/>
      <c r="O60" s="168"/>
      <c r="P60" s="95"/>
      <c r="Q60" s="94"/>
      <c r="R60" s="470"/>
      <c r="S60" s="94"/>
    </row>
    <row r="61" spans="1:19">
      <c r="A61" s="42" t="s">
        <v>131</v>
      </c>
      <c r="B61" s="95"/>
      <c r="C61" s="145"/>
      <c r="D61" s="95"/>
      <c r="E61" s="136"/>
      <c r="F61" s="136"/>
      <c r="G61" s="136"/>
      <c r="H61" s="462"/>
      <c r="I61" s="95"/>
      <c r="J61" s="136"/>
      <c r="K61" s="136"/>
      <c r="L61" s="94"/>
      <c r="M61" s="470"/>
      <c r="N61" s="797">
        <v>0</v>
      </c>
      <c r="O61" s="94"/>
      <c r="P61" s="95"/>
      <c r="Q61" s="94"/>
      <c r="R61" s="470"/>
      <c r="S61" s="94"/>
    </row>
    <row r="62" spans="1:19">
      <c r="A62" s="42" t="s">
        <v>128</v>
      </c>
      <c r="B62" s="95"/>
      <c r="C62" s="145"/>
      <c r="D62" s="95"/>
      <c r="E62" s="136"/>
      <c r="F62" s="136"/>
      <c r="G62" s="136"/>
      <c r="H62" s="462"/>
      <c r="I62" s="95"/>
      <c r="J62" s="136"/>
      <c r="K62" s="136"/>
      <c r="L62" s="94"/>
      <c r="M62" s="470"/>
      <c r="N62" s="94"/>
      <c r="O62" s="94"/>
      <c r="P62" s="95"/>
      <c r="Q62" s="94"/>
      <c r="R62" s="470"/>
      <c r="S62" s="94"/>
    </row>
    <row r="63" spans="1:19" s="33" customFormat="1" ht="14.25">
      <c r="A63" s="43" t="s">
        <v>67</v>
      </c>
      <c r="B63" s="97">
        <f>SUM(B64:B65)</f>
        <v>0</v>
      </c>
      <c r="C63" s="133">
        <f>SUM(C64:C65)</f>
        <v>0</v>
      </c>
      <c r="D63" s="97">
        <f t="shared" ref="D63:S63" si="8">SUM(D64:D65)</f>
        <v>10907.227999999999</v>
      </c>
      <c r="E63" s="133">
        <f t="shared" si="8"/>
        <v>0</v>
      </c>
      <c r="F63" s="133">
        <f t="shared" si="8"/>
        <v>127381.4848888889</v>
      </c>
      <c r="G63" s="133">
        <f t="shared" si="8"/>
        <v>199857.91</v>
      </c>
      <c r="H63" s="454">
        <f t="shared" si="8"/>
        <v>0</v>
      </c>
      <c r="I63" s="97">
        <f t="shared" si="8"/>
        <v>49704.183000000005</v>
      </c>
      <c r="J63" s="133">
        <f t="shared" si="8"/>
        <v>0</v>
      </c>
      <c r="K63" s="133">
        <f t="shared" si="8"/>
        <v>0</v>
      </c>
      <c r="L63" s="96">
        <f t="shared" si="8"/>
        <v>128578.6908</v>
      </c>
      <c r="M63" s="466">
        <f t="shared" si="8"/>
        <v>0</v>
      </c>
      <c r="N63" s="96">
        <f t="shared" si="8"/>
        <v>0</v>
      </c>
      <c r="O63" s="96">
        <f t="shared" si="8"/>
        <v>0</v>
      </c>
      <c r="P63" s="97">
        <f t="shared" si="8"/>
        <v>0</v>
      </c>
      <c r="Q63" s="96"/>
      <c r="R63" s="466">
        <f t="shared" si="8"/>
        <v>0</v>
      </c>
      <c r="S63" s="96">
        <f t="shared" si="8"/>
        <v>0</v>
      </c>
    </row>
    <row r="64" spans="1:19">
      <c r="A64" s="42" t="s">
        <v>90</v>
      </c>
      <c r="B64" s="95"/>
      <c r="C64" s="145"/>
      <c r="D64" s="95">
        <f>+CMT!G68</f>
        <v>10907.227999999999</v>
      </c>
      <c r="E64" s="136"/>
      <c r="F64" s="136">
        <f>+CMT!G62+CMT!G63+CMT!G64+CMT!G65+CMT!G66+CMT!G67</f>
        <v>127381.4848888889</v>
      </c>
      <c r="G64" s="136"/>
      <c r="H64" s="462"/>
      <c r="I64" s="95">
        <f>CMT!G17+CMT!G18</f>
        <v>49704.183000000005</v>
      </c>
      <c r="J64" s="136"/>
      <c r="K64" s="136"/>
      <c r="L64" s="94"/>
      <c r="M64" s="470"/>
      <c r="N64" s="94"/>
      <c r="O64" s="94"/>
      <c r="P64" s="95"/>
      <c r="Q64" s="94"/>
      <c r="R64" s="470"/>
      <c r="S64" s="94"/>
    </row>
    <row r="65" spans="1:19">
      <c r="A65" s="42" t="s">
        <v>583</v>
      </c>
      <c r="B65" s="95"/>
      <c r="C65" s="145"/>
      <c r="D65" s="95"/>
      <c r="E65" s="136"/>
      <c r="F65" s="136"/>
      <c r="G65" s="136">
        <f>+FED!C10</f>
        <v>199857.91</v>
      </c>
      <c r="H65" s="462"/>
      <c r="I65" s="95"/>
      <c r="J65" s="136"/>
      <c r="K65" s="136"/>
      <c r="L65" s="94">
        <f>FED!C7*1.19</f>
        <v>128578.6908</v>
      </c>
      <c r="M65" s="470"/>
      <c r="N65" s="94"/>
      <c r="O65" s="94"/>
      <c r="P65" s="95"/>
      <c r="Q65" s="94"/>
      <c r="R65" s="470"/>
      <c r="S65" s="94"/>
    </row>
    <row r="66" spans="1:19" s="36" customFormat="1">
      <c r="A66" s="44" t="s">
        <v>853</v>
      </c>
      <c r="B66" s="137">
        <f t="shared" ref="B66:Q66" si="9">B3+B4+B8-B29</f>
        <v>54.247000000000298</v>
      </c>
      <c r="C66" s="139">
        <f t="shared" si="9"/>
        <v>-196256.01099999994</v>
      </c>
      <c r="D66" s="137">
        <f t="shared" si="9"/>
        <v>11068.006000000001</v>
      </c>
      <c r="E66" s="139">
        <f>E3+E4+E8-E29</f>
        <v>3559.9120000000003</v>
      </c>
      <c r="F66" s="139">
        <f t="shared" si="9"/>
        <v>-2436645.0550888889</v>
      </c>
      <c r="G66" s="139" t="e">
        <f t="shared" si="9"/>
        <v>#REF!</v>
      </c>
      <c r="H66" s="450">
        <f t="shared" si="9"/>
        <v>2124.54</v>
      </c>
      <c r="I66" s="137">
        <f t="shared" si="9"/>
        <v>-496776.62400000007</v>
      </c>
      <c r="J66" s="139">
        <f t="shared" si="9"/>
        <v>4366.4290000000001</v>
      </c>
      <c r="K66" s="139">
        <f t="shared" si="9"/>
        <v>125034.65338983051</v>
      </c>
      <c r="L66" s="138">
        <f t="shared" si="9"/>
        <v>398.00920000002952</v>
      </c>
      <c r="M66" s="471">
        <f t="shared" si="9"/>
        <v>786.26900000000023</v>
      </c>
      <c r="N66" s="138">
        <f t="shared" si="9"/>
        <v>751664.88500000001</v>
      </c>
      <c r="O66" s="138">
        <f t="shared" si="9"/>
        <v>28847.456999999999</v>
      </c>
      <c r="P66" s="137">
        <f t="shared" si="9"/>
        <v>2641.3609999999999</v>
      </c>
      <c r="Q66" s="138">
        <f t="shared" si="9"/>
        <v>26102.2</v>
      </c>
      <c r="R66" s="471">
        <f>R3+R4+R8-R29</f>
        <v>3929.5940000000001</v>
      </c>
      <c r="S66" s="138">
        <f>S3+S4+S8-S29</f>
        <v>38766.061999999998</v>
      </c>
    </row>
    <row r="67" spans="1:19" s="36" customFormat="1" ht="15.75" thickBot="1">
      <c r="A67" s="45" t="s">
        <v>68</v>
      </c>
      <c r="B67" s="93">
        <v>0</v>
      </c>
      <c r="C67" s="140">
        <v>-200000</v>
      </c>
      <c r="D67" s="93">
        <v>0</v>
      </c>
      <c r="E67" s="140">
        <v>0</v>
      </c>
      <c r="F67" s="140">
        <v>-2000000</v>
      </c>
      <c r="G67" s="140">
        <v>0</v>
      </c>
      <c r="H67" s="463">
        <v>0</v>
      </c>
      <c r="I67" s="93">
        <v>-420000</v>
      </c>
      <c r="J67" s="140">
        <v>0</v>
      </c>
      <c r="K67" s="140">
        <v>0</v>
      </c>
      <c r="L67" s="92">
        <v>0</v>
      </c>
      <c r="M67" s="472">
        <v>0</v>
      </c>
      <c r="N67" s="92">
        <v>0</v>
      </c>
      <c r="O67" s="92">
        <v>0</v>
      </c>
      <c r="P67" s="93">
        <v>0</v>
      </c>
      <c r="Q67" s="92">
        <v>0</v>
      </c>
      <c r="R67" s="472">
        <v>0</v>
      </c>
      <c r="S67" s="92">
        <v>0</v>
      </c>
    </row>
    <row r="68" spans="1:19">
      <c r="A68" s="1"/>
    </row>
    <row r="69" spans="1:19" s="285" customFormat="1" ht="15.75">
      <c r="B69" s="286"/>
      <c r="C69" s="286">
        <f>C67-C66</f>
        <v>-3743.9890000000596</v>
      </c>
      <c r="D69" s="286"/>
      <c r="E69" s="286"/>
      <c r="F69" s="286">
        <f>F67-F66</f>
        <v>436645.05508888885</v>
      </c>
      <c r="G69" s="286"/>
      <c r="H69" s="286"/>
      <c r="I69" s="286">
        <f>I67-I66</f>
        <v>76776.624000000069</v>
      </c>
      <c r="J69" s="286"/>
      <c r="K69" s="286"/>
      <c r="L69" s="286"/>
    </row>
    <row r="70" spans="1:19" s="285" customFormat="1" ht="15.75">
      <c r="B70" s="286"/>
      <c r="C70" s="286"/>
      <c r="D70" s="286"/>
      <c r="E70" s="286"/>
      <c r="F70" s="286"/>
      <c r="G70" s="286"/>
      <c r="H70" s="286"/>
      <c r="I70" s="286"/>
      <c r="J70" s="286"/>
      <c r="K70" s="286"/>
      <c r="L70" s="286"/>
    </row>
    <row r="71" spans="1:19" s="288" customFormat="1" ht="15.75">
      <c r="A71" s="4"/>
      <c r="B71" s="286"/>
      <c r="C71" s="289"/>
      <c r="D71" s="289"/>
      <c r="E71" s="289"/>
      <c r="F71" s="289"/>
      <c r="G71" s="287"/>
      <c r="H71" s="287"/>
      <c r="I71" s="287"/>
      <c r="J71" s="287"/>
      <c r="K71" s="287"/>
      <c r="L71" s="287"/>
    </row>
    <row r="72" spans="1:19">
      <c r="A72" s="1"/>
    </row>
  </sheetData>
  <mergeCells count="4">
    <mergeCell ref="B1:C1"/>
    <mergeCell ref="D1:H1"/>
    <mergeCell ref="I1:L1"/>
    <mergeCell ref="P1:Q1"/>
  </mergeCells>
  <pageMargins left="0" right="0" top="0" bottom="0" header="0" footer="0"/>
  <pageSetup paperSize="9" scale="60" orientation="landscape" horizontalDpi="180" verticalDpi="180" r:id="rId1"/>
  <ignoredErrors>
    <ignoredError sqref="E45 D8 J4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82"/>
  <sheetViews>
    <sheetView zoomScale="90" zoomScaleNormal="90" workbookViewId="0">
      <selection activeCell="I39" sqref="I39"/>
    </sheetView>
  </sheetViews>
  <sheetFormatPr baseColWidth="10" defaultRowHeight="12.75"/>
  <cols>
    <col min="1" max="1" width="17" style="47" bestFit="1" customWidth="1"/>
    <col min="2" max="2" width="10.28515625" style="47" bestFit="1" customWidth="1"/>
    <col min="3" max="3" width="13" style="47" bestFit="1" customWidth="1"/>
    <col min="4" max="4" width="12" style="352" bestFit="1" customWidth="1"/>
    <col min="5" max="5" width="15.42578125" style="47" bestFit="1" customWidth="1"/>
    <col min="6" max="6" width="11.42578125" style="47" bestFit="1" customWidth="1"/>
    <col min="7" max="7" width="6.140625" style="47" bestFit="1" customWidth="1"/>
    <col min="8" max="16384" width="11.42578125" style="47"/>
  </cols>
  <sheetData>
    <row r="1" spans="1:7">
      <c r="A1" s="46">
        <f ca="1">TODAY()</f>
        <v>43592</v>
      </c>
    </row>
    <row r="2" spans="1:7">
      <c r="A2" s="47" t="s">
        <v>69</v>
      </c>
      <c r="C2" s="46">
        <v>43100</v>
      </c>
      <c r="D2" s="352">
        <v>2.9478</v>
      </c>
    </row>
    <row r="3" spans="1:7">
      <c r="A3" s="47" t="s">
        <v>70</v>
      </c>
      <c r="C3" s="46">
        <v>43100</v>
      </c>
      <c r="D3" s="352">
        <v>2.4839000000000002</v>
      </c>
    </row>
    <row r="4" spans="1:7">
      <c r="A4" s="47" t="s">
        <v>71</v>
      </c>
      <c r="C4" s="46">
        <v>43100</v>
      </c>
      <c r="D4" s="352">
        <v>3.3113000000000001</v>
      </c>
    </row>
    <row r="5" spans="1:7" ht="13.5" thickBot="1">
      <c r="A5" s="47" t="s">
        <v>590</v>
      </c>
      <c r="C5" s="46">
        <v>43100</v>
      </c>
      <c r="D5" s="352">
        <v>0.376</v>
      </c>
    </row>
    <row r="6" spans="1:7" ht="13.5" thickBot="1">
      <c r="A6" s="1016" t="s">
        <v>72</v>
      </c>
      <c r="B6" s="1017"/>
      <c r="C6" s="1017"/>
      <c r="D6" s="1017"/>
      <c r="E6" s="1017"/>
      <c r="F6" s="1018"/>
    </row>
    <row r="7" spans="1:7" ht="13.5" thickBot="1">
      <c r="A7" s="383" t="s">
        <v>73</v>
      </c>
      <c r="B7" s="384" t="s">
        <v>74</v>
      </c>
      <c r="C7" s="384" t="s">
        <v>75</v>
      </c>
      <c r="D7" s="353" t="s">
        <v>76</v>
      </c>
      <c r="E7" s="384" t="s">
        <v>77</v>
      </c>
      <c r="F7" s="385" t="s">
        <v>13</v>
      </c>
    </row>
    <row r="8" spans="1:7" ht="13.5" thickBot="1">
      <c r="A8" s="701"/>
      <c r="B8" s="977"/>
      <c r="C8" s="978"/>
      <c r="D8" s="704"/>
      <c r="E8" s="979"/>
      <c r="F8" s="980"/>
    </row>
    <row r="9" spans="1:7" ht="13.5" thickBot="1">
      <c r="A9" s="1014" t="s">
        <v>78</v>
      </c>
      <c r="B9" s="1015"/>
      <c r="C9" s="426">
        <f>SUM(C8:C8)</f>
        <v>0</v>
      </c>
    </row>
    <row r="10" spans="1:7" s="350" customFormat="1" ht="13.5" thickBot="1">
      <c r="A10" s="359"/>
      <c r="B10" s="359"/>
      <c r="C10" s="360"/>
      <c r="D10" s="361"/>
    </row>
    <row r="11" spans="1:7" ht="13.5" thickBot="1">
      <c r="A11" s="701"/>
      <c r="B11" s="702"/>
      <c r="C11" s="703"/>
      <c r="D11" s="704"/>
      <c r="E11" s="705"/>
      <c r="F11" s="706"/>
      <c r="G11" s="362"/>
    </row>
    <row r="12" spans="1:7" ht="13.5" thickBot="1">
      <c r="A12" s="1016" t="s">
        <v>78</v>
      </c>
      <c r="B12" s="1017"/>
      <c r="C12" s="169">
        <f>SUM(C11:C11)</f>
        <v>0</v>
      </c>
      <c r="D12" s="355"/>
      <c r="E12" s="48"/>
      <c r="F12" s="48"/>
    </row>
    <row r="13" spans="1:7" ht="13.5" thickBot="1"/>
    <row r="14" spans="1:7" ht="13.5" thickBot="1">
      <c r="A14" s="701"/>
      <c r="B14" s="702"/>
      <c r="C14" s="703"/>
      <c r="D14" s="704"/>
      <c r="E14" s="705"/>
      <c r="F14" s="706"/>
      <c r="G14" s="362"/>
    </row>
    <row r="15" spans="1:7" ht="13.5" thickBot="1">
      <c r="A15" s="1016" t="s">
        <v>78</v>
      </c>
      <c r="B15" s="1017"/>
      <c r="C15" s="169">
        <f>SUM(C14:C14)</f>
        <v>0</v>
      </c>
      <c r="D15" s="355"/>
      <c r="E15" s="48"/>
      <c r="F15" s="48"/>
    </row>
    <row r="16" spans="1:7" ht="13.5" thickBot="1"/>
    <row r="17" spans="1:7" ht="13.5" thickBot="1">
      <c r="A17" s="701"/>
      <c r="B17" s="702"/>
      <c r="C17" s="703"/>
      <c r="D17" s="704"/>
      <c r="E17" s="705"/>
      <c r="F17" s="706"/>
    </row>
    <row r="18" spans="1:7" ht="13.5" thickBot="1">
      <c r="A18" s="1016" t="s">
        <v>78</v>
      </c>
      <c r="B18" s="1017"/>
      <c r="C18" s="169">
        <f>SUM(C17:C17)</f>
        <v>0</v>
      </c>
      <c r="D18" s="355"/>
      <c r="E18" s="48"/>
      <c r="F18" s="48"/>
    </row>
    <row r="19" spans="1:7" ht="13.5" thickBot="1"/>
    <row r="20" spans="1:7" ht="13.5" thickBot="1">
      <c r="A20" s="1016" t="s">
        <v>79</v>
      </c>
      <c r="B20" s="1017"/>
      <c r="C20" s="1017"/>
      <c r="D20" s="1017"/>
      <c r="E20" s="1017"/>
      <c r="F20" s="1018"/>
    </row>
    <row r="21" spans="1:7" ht="13.5" thickBot="1">
      <c r="A21" s="383" t="s">
        <v>73</v>
      </c>
      <c r="B21" s="384" t="s">
        <v>74</v>
      </c>
      <c r="C21" s="384" t="s">
        <v>75</v>
      </c>
      <c r="D21" s="353" t="s">
        <v>76</v>
      </c>
      <c r="E21" s="384" t="s">
        <v>77</v>
      </c>
      <c r="F21" s="385" t="s">
        <v>13</v>
      </c>
    </row>
    <row r="22" spans="1:7" s="350" customFormat="1">
      <c r="A22" s="776" t="s">
        <v>705</v>
      </c>
      <c r="B22" s="777" t="s">
        <v>16</v>
      </c>
      <c r="C22" s="778">
        <v>16605.36</v>
      </c>
      <c r="D22" s="779">
        <f>C22*$D$2</f>
        <v>48949.280208000004</v>
      </c>
      <c r="E22" s="780">
        <v>43005</v>
      </c>
      <c r="F22" s="781">
        <f t="shared" ref="F22:F30" si="0">E22+60</f>
        <v>43065</v>
      </c>
      <c r="G22" s="47"/>
    </row>
    <row r="23" spans="1:7">
      <c r="A23" s="776" t="s">
        <v>706</v>
      </c>
      <c r="B23" s="777" t="s">
        <v>16</v>
      </c>
      <c r="C23" s="778">
        <v>13607.38</v>
      </c>
      <c r="D23" s="779">
        <f>C23*$D$2</f>
        <v>40111.834763999999</v>
      </c>
      <c r="E23" s="780">
        <v>43005</v>
      </c>
      <c r="F23" s="781">
        <f t="shared" si="0"/>
        <v>43065</v>
      </c>
      <c r="G23" s="350"/>
    </row>
    <row r="24" spans="1:7">
      <c r="A24" s="776" t="s">
        <v>707</v>
      </c>
      <c r="B24" s="777" t="s">
        <v>16</v>
      </c>
      <c r="C24" s="778">
        <v>8986.4699999999993</v>
      </c>
      <c r="D24" s="779">
        <f>C24*$D$2</f>
        <v>26490.316265999998</v>
      </c>
      <c r="E24" s="780">
        <v>43005</v>
      </c>
      <c r="F24" s="781">
        <f t="shared" si="0"/>
        <v>43065</v>
      </c>
    </row>
    <row r="25" spans="1:7" s="350" customFormat="1">
      <c r="A25" s="776" t="s">
        <v>708</v>
      </c>
      <c r="B25" s="777" t="s">
        <v>16</v>
      </c>
      <c r="C25" s="778">
        <v>17217.37</v>
      </c>
      <c r="D25" s="779">
        <f>C25*$D$2</f>
        <v>50753.363286</v>
      </c>
      <c r="E25" s="780">
        <v>43005</v>
      </c>
      <c r="F25" s="781">
        <f t="shared" si="0"/>
        <v>43065</v>
      </c>
      <c r="G25" s="47"/>
    </row>
    <row r="26" spans="1:7">
      <c r="A26" s="386" t="s">
        <v>803</v>
      </c>
      <c r="B26" s="387" t="s">
        <v>16</v>
      </c>
      <c r="C26" s="388">
        <v>13027.18</v>
      </c>
      <c r="D26" s="389">
        <f>C26*D2</f>
        <v>38401.521203999997</v>
      </c>
      <c r="E26" s="390">
        <v>43014</v>
      </c>
      <c r="F26" s="501">
        <f t="shared" si="0"/>
        <v>43074</v>
      </c>
      <c r="G26" s="350"/>
    </row>
    <row r="27" spans="1:7">
      <c r="A27" s="386" t="s">
        <v>804</v>
      </c>
      <c r="B27" s="387" t="s">
        <v>16</v>
      </c>
      <c r="C27" s="388">
        <v>10909.14</v>
      </c>
      <c r="D27" s="389">
        <f>C27*D2</f>
        <v>32157.962892</v>
      </c>
      <c r="E27" s="390">
        <v>43014</v>
      </c>
      <c r="F27" s="501">
        <f t="shared" si="0"/>
        <v>43074</v>
      </c>
      <c r="G27" s="350"/>
    </row>
    <row r="28" spans="1:7">
      <c r="A28" s="386" t="s">
        <v>836</v>
      </c>
      <c r="B28" s="387" t="s">
        <v>16</v>
      </c>
      <c r="C28" s="388">
        <v>11962.13</v>
      </c>
      <c r="D28" s="389">
        <f>+C28*D2</f>
        <v>35261.966813999999</v>
      </c>
      <c r="E28" s="390">
        <v>43020</v>
      </c>
      <c r="F28" s="501">
        <f t="shared" si="0"/>
        <v>43080</v>
      </c>
      <c r="G28" s="350"/>
    </row>
    <row r="29" spans="1:7">
      <c r="A29" s="386" t="s">
        <v>837</v>
      </c>
      <c r="B29" s="387" t="s">
        <v>16</v>
      </c>
      <c r="C29" s="388">
        <v>17967.63</v>
      </c>
      <c r="D29" s="389">
        <f>+C29*D2</f>
        <v>52964.979714000001</v>
      </c>
      <c r="E29" s="390">
        <v>43028</v>
      </c>
      <c r="F29" s="501">
        <f t="shared" si="0"/>
        <v>43088</v>
      </c>
      <c r="G29" s="350"/>
    </row>
    <row r="30" spans="1:7">
      <c r="A30" s="386" t="s">
        <v>838</v>
      </c>
      <c r="B30" s="387" t="s">
        <v>16</v>
      </c>
      <c r="C30" s="388">
        <v>15561.37</v>
      </c>
      <c r="D30" s="389">
        <f>+C30*D2</f>
        <v>45871.806486000001</v>
      </c>
      <c r="E30" s="390">
        <v>43031</v>
      </c>
      <c r="F30" s="501">
        <f t="shared" si="0"/>
        <v>43091</v>
      </c>
      <c r="G30" s="350"/>
    </row>
    <row r="31" spans="1:7">
      <c r="A31" s="386" t="s">
        <v>856</v>
      </c>
      <c r="B31" s="387" t="s">
        <v>16</v>
      </c>
      <c r="C31" s="388">
        <v>13138.24</v>
      </c>
      <c r="D31" s="389">
        <f>+C31*$D$2</f>
        <v>38728.903872000003</v>
      </c>
      <c r="E31" s="390">
        <v>43035</v>
      </c>
      <c r="F31" s="501">
        <f t="shared" ref="F31:F46" si="1">E31+60</f>
        <v>43095</v>
      </c>
      <c r="G31" s="350"/>
    </row>
    <row r="32" spans="1:7">
      <c r="A32" s="386" t="s">
        <v>973</v>
      </c>
      <c r="B32" s="387" t="s">
        <v>16</v>
      </c>
      <c r="C32" s="388">
        <v>22136.18</v>
      </c>
      <c r="D32" s="389">
        <f t="shared" ref="D32:D46" si="2">+C32*$D$2</f>
        <v>65253.031404000001</v>
      </c>
      <c r="E32" s="390">
        <v>43047</v>
      </c>
      <c r="F32" s="501">
        <f t="shared" si="1"/>
        <v>43107</v>
      </c>
      <c r="G32" s="350"/>
    </row>
    <row r="33" spans="1:7">
      <c r="A33" s="386" t="s">
        <v>974</v>
      </c>
      <c r="B33" s="387" t="s">
        <v>16</v>
      </c>
      <c r="C33" s="388">
        <v>13272.49</v>
      </c>
      <c r="D33" s="389">
        <f t="shared" si="2"/>
        <v>39124.646022000001</v>
      </c>
      <c r="E33" s="390">
        <v>43047</v>
      </c>
      <c r="F33" s="501">
        <f t="shared" si="1"/>
        <v>43107</v>
      </c>
      <c r="G33" s="350"/>
    </row>
    <row r="34" spans="1:7">
      <c r="A34" s="386" t="s">
        <v>975</v>
      </c>
      <c r="B34" s="387" t="s">
        <v>16</v>
      </c>
      <c r="C34" s="388">
        <v>15404.41</v>
      </c>
      <c r="D34" s="389">
        <f t="shared" si="2"/>
        <v>45409.119798</v>
      </c>
      <c r="E34" s="390">
        <v>43048</v>
      </c>
      <c r="F34" s="501">
        <f t="shared" si="1"/>
        <v>43108</v>
      </c>
      <c r="G34" s="350"/>
    </row>
    <row r="35" spans="1:7">
      <c r="A35" s="386" t="s">
        <v>976</v>
      </c>
      <c r="B35" s="387" t="s">
        <v>16</v>
      </c>
      <c r="C35" s="388">
        <v>12240.28</v>
      </c>
      <c r="D35" s="389">
        <f t="shared" si="2"/>
        <v>36081.897384000004</v>
      </c>
      <c r="E35" s="390">
        <v>43054</v>
      </c>
      <c r="F35" s="501">
        <f t="shared" si="1"/>
        <v>43114</v>
      </c>
      <c r="G35" s="350"/>
    </row>
    <row r="36" spans="1:7">
      <c r="A36" s="386" t="s">
        <v>977</v>
      </c>
      <c r="B36" s="387" t="s">
        <v>16</v>
      </c>
      <c r="C36" s="388">
        <v>13390.78</v>
      </c>
      <c r="D36" s="389">
        <f t="shared" si="2"/>
        <v>39473.341284000002</v>
      </c>
      <c r="E36" s="390">
        <v>43054</v>
      </c>
      <c r="F36" s="501">
        <f t="shared" si="1"/>
        <v>43114</v>
      </c>
      <c r="G36" s="350"/>
    </row>
    <row r="37" spans="1:7">
      <c r="A37" s="386" t="s">
        <v>1366</v>
      </c>
      <c r="B37" s="387" t="s">
        <v>16</v>
      </c>
      <c r="C37" s="388">
        <v>14048.89</v>
      </c>
      <c r="D37" s="389">
        <f t="shared" si="2"/>
        <v>41413.317942000001</v>
      </c>
      <c r="E37" s="390">
        <v>43063</v>
      </c>
      <c r="F37" s="501">
        <f t="shared" si="1"/>
        <v>43123</v>
      </c>
      <c r="G37" s="350"/>
    </row>
    <row r="38" spans="1:7">
      <c r="A38" s="386" t="s">
        <v>1367</v>
      </c>
      <c r="B38" s="387" t="s">
        <v>16</v>
      </c>
      <c r="C38" s="388">
        <v>11713.63</v>
      </c>
      <c r="D38" s="389">
        <f t="shared" si="2"/>
        <v>34529.438513999994</v>
      </c>
      <c r="E38" s="390">
        <v>43067</v>
      </c>
      <c r="F38" s="501">
        <f t="shared" si="1"/>
        <v>43127</v>
      </c>
      <c r="G38" s="350"/>
    </row>
    <row r="39" spans="1:7">
      <c r="A39" s="386" t="s">
        <v>1368</v>
      </c>
      <c r="B39" s="387" t="s">
        <v>16</v>
      </c>
      <c r="C39" s="388">
        <v>16314.43</v>
      </c>
      <c r="D39" s="389">
        <f t="shared" si="2"/>
        <v>48091.676754</v>
      </c>
      <c r="E39" s="390">
        <v>43084</v>
      </c>
      <c r="F39" s="501">
        <f t="shared" si="1"/>
        <v>43144</v>
      </c>
      <c r="G39" s="350"/>
    </row>
    <row r="40" spans="1:7">
      <c r="A40" s="386" t="s">
        <v>1369</v>
      </c>
      <c r="B40" s="387" t="s">
        <v>16</v>
      </c>
      <c r="C40" s="388">
        <v>17249.23</v>
      </c>
      <c r="D40" s="389">
        <f t="shared" si="2"/>
        <v>50847.280193999999</v>
      </c>
      <c r="E40" s="390">
        <v>43088</v>
      </c>
      <c r="F40" s="501">
        <f t="shared" si="1"/>
        <v>43148</v>
      </c>
      <c r="G40" s="350"/>
    </row>
    <row r="41" spans="1:7">
      <c r="A41" s="386" t="s">
        <v>1370</v>
      </c>
      <c r="B41" s="387" t="s">
        <v>16</v>
      </c>
      <c r="C41" s="388">
        <v>15648.37</v>
      </c>
      <c r="D41" s="389">
        <f t="shared" si="2"/>
        <v>46128.265085999999</v>
      </c>
      <c r="E41" s="390">
        <v>43097</v>
      </c>
      <c r="F41" s="501">
        <f t="shared" si="1"/>
        <v>43157</v>
      </c>
      <c r="G41" s="350"/>
    </row>
    <row r="42" spans="1:7">
      <c r="A42" s="386" t="s">
        <v>1371</v>
      </c>
      <c r="B42" s="387" t="s">
        <v>16</v>
      </c>
      <c r="C42" s="388">
        <v>11836.94</v>
      </c>
      <c r="D42" s="389">
        <f t="shared" si="2"/>
        <v>34892.931732000005</v>
      </c>
      <c r="E42" s="390">
        <v>43109</v>
      </c>
      <c r="F42" s="501">
        <f t="shared" si="1"/>
        <v>43169</v>
      </c>
      <c r="G42" s="350"/>
    </row>
    <row r="43" spans="1:7">
      <c r="A43" s="386" t="s">
        <v>1372</v>
      </c>
      <c r="B43" s="387" t="s">
        <v>16</v>
      </c>
      <c r="C43" s="388">
        <v>12326</v>
      </c>
      <c r="D43" s="389">
        <f t="shared" si="2"/>
        <v>36334.582799999996</v>
      </c>
      <c r="E43" s="390">
        <v>43112</v>
      </c>
      <c r="F43" s="501">
        <f t="shared" si="1"/>
        <v>43172</v>
      </c>
      <c r="G43" s="350"/>
    </row>
    <row r="44" spans="1:7">
      <c r="A44" s="386" t="s">
        <v>1373</v>
      </c>
      <c r="B44" s="387" t="s">
        <v>16</v>
      </c>
      <c r="C44" s="388">
        <v>12277.29</v>
      </c>
      <c r="D44" s="389">
        <f t="shared" si="2"/>
        <v>36190.995461999999</v>
      </c>
      <c r="E44" s="390">
        <v>43115</v>
      </c>
      <c r="F44" s="501">
        <f t="shared" si="1"/>
        <v>43175</v>
      </c>
      <c r="G44" s="350"/>
    </row>
    <row r="45" spans="1:7">
      <c r="A45" s="386" t="s">
        <v>1374</v>
      </c>
      <c r="B45" s="387" t="s">
        <v>16</v>
      </c>
      <c r="C45" s="388">
        <v>13426.65</v>
      </c>
      <c r="D45" s="389">
        <f t="shared" si="2"/>
        <v>39579.078869999998</v>
      </c>
      <c r="E45" s="390">
        <v>43115</v>
      </c>
      <c r="F45" s="501">
        <f t="shared" si="1"/>
        <v>43175</v>
      </c>
      <c r="G45" s="350"/>
    </row>
    <row r="46" spans="1:7">
      <c r="A46" s="386" t="s">
        <v>1375</v>
      </c>
      <c r="B46" s="387" t="s">
        <v>16</v>
      </c>
      <c r="C46" s="388">
        <v>17562.04</v>
      </c>
      <c r="D46" s="389">
        <f t="shared" si="2"/>
        <v>51769.381512</v>
      </c>
      <c r="E46" s="390">
        <v>43116</v>
      </c>
      <c r="F46" s="501">
        <f t="shared" si="1"/>
        <v>43176</v>
      </c>
      <c r="G46" s="350"/>
    </row>
    <row r="47" spans="1:7">
      <c r="A47" s="386"/>
      <c r="B47" s="387"/>
      <c r="C47" s="388"/>
      <c r="D47" s="389"/>
      <c r="E47" s="390"/>
      <c r="F47" s="501"/>
      <c r="G47" s="350"/>
    </row>
    <row r="48" spans="1:7" ht="13.5" thickBot="1">
      <c r="A48" s="205"/>
      <c r="B48" s="63"/>
      <c r="C48" s="64"/>
      <c r="D48" s="356"/>
      <c r="E48" s="204"/>
      <c r="F48" s="65"/>
    </row>
    <row r="49" spans="1:6" ht="13.5" thickBot="1">
      <c r="A49" s="1016" t="s">
        <v>78</v>
      </c>
      <c r="B49" s="1017"/>
      <c r="C49" s="169">
        <f>SUM(C22:C48)</f>
        <v>357829.87999999995</v>
      </c>
      <c r="D49" s="355"/>
      <c r="E49" s="48"/>
      <c r="F49" s="48"/>
    </row>
    <row r="50" spans="1:6" ht="13.5" thickBot="1">
      <c r="A50" s="359"/>
      <c r="B50" s="359"/>
      <c r="C50" s="360"/>
      <c r="D50" s="357"/>
      <c r="E50" s="358"/>
      <c r="F50" s="358"/>
    </row>
    <row r="51" spans="1:6" s="76" customFormat="1">
      <c r="A51" s="498" t="s">
        <v>979</v>
      </c>
      <c r="B51" s="54" t="s">
        <v>16</v>
      </c>
      <c r="C51" s="499">
        <v>47512.84</v>
      </c>
      <c r="D51" s="500">
        <f>+C51*D2</f>
        <v>140058.34975199998</v>
      </c>
      <c r="E51" s="987">
        <v>43055</v>
      </c>
      <c r="F51" s="988">
        <f>+E51+90</f>
        <v>43145</v>
      </c>
    </row>
    <row r="52" spans="1:6" s="76" customFormat="1" ht="13.5" thickBot="1">
      <c r="A52" s="205" t="s">
        <v>979</v>
      </c>
      <c r="B52" s="294" t="s">
        <v>16</v>
      </c>
      <c r="C52" s="206">
        <v>46793.72</v>
      </c>
      <c r="D52" s="356">
        <f>+C52*D2</f>
        <v>137938.52781600002</v>
      </c>
      <c r="E52" s="989">
        <v>43098</v>
      </c>
      <c r="F52" s="990">
        <f>+E52+90</f>
        <v>43188</v>
      </c>
    </row>
    <row r="53" spans="1:6" ht="13.5" thickBot="1">
      <c r="A53" s="1016" t="s">
        <v>78</v>
      </c>
      <c r="B53" s="1017"/>
      <c r="C53" s="169">
        <f>SUM(C51:C52)</f>
        <v>94306.559999999998</v>
      </c>
      <c r="D53" s="355"/>
      <c r="E53" s="48"/>
      <c r="F53" s="48"/>
    </row>
    <row r="54" spans="1:6" ht="13.5" thickBot="1">
      <c r="A54" s="359"/>
      <c r="B54" s="359"/>
      <c r="C54" s="360"/>
      <c r="D54" s="357"/>
      <c r="E54" s="358"/>
      <c r="F54" s="358"/>
    </row>
    <row r="55" spans="1:6" s="76" customFormat="1" ht="13.5" thickBot="1">
      <c r="A55" s="758" t="s">
        <v>980</v>
      </c>
      <c r="B55" s="759" t="s">
        <v>701</v>
      </c>
      <c r="C55" s="760">
        <v>35667</v>
      </c>
      <c r="D55" s="761">
        <f>+C55*D4</f>
        <v>118104.13710000001</v>
      </c>
      <c r="E55" s="762"/>
      <c r="F55" s="763"/>
    </row>
    <row r="56" spans="1:6" ht="13.5" thickBot="1">
      <c r="A56" s="1016" t="s">
        <v>78</v>
      </c>
      <c r="B56" s="1017"/>
      <c r="C56" s="169">
        <f>SUM(C55)</f>
        <v>35667</v>
      </c>
      <c r="D56" s="355"/>
      <c r="E56" s="48"/>
      <c r="F56" s="48"/>
    </row>
    <row r="57" spans="1:6" ht="13.5" thickBot="1">
      <c r="A57" s="359"/>
      <c r="B57" s="359"/>
      <c r="C57" s="360"/>
      <c r="D57" s="357"/>
      <c r="E57" s="358"/>
      <c r="F57" s="358"/>
    </row>
    <row r="58" spans="1:6">
      <c r="A58" s="782" t="s">
        <v>978</v>
      </c>
      <c r="B58" s="783" t="s">
        <v>16</v>
      </c>
      <c r="C58" s="785">
        <v>287</v>
      </c>
      <c r="D58" s="784">
        <f>+C58*D2</f>
        <v>846.01859999999999</v>
      </c>
      <c r="E58" s="786"/>
      <c r="F58" s="787"/>
    </row>
    <row r="59" spans="1:6" ht="13.5" thickBot="1">
      <c r="A59" s="981"/>
      <c r="B59" s="982"/>
      <c r="C59" s="983"/>
      <c r="D59" s="984"/>
      <c r="E59" s="985"/>
      <c r="F59" s="986"/>
    </row>
    <row r="60" spans="1:6" ht="13.5" thickBot="1">
      <c r="A60" s="1016" t="s">
        <v>78</v>
      </c>
      <c r="B60" s="1017"/>
      <c r="C60" s="169">
        <f>SUM(C58:C59)</f>
        <v>287</v>
      </c>
      <c r="D60" s="355"/>
      <c r="E60" s="48"/>
      <c r="F60" s="48"/>
    </row>
    <row r="61" spans="1:6" ht="13.5" thickBot="1">
      <c r="A61" s="359"/>
      <c r="B61" s="359"/>
      <c r="C61" s="360"/>
      <c r="D61" s="357"/>
      <c r="E61" s="358"/>
      <c r="F61" s="358"/>
    </row>
    <row r="62" spans="1:6">
      <c r="A62" s="498" t="s">
        <v>1376</v>
      </c>
      <c r="B62" s="54" t="s">
        <v>16</v>
      </c>
      <c r="C62" s="499">
        <v>167080.07</v>
      </c>
      <c r="D62" s="500">
        <f>+C62*D2</f>
        <v>492518.63034600002</v>
      </c>
      <c r="E62" s="54" t="s">
        <v>981</v>
      </c>
      <c r="F62" s="976"/>
    </row>
    <row r="63" spans="1:6" ht="13.5" thickBot="1">
      <c r="A63" s="205"/>
      <c r="B63" s="294"/>
      <c r="C63" s="206"/>
      <c r="D63" s="356"/>
      <c r="E63" s="294"/>
      <c r="F63" s="351"/>
    </row>
    <row r="64" spans="1:6" ht="13.5" thickBot="1">
      <c r="A64" s="1014" t="s">
        <v>78</v>
      </c>
      <c r="B64" s="1015"/>
      <c r="C64" s="426">
        <f>SUM(C62:C63)</f>
        <v>167080.07</v>
      </c>
    </row>
    <row r="65" spans="1:9" ht="13.5" thickBot="1"/>
    <row r="66" spans="1:9">
      <c r="A66" s="498" t="s">
        <v>589</v>
      </c>
      <c r="B66" s="54" t="s">
        <v>591</v>
      </c>
      <c r="C66" s="499">
        <v>9671000</v>
      </c>
      <c r="D66" s="500">
        <f>+C66*D5</f>
        <v>3636296</v>
      </c>
      <c r="E66" s="544">
        <v>0.9</v>
      </c>
      <c r="F66" s="546">
        <v>43054</v>
      </c>
    </row>
    <row r="67" spans="1:9">
      <c r="A67" s="345"/>
      <c r="B67" s="376"/>
      <c r="C67" s="377"/>
      <c r="D67" s="354"/>
      <c r="E67" s="545">
        <v>0.1</v>
      </c>
      <c r="F67" s="547">
        <v>43221</v>
      </c>
    </row>
    <row r="68" spans="1:9" ht="13.5" thickBot="1">
      <c r="A68" s="205"/>
      <c r="B68" s="294"/>
      <c r="C68" s="206"/>
      <c r="D68" s="356"/>
      <c r="E68" s="294"/>
      <c r="F68" s="351"/>
    </row>
    <row r="69" spans="1:9" ht="13.5" thickBot="1">
      <c r="A69" s="1014" t="s">
        <v>78</v>
      </c>
      <c r="B69" s="1015"/>
      <c r="C69" s="426">
        <f>SUM(C66:C68)</f>
        <v>9671000</v>
      </c>
    </row>
    <row r="70" spans="1:9" ht="13.5" thickBot="1"/>
    <row r="71" spans="1:9">
      <c r="A71" s="498" t="s">
        <v>497</v>
      </c>
      <c r="B71" s="54" t="s">
        <v>16</v>
      </c>
      <c r="C71" s="499">
        <v>335000</v>
      </c>
      <c r="D71" s="500">
        <f>+C71*D2</f>
        <v>987513</v>
      </c>
      <c r="E71" s="54" t="s">
        <v>580</v>
      </c>
      <c r="F71" s="518">
        <v>40000</v>
      </c>
    </row>
    <row r="72" spans="1:9">
      <c r="A72" s="345" t="s">
        <v>497</v>
      </c>
      <c r="B72" s="376" t="s">
        <v>16</v>
      </c>
      <c r="C72" s="377">
        <f>65000</f>
        <v>65000</v>
      </c>
      <c r="D72" s="354"/>
      <c r="E72" s="698">
        <v>42895</v>
      </c>
      <c r="F72" s="519">
        <v>71000</v>
      </c>
    </row>
    <row r="73" spans="1:9">
      <c r="A73" s="386" t="s">
        <v>497</v>
      </c>
      <c r="B73" s="511" t="s">
        <v>16</v>
      </c>
      <c r="C73" s="512">
        <f>14477.06+837.73</f>
        <v>15314.789999999999</v>
      </c>
      <c r="D73" s="389"/>
      <c r="E73" s="699">
        <v>42998</v>
      </c>
      <c r="F73" s="615">
        <v>15000</v>
      </c>
    </row>
    <row r="74" spans="1:9">
      <c r="A74" s="386"/>
      <c r="B74" s="511"/>
      <c r="C74" s="512"/>
      <c r="D74" s="389"/>
      <c r="E74" s="699">
        <v>43010</v>
      </c>
      <c r="F74" s="615">
        <v>16000</v>
      </c>
    </row>
    <row r="75" spans="1:9">
      <c r="A75" s="386"/>
      <c r="B75" s="511"/>
      <c r="C75" s="512"/>
      <c r="D75" s="389"/>
      <c r="E75" s="699">
        <v>43017</v>
      </c>
      <c r="F75" s="615">
        <v>25000</v>
      </c>
    </row>
    <row r="76" spans="1:9">
      <c r="A76" s="386"/>
      <c r="B76" s="511"/>
      <c r="C76" s="512"/>
      <c r="D76" s="389"/>
      <c r="E76" s="511" t="s">
        <v>709</v>
      </c>
      <c r="F76" s="615">
        <f>EXPORT!B146</f>
        <v>232873.26</v>
      </c>
    </row>
    <row r="77" spans="1:9" ht="13.5" thickBot="1">
      <c r="A77" s="205"/>
      <c r="B77" s="294"/>
      <c r="C77" s="206"/>
      <c r="D77" s="356"/>
      <c r="E77" s="294"/>
      <c r="F77" s="351"/>
      <c r="H77" s="299"/>
      <c r="I77" s="299"/>
    </row>
    <row r="78" spans="1:9" ht="13.5" thickBot="1">
      <c r="A78" s="1014" t="s">
        <v>78</v>
      </c>
      <c r="B78" s="1015"/>
      <c r="C78" s="426">
        <f>SUM(C71:C77)</f>
        <v>415314.79</v>
      </c>
    </row>
    <row r="79" spans="1:9" ht="13.5" thickBot="1">
      <c r="F79" s="299"/>
    </row>
    <row r="80" spans="1:9">
      <c r="A80" s="498"/>
      <c r="B80" s="54"/>
      <c r="C80" s="499"/>
      <c r="D80" s="500"/>
      <c r="E80" s="544"/>
      <c r="F80" s="546"/>
    </row>
    <row r="81" spans="1:6" ht="13.5" thickBot="1">
      <c r="A81" s="205"/>
      <c r="B81" s="294"/>
      <c r="C81" s="206"/>
      <c r="D81" s="356"/>
      <c r="E81" s="294"/>
      <c r="F81" s="351"/>
    </row>
    <row r="82" spans="1:6" ht="13.5" thickBot="1">
      <c r="A82" s="1014" t="s">
        <v>78</v>
      </c>
      <c r="B82" s="1015"/>
      <c r="C82" s="426">
        <f>SUM(C80:C81)</f>
        <v>0</v>
      </c>
    </row>
  </sheetData>
  <mergeCells count="14">
    <mergeCell ref="A82:B82"/>
    <mergeCell ref="A18:B18"/>
    <mergeCell ref="A78:B78"/>
    <mergeCell ref="A69:B69"/>
    <mergeCell ref="A6:F6"/>
    <mergeCell ref="A20:F20"/>
    <mergeCell ref="A49:B49"/>
    <mergeCell ref="A9:B9"/>
    <mergeCell ref="A64:B64"/>
    <mergeCell ref="A53:B53"/>
    <mergeCell ref="A60:B60"/>
    <mergeCell ref="A12:B12"/>
    <mergeCell ref="A15:B15"/>
    <mergeCell ref="A56:B56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N71"/>
  <sheetViews>
    <sheetView topLeftCell="A28" zoomScale="85" zoomScaleNormal="85" workbookViewId="0">
      <selection activeCell="E83" sqref="E83"/>
    </sheetView>
  </sheetViews>
  <sheetFormatPr baseColWidth="10" defaultColWidth="11.42578125" defaultRowHeight="15.75"/>
  <cols>
    <col min="1" max="1" width="11.42578125" style="301"/>
    <col min="2" max="3" width="15.5703125" style="301" customWidth="1"/>
    <col min="4" max="6" width="15.5703125" style="325" customWidth="1"/>
    <col min="7" max="9" width="15.5703125" style="300" customWidth="1"/>
    <col min="10" max="10" width="14" style="301" bestFit="1" customWidth="1"/>
    <col min="11" max="11" width="11.85546875" style="301" bestFit="1" customWidth="1"/>
    <col min="12" max="12" width="3.85546875" style="301" bestFit="1" customWidth="1"/>
    <col min="13" max="13" width="13.28515625" style="301" bestFit="1" customWidth="1"/>
    <col min="14" max="14" width="9" style="301" bestFit="1" customWidth="1"/>
    <col min="15" max="16384" width="11.42578125" style="301"/>
  </cols>
  <sheetData>
    <row r="1" spans="2:9">
      <c r="B1" s="1023" t="s">
        <v>114</v>
      </c>
      <c r="C1" s="1023"/>
      <c r="D1" s="1023"/>
      <c r="E1" s="1023"/>
      <c r="F1" s="1023"/>
    </row>
    <row r="2" spans="2:9">
      <c r="B2" s="1023" t="s">
        <v>350</v>
      </c>
      <c r="C2" s="1023"/>
      <c r="D2" s="1023"/>
      <c r="E2" s="1023"/>
      <c r="F2" s="1023"/>
    </row>
    <row r="3" spans="2:9" ht="16.5" thickBot="1">
      <c r="B3" s="302"/>
      <c r="C3" s="302"/>
      <c r="D3" s="303"/>
      <c r="E3" s="303"/>
      <c r="F3" s="303"/>
    </row>
    <row r="4" spans="2:9" s="308" customFormat="1" ht="16.5" thickBot="1">
      <c r="B4" s="1029" t="s">
        <v>112</v>
      </c>
      <c r="C4" s="1030"/>
      <c r="D4" s="304" t="s">
        <v>10</v>
      </c>
      <c r="E4" s="305" t="s">
        <v>111</v>
      </c>
      <c r="F4" s="305" t="s">
        <v>110</v>
      </c>
      <c r="G4" s="305" t="s">
        <v>109</v>
      </c>
      <c r="H4" s="306" t="s">
        <v>108</v>
      </c>
      <c r="I4" s="307" t="s">
        <v>107</v>
      </c>
    </row>
    <row r="5" spans="2:9" s="309" customFormat="1" ht="16.5" thickBot="1">
      <c r="B5" s="400" t="s">
        <v>102</v>
      </c>
      <c r="C5" s="401">
        <v>87200</v>
      </c>
      <c r="D5" s="526">
        <v>42916</v>
      </c>
      <c r="E5" s="403">
        <v>6228.5709999999999</v>
      </c>
      <c r="F5" s="403">
        <v>409.35599999999999</v>
      </c>
      <c r="G5" s="401">
        <f>SUM(E5:F5)</f>
        <v>6637.9269999999997</v>
      </c>
      <c r="H5" s="400"/>
      <c r="I5" s="405"/>
    </row>
    <row r="6" spans="2:9" s="309" customFormat="1" ht="16.5" thickBot="1">
      <c r="B6" s="1019" t="s">
        <v>356</v>
      </c>
      <c r="C6" s="1020"/>
      <c r="D6" s="1021"/>
      <c r="E6" s="310">
        <f>SUM(E1:E5)</f>
        <v>6228.5709999999999</v>
      </c>
      <c r="F6" s="311">
        <f>SUM(F1:F5)</f>
        <v>409.35599999999999</v>
      </c>
      <c r="G6" s="312">
        <f t="shared" ref="G6" si="0">SUM(E6:F6)</f>
        <v>6637.9269999999997</v>
      </c>
      <c r="H6" s="313"/>
      <c r="I6" s="314"/>
    </row>
    <row r="7" spans="2:9" s="309" customFormat="1" ht="16.5" thickBot="1">
      <c r="B7" s="400" t="s">
        <v>103</v>
      </c>
      <c r="C7" s="401">
        <v>400000</v>
      </c>
      <c r="D7" s="526">
        <v>42947</v>
      </c>
      <c r="E7" s="588">
        <v>41341.207000000002</v>
      </c>
      <c r="F7" s="589">
        <v>823.44799999999998</v>
      </c>
      <c r="G7" s="401">
        <f>SUM(E7:F7)</f>
        <v>42164.654999999999</v>
      </c>
      <c r="H7" s="400"/>
      <c r="I7" s="405"/>
    </row>
    <row r="8" spans="2:9" s="309" customFormat="1" ht="16.5" thickBot="1">
      <c r="B8" s="1019" t="s">
        <v>357</v>
      </c>
      <c r="C8" s="1020"/>
      <c r="D8" s="1021"/>
      <c r="E8" s="310">
        <f t="shared" ref="E8:G8" si="1">SUM(E7)</f>
        <v>41341.207000000002</v>
      </c>
      <c r="F8" s="311">
        <f t="shared" si="1"/>
        <v>823.44799999999998</v>
      </c>
      <c r="G8" s="312">
        <f t="shared" si="1"/>
        <v>42164.654999999999</v>
      </c>
      <c r="H8" s="313"/>
      <c r="I8" s="314"/>
    </row>
    <row r="9" spans="2:9" ht="16.5" thickBot="1">
      <c r="B9" s="400" t="s">
        <v>103</v>
      </c>
      <c r="C9" s="401">
        <v>400000</v>
      </c>
      <c r="D9" s="526">
        <v>42978</v>
      </c>
      <c r="E9" s="588">
        <v>41341.207000000002</v>
      </c>
      <c r="F9" s="589">
        <v>1047.3679999999999</v>
      </c>
      <c r="G9" s="401">
        <f>SUM(E9:F9)</f>
        <v>42388.575000000004</v>
      </c>
      <c r="H9" s="400"/>
      <c r="I9" s="405"/>
    </row>
    <row r="10" spans="2:9" ht="15.75" customHeight="1" thickBot="1">
      <c r="B10" s="1019" t="s">
        <v>359</v>
      </c>
      <c r="C10" s="1020"/>
      <c r="D10" s="1021"/>
      <c r="E10" s="310">
        <f>SUM(E9:E9)</f>
        <v>41341.207000000002</v>
      </c>
      <c r="F10" s="310">
        <f t="shared" ref="F10:G10" si="2">SUM(F9:F9)</f>
        <v>1047.3679999999999</v>
      </c>
      <c r="G10" s="310">
        <f t="shared" si="2"/>
        <v>42388.575000000004</v>
      </c>
      <c r="H10" s="313"/>
      <c r="I10" s="314"/>
    </row>
    <row r="11" spans="2:9" ht="15.75" customHeight="1" thickBot="1">
      <c r="B11" s="400" t="s">
        <v>103</v>
      </c>
      <c r="C11" s="401">
        <v>400000</v>
      </c>
      <c r="D11" s="526">
        <v>43008</v>
      </c>
      <c r="E11" s="588">
        <v>41341.207000000002</v>
      </c>
      <c r="F11" s="589">
        <v>1264.0650000000001</v>
      </c>
      <c r="G11" s="401">
        <f>SUM(E11:F11)</f>
        <v>42605.272000000004</v>
      </c>
      <c r="H11" s="400"/>
      <c r="I11" s="405"/>
    </row>
    <row r="12" spans="2:9" ht="16.5" thickBot="1">
      <c r="B12" s="1019" t="s">
        <v>360</v>
      </c>
      <c r="C12" s="1020"/>
      <c r="D12" s="1021"/>
      <c r="E12" s="310">
        <f>SUM(E11:E11)</f>
        <v>41341.207000000002</v>
      </c>
      <c r="F12" s="310">
        <f t="shared" ref="F12:G12" si="3">SUM(F11:F11)</f>
        <v>1264.0650000000001</v>
      </c>
      <c r="G12" s="310">
        <f t="shared" si="3"/>
        <v>42605.272000000004</v>
      </c>
      <c r="H12" s="313"/>
      <c r="I12" s="314"/>
    </row>
    <row r="13" spans="2:9" ht="16.5" thickBot="1">
      <c r="B13" s="400" t="s">
        <v>103</v>
      </c>
      <c r="C13" s="401">
        <v>400000</v>
      </c>
      <c r="D13" s="526">
        <v>43039</v>
      </c>
      <c r="E13" s="588">
        <v>41341.207000000002</v>
      </c>
      <c r="F13" s="589">
        <v>1487.9849999999999</v>
      </c>
      <c r="G13" s="401">
        <f>SUM(E13:F13)</f>
        <v>42829.192000000003</v>
      </c>
      <c r="H13" s="400"/>
      <c r="I13" s="405"/>
    </row>
    <row r="14" spans="2:9" ht="15.75" customHeight="1" thickBot="1">
      <c r="B14" s="1019" t="s">
        <v>584</v>
      </c>
      <c r="C14" s="1020"/>
      <c r="D14" s="1021"/>
      <c r="E14" s="310">
        <f>SUM(E13:E13)</f>
        <v>41341.207000000002</v>
      </c>
      <c r="F14" s="310">
        <f t="shared" ref="F14:G14" si="4">SUM(F13:F13)</f>
        <v>1487.9849999999999</v>
      </c>
      <c r="G14" s="310">
        <f t="shared" si="4"/>
        <v>42829.192000000003</v>
      </c>
      <c r="H14" s="313"/>
      <c r="I14" s="314"/>
    </row>
    <row r="15" spans="2:9" ht="15.75" customHeight="1" thickBot="1">
      <c r="B15" s="400" t="s">
        <v>103</v>
      </c>
      <c r="C15" s="401">
        <v>400000</v>
      </c>
      <c r="D15" s="526">
        <v>43069</v>
      </c>
      <c r="E15" s="588">
        <v>41341.207000000002</v>
      </c>
      <c r="F15" s="589">
        <v>1704.682</v>
      </c>
      <c r="G15" s="401">
        <f>SUM(E15:F15)</f>
        <v>43045.889000000003</v>
      </c>
      <c r="H15" s="400"/>
      <c r="I15" s="405"/>
    </row>
    <row r="16" spans="2:9" ht="16.5" thickBot="1">
      <c r="B16" s="1019" t="s">
        <v>585</v>
      </c>
      <c r="C16" s="1020"/>
      <c r="D16" s="1021"/>
      <c r="E16" s="310">
        <f>SUM(E15:E15)</f>
        <v>41341.207000000002</v>
      </c>
      <c r="F16" s="310">
        <f t="shared" ref="F16:G16" si="5">SUM(F15:F15)</f>
        <v>1704.682</v>
      </c>
      <c r="G16" s="310">
        <f t="shared" si="5"/>
        <v>43045.889000000003</v>
      </c>
      <c r="H16" s="313"/>
      <c r="I16" s="314"/>
    </row>
    <row r="17" spans="2:14">
      <c r="B17" s="326" t="s">
        <v>102</v>
      </c>
      <c r="C17" s="332">
        <v>87200</v>
      </c>
      <c r="D17" s="527">
        <v>43100</v>
      </c>
      <c r="E17" s="529">
        <v>6228.5709999999999</v>
      </c>
      <c r="F17" s="328">
        <v>205.803</v>
      </c>
      <c r="G17" s="327">
        <f>SUM(E17:F17)</f>
        <v>6434.3739999999998</v>
      </c>
      <c r="H17" s="1031" t="s">
        <v>358</v>
      </c>
      <c r="I17" s="1032"/>
    </row>
    <row r="18" spans="2:14" ht="16.5" thickBot="1">
      <c r="B18" s="330" t="s">
        <v>103</v>
      </c>
      <c r="C18" s="340">
        <v>400000</v>
      </c>
      <c r="D18" s="528">
        <v>43100</v>
      </c>
      <c r="E18" s="524">
        <v>41341.207000000002</v>
      </c>
      <c r="F18" s="525">
        <v>1928.6020000000001</v>
      </c>
      <c r="G18" s="331">
        <f>SUM(E18:F18)</f>
        <v>43269.809000000001</v>
      </c>
      <c r="H18" s="530"/>
      <c r="I18" s="531"/>
    </row>
    <row r="19" spans="2:14" ht="16.5" thickBot="1">
      <c r="B19" s="1019" t="s">
        <v>361</v>
      </c>
      <c r="C19" s="1020"/>
      <c r="D19" s="1021"/>
      <c r="E19" s="315">
        <f>SUM(E17:E18)</f>
        <v>47569.778000000006</v>
      </c>
      <c r="F19" s="315">
        <f t="shared" ref="F19:G19" si="6">SUM(F17:F18)</f>
        <v>2134.4050000000002</v>
      </c>
      <c r="G19" s="315">
        <f t="shared" si="6"/>
        <v>49704.183000000005</v>
      </c>
      <c r="H19" s="318"/>
      <c r="I19" s="314"/>
    </row>
    <row r="20" spans="2:14" s="308" customFormat="1" ht="16.5" thickBot="1">
      <c r="B20" s="319"/>
      <c r="C20" s="320"/>
      <c r="D20" s="321"/>
      <c r="E20" s="321"/>
      <c r="F20" s="321"/>
      <c r="G20" s="319"/>
      <c r="H20" s="319"/>
      <c r="I20" s="319"/>
    </row>
    <row r="21" spans="2:14" ht="16.5" thickBot="1">
      <c r="B21" s="1026" t="s">
        <v>351</v>
      </c>
      <c r="C21" s="1027"/>
      <c r="D21" s="1028"/>
      <c r="E21" s="322">
        <f>E6+E8+E10+E12+E14+E16+E19</f>
        <v>260504.38400000002</v>
      </c>
      <c r="F21" s="322">
        <f t="shared" ref="F21:G21" si="7">F6+F8+F10+F12+F14+F16+F19</f>
        <v>8871.3089999999993</v>
      </c>
      <c r="G21" s="322">
        <f t="shared" si="7"/>
        <v>269375.69300000003</v>
      </c>
      <c r="H21" s="323"/>
      <c r="I21" s="324"/>
    </row>
    <row r="22" spans="2:14">
      <c r="G22" s="301"/>
      <c r="H22" s="301"/>
      <c r="I22" s="301"/>
      <c r="M22" s="309"/>
    </row>
    <row r="23" spans="2:14" s="309" customFormat="1">
      <c r="B23" s="1023" t="s">
        <v>113</v>
      </c>
      <c r="C23" s="1023"/>
      <c r="D23" s="1023"/>
      <c r="E23" s="1023"/>
      <c r="F23" s="1023"/>
      <c r="G23" s="300"/>
      <c r="H23" s="300"/>
      <c r="I23" s="300"/>
    </row>
    <row r="24" spans="2:14" s="309" customFormat="1">
      <c r="B24" s="1023" t="s">
        <v>350</v>
      </c>
      <c r="C24" s="1023"/>
      <c r="D24" s="1023"/>
      <c r="E24" s="1023"/>
      <c r="F24" s="1023"/>
      <c r="G24" s="300"/>
      <c r="H24" s="300"/>
      <c r="I24" s="300"/>
      <c r="K24" s="301"/>
      <c r="L24" s="301"/>
      <c r="M24" s="301"/>
    </row>
    <row r="25" spans="2:14" ht="16.5" thickBot="1"/>
    <row r="26" spans="2:14" s="309" customFormat="1" ht="16.5" thickBot="1">
      <c r="B26" s="1029" t="s">
        <v>112</v>
      </c>
      <c r="C26" s="1030"/>
      <c r="D26" s="304" t="s">
        <v>10</v>
      </c>
      <c r="E26" s="305" t="s">
        <v>111</v>
      </c>
      <c r="F26" s="305" t="s">
        <v>110</v>
      </c>
      <c r="G26" s="305" t="s">
        <v>109</v>
      </c>
      <c r="H26" s="306" t="s">
        <v>108</v>
      </c>
      <c r="I26" s="307" t="s">
        <v>107</v>
      </c>
      <c r="K26" s="301"/>
      <c r="L26" s="301"/>
      <c r="M26" s="301"/>
    </row>
    <row r="27" spans="2:14" s="309" customFormat="1">
      <c r="B27" s="364" t="s">
        <v>124</v>
      </c>
      <c r="C27" s="365">
        <v>1488000</v>
      </c>
      <c r="D27" s="366">
        <v>42761</v>
      </c>
      <c r="E27" s="367">
        <v>106285.71400000001</v>
      </c>
      <c r="F27" s="367">
        <v>15618.094999999999</v>
      </c>
      <c r="G27" s="365">
        <f>SUM(E27:F27)</f>
        <v>121903.80900000001</v>
      </c>
      <c r="H27" s="368"/>
      <c r="I27" s="369"/>
      <c r="K27" s="301"/>
      <c r="L27" s="301"/>
      <c r="M27" s="301"/>
    </row>
    <row r="28" spans="2:14" s="309" customFormat="1" ht="16.5" thickBot="1">
      <c r="B28" s="370" t="s">
        <v>102</v>
      </c>
      <c r="C28" s="371">
        <v>2418000</v>
      </c>
      <c r="D28" s="372">
        <v>42761</v>
      </c>
      <c r="E28" s="373">
        <v>172714.28599999999</v>
      </c>
      <c r="F28" s="373">
        <v>24275.952000000001</v>
      </c>
      <c r="G28" s="371">
        <f>SUM(E28:F28)</f>
        <v>196990.23799999998</v>
      </c>
      <c r="H28" s="374"/>
      <c r="I28" s="375"/>
      <c r="K28" s="301"/>
      <c r="L28" s="301"/>
      <c r="M28" s="301"/>
    </row>
    <row r="29" spans="2:14" ht="16.5" thickBot="1">
      <c r="B29" s="1019" t="s">
        <v>352</v>
      </c>
      <c r="C29" s="1020"/>
      <c r="D29" s="1021"/>
      <c r="E29" s="310">
        <f>SUM(E27:E28)</f>
        <v>279000</v>
      </c>
      <c r="F29" s="311">
        <f>SUM(F27:F28)</f>
        <v>39894.046999999999</v>
      </c>
      <c r="G29" s="312">
        <f t="shared" ref="G29" si="8">SUM(E29:F29)</f>
        <v>318894.04700000002</v>
      </c>
      <c r="H29" s="313"/>
      <c r="I29" s="314"/>
    </row>
    <row r="30" spans="2:14" s="309" customFormat="1" ht="16.5" thickBot="1">
      <c r="B30" s="400" t="s">
        <v>105</v>
      </c>
      <c r="C30" s="401">
        <v>800000</v>
      </c>
      <c r="D30" s="402">
        <v>42791</v>
      </c>
      <c r="E30" s="403">
        <v>28571.429</v>
      </c>
      <c r="F30" s="403">
        <v>1665</v>
      </c>
      <c r="G30" s="401">
        <f>SUM(E30:F30)</f>
        <v>30236.429</v>
      </c>
      <c r="H30" s="404"/>
      <c r="I30" s="405"/>
      <c r="K30" s="301"/>
      <c r="L30" s="301"/>
      <c r="M30" s="301"/>
    </row>
    <row r="31" spans="2:14" s="309" customFormat="1" ht="16.5" thickBot="1">
      <c r="B31" s="1019" t="s">
        <v>353</v>
      </c>
      <c r="C31" s="1020"/>
      <c r="D31" s="1021"/>
      <c r="E31" s="310">
        <f>SUM(E30)</f>
        <v>28571.429</v>
      </c>
      <c r="F31" s="311">
        <f>SUM(F30)</f>
        <v>1665</v>
      </c>
      <c r="G31" s="312">
        <f t="shared" ref="G31" si="9">SUM(E31:F31)</f>
        <v>30236.429</v>
      </c>
      <c r="H31" s="313"/>
      <c r="I31" s="314"/>
      <c r="K31" s="391"/>
      <c r="L31" s="392"/>
      <c r="M31" s="393"/>
      <c r="N31" s="393"/>
    </row>
    <row r="32" spans="2:14">
      <c r="B32" s="364" t="s">
        <v>102</v>
      </c>
      <c r="C32" s="406">
        <v>500000</v>
      </c>
      <c r="D32" s="407">
        <v>42825</v>
      </c>
      <c r="E32" s="367"/>
      <c r="F32" s="367">
        <v>8100</v>
      </c>
      <c r="G32" s="365">
        <f>SUM(E32:F32)</f>
        <v>8100</v>
      </c>
      <c r="H32" s="368"/>
      <c r="I32" s="369"/>
      <c r="J32" s="341"/>
      <c r="K32" s="391"/>
      <c r="L32" s="392"/>
      <c r="M32" s="393"/>
      <c r="N32" s="393"/>
    </row>
    <row r="33" spans="2:14" s="309" customFormat="1">
      <c r="B33" s="408" t="s">
        <v>102</v>
      </c>
      <c r="C33" s="409">
        <v>1150000</v>
      </c>
      <c r="D33" s="410">
        <v>42825</v>
      </c>
      <c r="E33" s="411"/>
      <c r="F33" s="411">
        <v>18658.75</v>
      </c>
      <c r="G33" s="412">
        <f>SUM(E33:F33)</f>
        <v>18658.75</v>
      </c>
      <c r="H33" s="413"/>
      <c r="I33" s="414"/>
      <c r="J33" s="341"/>
      <c r="K33" s="395"/>
      <c r="L33" s="396"/>
      <c r="M33" s="394"/>
      <c r="N33" s="393"/>
    </row>
    <row r="34" spans="2:14" s="309" customFormat="1">
      <c r="B34" s="408" t="s">
        <v>102</v>
      </c>
      <c r="C34" s="409">
        <v>1000000</v>
      </c>
      <c r="D34" s="410">
        <v>42825</v>
      </c>
      <c r="E34" s="411"/>
      <c r="F34" s="411">
        <v>16175</v>
      </c>
      <c r="G34" s="412">
        <f t="shared" ref="G34:G37" si="10">SUM(E34:F34)</f>
        <v>16175</v>
      </c>
      <c r="H34" s="413"/>
      <c r="I34" s="414"/>
      <c r="J34" s="341"/>
      <c r="K34" s="391"/>
      <c r="L34" s="392"/>
      <c r="M34" s="393"/>
      <c r="N34" s="393"/>
    </row>
    <row r="35" spans="2:14" s="309" customFormat="1">
      <c r="B35" s="408" t="s">
        <v>102</v>
      </c>
      <c r="C35" s="409">
        <v>1000000</v>
      </c>
      <c r="D35" s="410">
        <v>42825</v>
      </c>
      <c r="E35" s="411">
        <v>0</v>
      </c>
      <c r="F35" s="411">
        <v>3755.357</v>
      </c>
      <c r="G35" s="412">
        <f t="shared" si="10"/>
        <v>3755.357</v>
      </c>
      <c r="H35" s="413"/>
      <c r="I35" s="414"/>
      <c r="J35" s="341"/>
      <c r="K35" s="301"/>
      <c r="L35" s="301"/>
      <c r="M35" s="301"/>
    </row>
    <row r="36" spans="2:14">
      <c r="B36" s="408" t="s">
        <v>102</v>
      </c>
      <c r="C36" s="415">
        <v>350000</v>
      </c>
      <c r="D36" s="410">
        <v>42825</v>
      </c>
      <c r="E36" s="416"/>
      <c r="F36" s="416">
        <v>1907.5</v>
      </c>
      <c r="G36" s="412">
        <f t="shared" si="10"/>
        <v>1907.5</v>
      </c>
      <c r="H36" s="417"/>
      <c r="I36" s="418"/>
      <c r="J36" s="341"/>
    </row>
    <row r="37" spans="2:14" s="309" customFormat="1" ht="16.5" thickBot="1">
      <c r="B37" s="370" t="s">
        <v>124</v>
      </c>
      <c r="C37" s="449">
        <v>300000</v>
      </c>
      <c r="D37" s="372">
        <v>42825</v>
      </c>
      <c r="E37" s="373">
        <v>10714</v>
      </c>
      <c r="F37" s="373">
        <v>724.40099999999995</v>
      </c>
      <c r="G37" s="412">
        <f t="shared" si="10"/>
        <v>11438.401</v>
      </c>
      <c r="H37" s="374"/>
      <c r="I37" s="375"/>
      <c r="J37" s="341"/>
      <c r="K37" s="343"/>
      <c r="L37" s="301"/>
      <c r="M37" s="301"/>
      <c r="N37" s="301"/>
    </row>
    <row r="38" spans="2:14" s="309" customFormat="1" ht="16.5" thickBot="1">
      <c r="B38" s="1019" t="s">
        <v>354</v>
      </c>
      <c r="C38" s="1020"/>
      <c r="D38" s="1022"/>
      <c r="E38" s="315">
        <f>SUM(E32:E37)</f>
        <v>10714</v>
      </c>
      <c r="F38" s="316">
        <f>SUM(F32:F37)</f>
        <v>49321.008000000002</v>
      </c>
      <c r="G38" s="317">
        <f t="shared" ref="G38" si="11">SUM(E38:F38)</f>
        <v>60035.008000000002</v>
      </c>
      <c r="H38" s="318"/>
      <c r="I38" s="314"/>
      <c r="J38" s="341"/>
      <c r="K38" s="301"/>
      <c r="L38" s="301"/>
      <c r="M38" s="301"/>
      <c r="N38" s="301"/>
    </row>
    <row r="39" spans="2:14" ht="16.5" thickBot="1">
      <c r="B39" s="400" t="s">
        <v>105</v>
      </c>
      <c r="C39" s="401">
        <v>800000</v>
      </c>
      <c r="D39" s="402">
        <v>42880</v>
      </c>
      <c r="E39" s="403">
        <v>28571.429</v>
      </c>
      <c r="F39" s="403">
        <v>1110</v>
      </c>
      <c r="G39" s="401">
        <f>SUM(E39:F39)</f>
        <v>29681.429</v>
      </c>
      <c r="H39" s="404"/>
      <c r="I39" s="405"/>
      <c r="J39" s="341"/>
    </row>
    <row r="40" spans="2:14" ht="16.5" thickBot="1">
      <c r="B40" s="1019" t="s">
        <v>355</v>
      </c>
      <c r="C40" s="1020"/>
      <c r="D40" s="1021"/>
      <c r="E40" s="315">
        <f>SUM(E39)</f>
        <v>28571.429</v>
      </c>
      <c r="F40" s="316">
        <f>SUM(F39)</f>
        <v>1110</v>
      </c>
      <c r="G40" s="317">
        <f t="shared" ref="G40" si="12">SUM(E40:F40)</f>
        <v>29681.429</v>
      </c>
      <c r="H40" s="342"/>
      <c r="I40" s="314"/>
      <c r="J40" s="341"/>
    </row>
    <row r="41" spans="2:14" s="309" customFormat="1">
      <c r="B41" s="476" t="s">
        <v>102</v>
      </c>
      <c r="C41" s="477">
        <v>500000</v>
      </c>
      <c r="D41" s="407">
        <v>42916</v>
      </c>
      <c r="E41" s="367">
        <v>0</v>
      </c>
      <c r="F41" s="367">
        <v>8190</v>
      </c>
      <c r="G41" s="478">
        <f t="shared" ref="G41:G47" si="13">SUM(E41:F41)</f>
        <v>8190</v>
      </c>
      <c r="H41" s="479"/>
      <c r="I41" s="480"/>
      <c r="J41" s="341"/>
      <c r="K41" s="301"/>
      <c r="L41" s="301"/>
      <c r="M41" s="301"/>
      <c r="N41" s="301"/>
    </row>
    <row r="42" spans="2:14" s="309" customFormat="1">
      <c r="B42" s="481" t="s">
        <v>102</v>
      </c>
      <c r="C42" s="482">
        <v>1150000</v>
      </c>
      <c r="D42" s="410">
        <v>42916</v>
      </c>
      <c r="E42" s="411">
        <v>0</v>
      </c>
      <c r="F42" s="411">
        <v>18866.069444444442</v>
      </c>
      <c r="G42" s="483">
        <f t="shared" si="13"/>
        <v>18866.069444444442</v>
      </c>
      <c r="H42" s="484"/>
      <c r="I42" s="485"/>
      <c r="J42" s="301"/>
      <c r="K42" s="301"/>
      <c r="L42" s="301"/>
      <c r="M42" s="301"/>
      <c r="N42" s="301"/>
    </row>
    <row r="43" spans="2:14">
      <c r="B43" s="481" t="s">
        <v>102</v>
      </c>
      <c r="C43" s="482">
        <v>1000000</v>
      </c>
      <c r="D43" s="410">
        <v>42916</v>
      </c>
      <c r="E43" s="411">
        <v>0</v>
      </c>
      <c r="F43" s="411">
        <v>16354.722222222223</v>
      </c>
      <c r="G43" s="483">
        <f t="shared" si="13"/>
        <v>16354.722222222223</v>
      </c>
      <c r="H43" s="484"/>
      <c r="I43" s="485"/>
    </row>
    <row r="44" spans="2:14" s="309" customFormat="1">
      <c r="B44" s="481" t="s">
        <v>102</v>
      </c>
      <c r="C44" s="482">
        <v>1000000</v>
      </c>
      <c r="D44" s="410">
        <v>42916</v>
      </c>
      <c r="E44" s="411">
        <v>71428.570999999996</v>
      </c>
      <c r="F44" s="411">
        <v>3797.0830000000001</v>
      </c>
      <c r="G44" s="483">
        <f t="shared" si="13"/>
        <v>75225.653999999995</v>
      </c>
      <c r="H44" s="484"/>
      <c r="I44" s="485"/>
      <c r="J44" s="301"/>
      <c r="K44" s="301"/>
      <c r="L44" s="301"/>
      <c r="M44" s="301"/>
      <c r="N44" s="301"/>
    </row>
    <row r="45" spans="2:14">
      <c r="B45" s="481" t="s">
        <v>102</v>
      </c>
      <c r="C45" s="486">
        <v>350000</v>
      </c>
      <c r="D45" s="410">
        <v>42916</v>
      </c>
      <c r="E45" s="416">
        <v>0</v>
      </c>
      <c r="F45" s="416">
        <v>5786.0829999999996</v>
      </c>
      <c r="G45" s="483">
        <f t="shared" si="13"/>
        <v>5786.0829999999996</v>
      </c>
      <c r="H45" s="487"/>
      <c r="I45" s="488"/>
    </row>
    <row r="46" spans="2:14" s="309" customFormat="1">
      <c r="B46" s="489" t="s">
        <v>102</v>
      </c>
      <c r="C46" s="486">
        <v>500000</v>
      </c>
      <c r="D46" s="490">
        <v>42916</v>
      </c>
      <c r="E46" s="416">
        <v>0</v>
      </c>
      <c r="F46" s="416">
        <v>4995</v>
      </c>
      <c r="G46" s="491">
        <f t="shared" si="13"/>
        <v>4995</v>
      </c>
      <c r="H46" s="487"/>
      <c r="I46" s="488"/>
      <c r="J46" s="301"/>
      <c r="K46" s="301"/>
      <c r="L46" s="301"/>
      <c r="M46" s="301"/>
      <c r="N46" s="301"/>
    </row>
    <row r="47" spans="2:14" s="309" customFormat="1" ht="16.5" thickBot="1">
      <c r="B47" s="492" t="s">
        <v>124</v>
      </c>
      <c r="C47" s="493">
        <v>300000</v>
      </c>
      <c r="D47" s="494">
        <v>42916</v>
      </c>
      <c r="E47" s="373">
        <v>10714</v>
      </c>
      <c r="F47" s="373">
        <v>549.37199999999996</v>
      </c>
      <c r="G47" s="495">
        <f t="shared" si="13"/>
        <v>11263.371999999999</v>
      </c>
      <c r="H47" s="496"/>
      <c r="I47" s="497"/>
      <c r="J47" s="301"/>
      <c r="K47" s="301"/>
      <c r="L47" s="301"/>
      <c r="M47" s="301"/>
      <c r="N47" s="301"/>
    </row>
    <row r="48" spans="2:14" ht="16.5" thickBot="1">
      <c r="B48" s="1019" t="s">
        <v>356</v>
      </c>
      <c r="C48" s="1020"/>
      <c r="D48" s="1022"/>
      <c r="E48" s="315">
        <f>SUM(E41:E47)</f>
        <v>82142.570999999996</v>
      </c>
      <c r="F48" s="316">
        <f>SUM(F41:F47)</f>
        <v>58538.329666666665</v>
      </c>
      <c r="G48" s="317">
        <f>SUM(E48:F48)</f>
        <v>140680.90066666665</v>
      </c>
      <c r="H48" s="318"/>
      <c r="I48" s="314"/>
    </row>
    <row r="49" spans="2:14" s="309" customFormat="1">
      <c r="B49" s="364" t="s">
        <v>124</v>
      </c>
      <c r="C49" s="365">
        <v>1488000</v>
      </c>
      <c r="D49" s="366">
        <v>42942</v>
      </c>
      <c r="E49" s="367">
        <v>106285.71400000001</v>
      </c>
      <c r="F49" s="367">
        <v>12290.762000000001</v>
      </c>
      <c r="G49" s="365">
        <f>SUM(E49:F49)</f>
        <v>118576.47600000001</v>
      </c>
      <c r="H49" s="368"/>
      <c r="I49" s="369"/>
      <c r="J49" s="301"/>
      <c r="K49" s="301"/>
      <c r="L49" s="301"/>
      <c r="M49" s="301"/>
      <c r="N49" s="301"/>
    </row>
    <row r="50" spans="2:14" ht="16.5" thickBot="1">
      <c r="B50" s="370" t="s">
        <v>102</v>
      </c>
      <c r="C50" s="371">
        <v>2418000</v>
      </c>
      <c r="D50" s="372">
        <v>42942</v>
      </c>
      <c r="E50" s="373">
        <v>172714.28599999999</v>
      </c>
      <c r="F50" s="373">
        <v>19104.118999999999</v>
      </c>
      <c r="G50" s="371">
        <f>SUM(E50:F50)</f>
        <v>191818.405</v>
      </c>
      <c r="H50" s="374"/>
      <c r="I50" s="375"/>
    </row>
    <row r="51" spans="2:14" ht="16.5" thickBot="1">
      <c r="B51" s="1019" t="s">
        <v>357</v>
      </c>
      <c r="C51" s="1020"/>
      <c r="D51" s="1021"/>
      <c r="E51" s="315">
        <f>SUM(E49:E50)</f>
        <v>279000</v>
      </c>
      <c r="F51" s="316">
        <f>SUM(F49:F50)</f>
        <v>31394.881000000001</v>
      </c>
      <c r="G51" s="317">
        <f t="shared" ref="G51" si="14">SUM(E51:F51)</f>
        <v>310394.88099999999</v>
      </c>
      <c r="H51" s="342"/>
      <c r="I51" s="314"/>
    </row>
    <row r="52" spans="2:14" ht="16.5" thickBot="1">
      <c r="B52" s="568" t="s">
        <v>105</v>
      </c>
      <c r="C52" s="569">
        <v>800000</v>
      </c>
      <c r="D52" s="570">
        <v>42972</v>
      </c>
      <c r="E52" s="403">
        <v>28571.417000000001</v>
      </c>
      <c r="F52" s="403">
        <v>555</v>
      </c>
      <c r="G52" s="571">
        <f>SUM(E52:F52)</f>
        <v>29126.417000000001</v>
      </c>
      <c r="H52" s="1033" t="s">
        <v>358</v>
      </c>
      <c r="I52" s="1034"/>
    </row>
    <row r="53" spans="2:14" ht="16.5" thickBot="1">
      <c r="B53" s="1019" t="s">
        <v>359</v>
      </c>
      <c r="C53" s="1020"/>
      <c r="D53" s="1021"/>
      <c r="E53" s="315">
        <f>SUM(E52)</f>
        <v>28571.417000000001</v>
      </c>
      <c r="F53" s="316">
        <f>SUM(F52)</f>
        <v>555</v>
      </c>
      <c r="G53" s="317">
        <f t="shared" ref="G53" si="15">SUM(E53:F53)</f>
        <v>29126.417000000001</v>
      </c>
      <c r="H53" s="342"/>
      <c r="I53" s="314"/>
    </row>
    <row r="54" spans="2:14">
      <c r="B54" s="364" t="s">
        <v>102</v>
      </c>
      <c r="C54" s="406">
        <v>500000</v>
      </c>
      <c r="D54" s="366">
        <v>43008</v>
      </c>
      <c r="E54" s="367">
        <v>41666.667000000001</v>
      </c>
      <c r="F54" s="367">
        <v>8280</v>
      </c>
      <c r="G54" s="365">
        <f>SUM(E54:F54)</f>
        <v>49946.667000000001</v>
      </c>
      <c r="H54" s="368"/>
      <c r="I54" s="369"/>
    </row>
    <row r="55" spans="2:14">
      <c r="B55" s="408" t="s">
        <v>102</v>
      </c>
      <c r="C55" s="409">
        <v>1150000</v>
      </c>
      <c r="D55" s="641">
        <v>43008</v>
      </c>
      <c r="E55" s="411">
        <v>95833.333333333328</v>
      </c>
      <c r="F55" s="411">
        <v>19073.388888888887</v>
      </c>
      <c r="G55" s="412">
        <f>SUM(E55:F55)</f>
        <v>114906.72222222222</v>
      </c>
      <c r="H55" s="413"/>
      <c r="I55" s="414"/>
    </row>
    <row r="56" spans="2:14">
      <c r="B56" s="408" t="s">
        <v>102</v>
      </c>
      <c r="C56" s="409">
        <v>1000000</v>
      </c>
      <c r="D56" s="641">
        <v>43008</v>
      </c>
      <c r="E56" s="411">
        <v>83333.333333333328</v>
      </c>
      <c r="F56" s="411">
        <v>16534.444444444445</v>
      </c>
      <c r="G56" s="412">
        <f t="shared" ref="G56:G57" si="16">SUM(E56:F56)</f>
        <v>99867.777777777781</v>
      </c>
      <c r="H56" s="413"/>
      <c r="I56" s="414"/>
    </row>
    <row r="57" spans="2:14">
      <c r="B57" s="408" t="s">
        <v>102</v>
      </c>
      <c r="C57" s="409">
        <v>1000000</v>
      </c>
      <c r="D57" s="410">
        <v>43008</v>
      </c>
      <c r="E57" s="411">
        <v>0</v>
      </c>
      <c r="F57" s="411">
        <v>2559.2060000000001</v>
      </c>
      <c r="G57" s="412">
        <f t="shared" si="16"/>
        <v>2559.2060000000001</v>
      </c>
      <c r="H57" s="413"/>
      <c r="I57" s="414"/>
    </row>
    <row r="58" spans="2:14">
      <c r="B58" s="408" t="s">
        <v>102</v>
      </c>
      <c r="C58" s="415">
        <v>350000</v>
      </c>
      <c r="D58" s="410">
        <v>43008</v>
      </c>
      <c r="E58" s="416">
        <v>29166.667000000001</v>
      </c>
      <c r="F58" s="416">
        <v>5849.6670000000004</v>
      </c>
      <c r="G58" s="642">
        <f t="shared" ref="G58:G63" si="17">SUM(E58:F58)</f>
        <v>35016.334000000003</v>
      </c>
      <c r="H58" s="417"/>
      <c r="I58" s="418"/>
    </row>
    <row r="59" spans="2:14">
      <c r="B59" s="643" t="s">
        <v>102</v>
      </c>
      <c r="C59" s="415">
        <v>500000</v>
      </c>
      <c r="D59" s="490">
        <v>43008</v>
      </c>
      <c r="E59" s="416">
        <v>41666.667000000001</v>
      </c>
      <c r="F59" s="416">
        <v>8510</v>
      </c>
      <c r="G59" s="642">
        <f t="shared" si="17"/>
        <v>50176.667000000001</v>
      </c>
      <c r="H59" s="417"/>
      <c r="I59" s="418"/>
    </row>
    <row r="60" spans="2:14" ht="16.5" thickBot="1">
      <c r="B60" s="370" t="s">
        <v>124</v>
      </c>
      <c r="C60" s="449">
        <v>300000</v>
      </c>
      <c r="D60" s="372">
        <v>43008</v>
      </c>
      <c r="E60" s="373">
        <v>10714</v>
      </c>
      <c r="F60" s="373">
        <v>370.31799999999998</v>
      </c>
      <c r="G60" s="371">
        <f t="shared" si="17"/>
        <v>11084.317999999999</v>
      </c>
      <c r="H60" s="374"/>
      <c r="I60" s="375"/>
    </row>
    <row r="61" spans="2:14" ht="16.5" thickBot="1">
      <c r="B61" s="1019" t="s">
        <v>360</v>
      </c>
      <c r="C61" s="1020"/>
      <c r="D61" s="1022"/>
      <c r="E61" s="315">
        <f>SUM(E54:E60)</f>
        <v>302380.66766666668</v>
      </c>
      <c r="F61" s="316">
        <f>SUM(F54:F60)</f>
        <v>61177.024333333327</v>
      </c>
      <c r="G61" s="317">
        <f t="shared" si="17"/>
        <v>363557.69199999998</v>
      </c>
      <c r="H61" s="342"/>
      <c r="I61" s="314"/>
    </row>
    <row r="62" spans="2:14">
      <c r="B62" s="326" t="s">
        <v>102</v>
      </c>
      <c r="C62" s="332">
        <v>500000</v>
      </c>
      <c r="D62" s="333">
        <v>43100</v>
      </c>
      <c r="E62" s="328">
        <v>0</v>
      </c>
      <c r="F62" s="328">
        <v>7590</v>
      </c>
      <c r="G62" s="327">
        <f t="shared" si="17"/>
        <v>7590</v>
      </c>
      <c r="H62" s="326"/>
      <c r="I62" s="329"/>
    </row>
    <row r="63" spans="2:14">
      <c r="B63" s="334" t="s">
        <v>102</v>
      </c>
      <c r="C63" s="335">
        <v>1150000</v>
      </c>
      <c r="D63" s="336">
        <v>43100</v>
      </c>
      <c r="E63" s="337">
        <v>0</v>
      </c>
      <c r="F63" s="337">
        <v>17483.939814814814</v>
      </c>
      <c r="G63" s="338">
        <f t="shared" si="17"/>
        <v>17483.939814814814</v>
      </c>
      <c r="H63" s="334"/>
      <c r="I63" s="339"/>
    </row>
    <row r="64" spans="2:14">
      <c r="B64" s="334" t="s">
        <v>102</v>
      </c>
      <c r="C64" s="335">
        <v>1000000</v>
      </c>
      <c r="D64" s="336">
        <v>43100</v>
      </c>
      <c r="E64" s="337">
        <v>0</v>
      </c>
      <c r="F64" s="337">
        <v>15156.574074074073</v>
      </c>
      <c r="G64" s="338">
        <f t="shared" ref="G64:G67" si="18">SUM(E64:F64)</f>
        <v>15156.574074074073</v>
      </c>
      <c r="H64" s="334"/>
      <c r="I64" s="339"/>
    </row>
    <row r="65" spans="2:9">
      <c r="B65" s="334" t="s">
        <v>102</v>
      </c>
      <c r="C65" s="335">
        <v>1000000</v>
      </c>
      <c r="D65" s="336">
        <v>43100</v>
      </c>
      <c r="E65" s="337">
        <v>71428.570999999996</v>
      </c>
      <c r="F65" s="337">
        <v>2559.2060000000001</v>
      </c>
      <c r="G65" s="338">
        <f t="shared" si="18"/>
        <v>73987.777000000002</v>
      </c>
      <c r="H65" s="334"/>
      <c r="I65" s="339"/>
    </row>
    <row r="66" spans="2:9">
      <c r="B66" s="334" t="s">
        <v>102</v>
      </c>
      <c r="C66" s="397">
        <v>350000</v>
      </c>
      <c r="D66" s="336">
        <v>43100</v>
      </c>
      <c r="E66" s="398">
        <v>0</v>
      </c>
      <c r="F66" s="398">
        <v>5362.1940000000004</v>
      </c>
      <c r="G66" s="338">
        <f t="shared" si="18"/>
        <v>5362.1940000000004</v>
      </c>
      <c r="H66" s="334"/>
      <c r="I66" s="339"/>
    </row>
    <row r="67" spans="2:9">
      <c r="B67" s="447" t="s">
        <v>102</v>
      </c>
      <c r="C67" s="397">
        <v>500000</v>
      </c>
      <c r="D67" s="448">
        <v>43100</v>
      </c>
      <c r="E67" s="398">
        <v>0</v>
      </c>
      <c r="F67" s="398">
        <v>7801</v>
      </c>
      <c r="G67" s="399">
        <f t="shared" si="18"/>
        <v>7801</v>
      </c>
      <c r="H67" s="334"/>
      <c r="I67" s="339"/>
    </row>
    <row r="68" spans="2:9" ht="16.5" thickBot="1">
      <c r="B68" s="370" t="s">
        <v>124</v>
      </c>
      <c r="C68" s="449">
        <v>300000</v>
      </c>
      <c r="D68" s="572">
        <v>43100</v>
      </c>
      <c r="E68" s="573">
        <v>10722</v>
      </c>
      <c r="F68" s="573">
        <v>185.22800000000001</v>
      </c>
      <c r="G68" s="371">
        <f>SUM(E68:F68)</f>
        <v>10907.227999999999</v>
      </c>
      <c r="H68" s="1024" t="s">
        <v>358</v>
      </c>
      <c r="I68" s="1025"/>
    </row>
    <row r="69" spans="2:9" ht="16.5" thickBot="1">
      <c r="B69" s="1019" t="s">
        <v>361</v>
      </c>
      <c r="C69" s="1020"/>
      <c r="D69" s="1021"/>
      <c r="E69" s="315">
        <f>SUM(E62:E68)</f>
        <v>82150.570999999996</v>
      </c>
      <c r="F69" s="316">
        <f>SUM(F62:F68)</f>
        <v>56138.141888888895</v>
      </c>
      <c r="G69" s="317">
        <f t="shared" ref="G69" si="19">SUM(E69:F69)</f>
        <v>138288.7128888889</v>
      </c>
      <c r="H69" s="318"/>
      <c r="I69" s="314"/>
    </row>
    <row r="70" spans="2:9" ht="16.5" thickBot="1">
      <c r="B70" s="319"/>
      <c r="C70" s="320"/>
      <c r="D70" s="321"/>
      <c r="E70" s="321"/>
      <c r="F70" s="321"/>
      <c r="G70" s="319"/>
      <c r="H70" s="319"/>
      <c r="I70" s="319"/>
    </row>
    <row r="71" spans="2:9" ht="16.5" thickBot="1">
      <c r="B71" s="1026" t="s">
        <v>351</v>
      </c>
      <c r="C71" s="1027"/>
      <c r="D71" s="1028"/>
      <c r="E71" s="322">
        <f>+E69+E61+E53+E51+E48+E40+E38+E31+E29</f>
        <v>1121102.0846666666</v>
      </c>
      <c r="F71" s="322">
        <f>+F69+F61+F53+F51+F48+F40+F38+F31+F29</f>
        <v>299793.43188888888</v>
      </c>
      <c r="G71" s="322">
        <f>+G69+G61+G53+G51+G48+G40+G38+G31+G29</f>
        <v>1420895.5165555554</v>
      </c>
      <c r="H71" s="323"/>
      <c r="I71" s="324"/>
    </row>
  </sheetData>
  <mergeCells count="27">
    <mergeCell ref="H68:I68"/>
    <mergeCell ref="B69:D69"/>
    <mergeCell ref="B71:D71"/>
    <mergeCell ref="B4:C4"/>
    <mergeCell ref="B6:D6"/>
    <mergeCell ref="H17:I17"/>
    <mergeCell ref="B19:D19"/>
    <mergeCell ref="B21:D21"/>
    <mergeCell ref="B61:D61"/>
    <mergeCell ref="B48:D48"/>
    <mergeCell ref="B51:D51"/>
    <mergeCell ref="H52:I52"/>
    <mergeCell ref="B53:D53"/>
    <mergeCell ref="B23:F23"/>
    <mergeCell ref="B24:F24"/>
    <mergeCell ref="B26:C26"/>
    <mergeCell ref="B29:D29"/>
    <mergeCell ref="B31:D31"/>
    <mergeCell ref="B38:D38"/>
    <mergeCell ref="B40:D40"/>
    <mergeCell ref="B1:F1"/>
    <mergeCell ref="B2:F2"/>
    <mergeCell ref="B8:D8"/>
    <mergeCell ref="B10:D10"/>
    <mergeCell ref="B12:D12"/>
    <mergeCell ref="B14:D14"/>
    <mergeCell ref="B16:D16"/>
  </mergeCells>
  <pageMargins left="0.70866141732283472" right="0.70866141732283472" top="0.31496062992125984" bottom="0.74803149606299213" header="0.31496062992125984" footer="0.31496062992125984"/>
  <pageSetup paperSize="9" scale="71" orientation="portrait" horizontalDpi="180" verticalDpi="180" r:id="rId1"/>
  <ignoredErrors>
    <ignoredError sqref="G22:G47 G62:G68 G49:G60 G5:G6 G17 G20 G7:G16 G18:G19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Q156"/>
  <sheetViews>
    <sheetView topLeftCell="A24" workbookViewId="0">
      <selection activeCell="O92" sqref="O92"/>
    </sheetView>
  </sheetViews>
  <sheetFormatPr baseColWidth="10" defaultRowHeight="12.75"/>
  <cols>
    <col min="1" max="1" width="14.42578125" style="1" bestFit="1" customWidth="1"/>
    <col min="2" max="2" width="11.28515625" style="1" bestFit="1" customWidth="1"/>
    <col min="3" max="3" width="12.28515625" style="1" bestFit="1" customWidth="1"/>
    <col min="4" max="4" width="4.7109375" style="1" bestFit="1" customWidth="1"/>
    <col min="5" max="5" width="10.140625" style="2" bestFit="1" customWidth="1"/>
    <col min="6" max="6" width="11.7109375" style="3" customWidth="1"/>
    <col min="7" max="7" width="10.140625" style="1" bestFit="1" customWidth="1"/>
    <col min="8" max="8" width="10.85546875" style="3" bestFit="1" customWidth="1"/>
    <col min="9" max="9" width="9.85546875" style="1" bestFit="1" customWidth="1"/>
    <col min="10" max="10" width="10.42578125" style="1" bestFit="1" customWidth="1"/>
    <col min="11" max="11" width="10.7109375" style="2" customWidth="1"/>
    <col min="12" max="12" width="11.85546875" style="1" customWidth="1"/>
    <col min="13" max="13" width="11.7109375" style="1" bestFit="1" customWidth="1"/>
    <col min="14" max="14" width="10.140625" style="429" bestFit="1" customWidth="1"/>
    <col min="15" max="15" width="13.7109375" style="7" bestFit="1" customWidth="1"/>
    <col min="16" max="16" width="12.5703125" style="1" bestFit="1" customWidth="1"/>
    <col min="17" max="17" width="17.5703125" style="1" bestFit="1" customWidth="1"/>
    <col min="18" max="256" width="11.42578125" style="1"/>
    <col min="257" max="257" width="8.85546875" style="1" bestFit="1" customWidth="1"/>
    <col min="258" max="258" width="10.140625" style="1" bestFit="1" customWidth="1"/>
    <col min="259" max="259" width="12.140625" style="1" bestFit="1" customWidth="1"/>
    <col min="260" max="260" width="4.5703125" style="1" bestFit="1" customWidth="1"/>
    <col min="261" max="261" width="11.28515625" style="1" bestFit="1" customWidth="1"/>
    <col min="262" max="262" width="13.28515625" style="1" bestFit="1" customWidth="1"/>
    <col min="263" max="263" width="12.140625" style="1" bestFit="1" customWidth="1"/>
    <col min="264" max="264" width="14.5703125" style="1" customWidth="1"/>
    <col min="265" max="266" width="12.140625" style="1" bestFit="1" customWidth="1"/>
    <col min="267" max="267" width="11.85546875" style="1" bestFit="1" customWidth="1"/>
    <col min="268" max="268" width="12.140625" style="1" bestFit="1" customWidth="1"/>
    <col min="269" max="269" width="12" style="1" bestFit="1" customWidth="1"/>
    <col min="270" max="270" width="18.7109375" style="1" bestFit="1" customWidth="1"/>
    <col min="271" max="512" width="11.42578125" style="1"/>
    <col min="513" max="513" width="8.85546875" style="1" bestFit="1" customWidth="1"/>
    <col min="514" max="514" width="10.140625" style="1" bestFit="1" customWidth="1"/>
    <col min="515" max="515" width="12.140625" style="1" bestFit="1" customWidth="1"/>
    <col min="516" max="516" width="4.5703125" style="1" bestFit="1" customWidth="1"/>
    <col min="517" max="517" width="11.28515625" style="1" bestFit="1" customWidth="1"/>
    <col min="518" max="518" width="13.28515625" style="1" bestFit="1" customWidth="1"/>
    <col min="519" max="519" width="12.140625" style="1" bestFit="1" customWidth="1"/>
    <col min="520" max="520" width="14.5703125" style="1" customWidth="1"/>
    <col min="521" max="522" width="12.140625" style="1" bestFit="1" customWidth="1"/>
    <col min="523" max="523" width="11.85546875" style="1" bestFit="1" customWidth="1"/>
    <col min="524" max="524" width="12.140625" style="1" bestFit="1" customWidth="1"/>
    <col min="525" max="525" width="12" style="1" bestFit="1" customWidth="1"/>
    <col min="526" max="526" width="18.7109375" style="1" bestFit="1" customWidth="1"/>
    <col min="527" max="768" width="11.42578125" style="1"/>
    <col min="769" max="769" width="8.85546875" style="1" bestFit="1" customWidth="1"/>
    <col min="770" max="770" width="10.140625" style="1" bestFit="1" customWidth="1"/>
    <col min="771" max="771" width="12.140625" style="1" bestFit="1" customWidth="1"/>
    <col min="772" max="772" width="4.5703125" style="1" bestFit="1" customWidth="1"/>
    <col min="773" max="773" width="11.28515625" style="1" bestFit="1" customWidth="1"/>
    <col min="774" max="774" width="13.28515625" style="1" bestFit="1" customWidth="1"/>
    <col min="775" max="775" width="12.140625" style="1" bestFit="1" customWidth="1"/>
    <col min="776" max="776" width="14.5703125" style="1" customWidth="1"/>
    <col min="777" max="778" width="12.140625" style="1" bestFit="1" customWidth="1"/>
    <col min="779" max="779" width="11.85546875" style="1" bestFit="1" customWidth="1"/>
    <col min="780" max="780" width="12.140625" style="1" bestFit="1" customWidth="1"/>
    <col min="781" max="781" width="12" style="1" bestFit="1" customWidth="1"/>
    <col min="782" max="782" width="18.7109375" style="1" bestFit="1" customWidth="1"/>
    <col min="783" max="1024" width="11.42578125" style="1"/>
    <col min="1025" max="1025" width="8.85546875" style="1" bestFit="1" customWidth="1"/>
    <col min="1026" max="1026" width="10.140625" style="1" bestFit="1" customWidth="1"/>
    <col min="1027" max="1027" width="12.140625" style="1" bestFit="1" customWidth="1"/>
    <col min="1028" max="1028" width="4.5703125" style="1" bestFit="1" customWidth="1"/>
    <col min="1029" max="1029" width="11.28515625" style="1" bestFit="1" customWidth="1"/>
    <col min="1030" max="1030" width="13.28515625" style="1" bestFit="1" customWidth="1"/>
    <col min="1031" max="1031" width="12.140625" style="1" bestFit="1" customWidth="1"/>
    <col min="1032" max="1032" width="14.5703125" style="1" customWidth="1"/>
    <col min="1033" max="1034" width="12.140625" style="1" bestFit="1" customWidth="1"/>
    <col min="1035" max="1035" width="11.85546875" style="1" bestFit="1" customWidth="1"/>
    <col min="1036" max="1036" width="12.140625" style="1" bestFit="1" customWidth="1"/>
    <col min="1037" max="1037" width="12" style="1" bestFit="1" customWidth="1"/>
    <col min="1038" max="1038" width="18.7109375" style="1" bestFit="1" customWidth="1"/>
    <col min="1039" max="1280" width="11.42578125" style="1"/>
    <col min="1281" max="1281" width="8.85546875" style="1" bestFit="1" customWidth="1"/>
    <col min="1282" max="1282" width="10.140625" style="1" bestFit="1" customWidth="1"/>
    <col min="1283" max="1283" width="12.140625" style="1" bestFit="1" customWidth="1"/>
    <col min="1284" max="1284" width="4.5703125" style="1" bestFit="1" customWidth="1"/>
    <col min="1285" max="1285" width="11.28515625" style="1" bestFit="1" customWidth="1"/>
    <col min="1286" max="1286" width="13.28515625" style="1" bestFit="1" customWidth="1"/>
    <col min="1287" max="1287" width="12.140625" style="1" bestFit="1" customWidth="1"/>
    <col min="1288" max="1288" width="14.5703125" style="1" customWidth="1"/>
    <col min="1289" max="1290" width="12.140625" style="1" bestFit="1" customWidth="1"/>
    <col min="1291" max="1291" width="11.85546875" style="1" bestFit="1" customWidth="1"/>
    <col min="1292" max="1292" width="12.140625" style="1" bestFit="1" customWidth="1"/>
    <col min="1293" max="1293" width="12" style="1" bestFit="1" customWidth="1"/>
    <col min="1294" max="1294" width="18.7109375" style="1" bestFit="1" customWidth="1"/>
    <col min="1295" max="1536" width="11.42578125" style="1"/>
    <col min="1537" max="1537" width="8.85546875" style="1" bestFit="1" customWidth="1"/>
    <col min="1538" max="1538" width="10.140625" style="1" bestFit="1" customWidth="1"/>
    <col min="1539" max="1539" width="12.140625" style="1" bestFit="1" customWidth="1"/>
    <col min="1540" max="1540" width="4.5703125" style="1" bestFit="1" customWidth="1"/>
    <col min="1541" max="1541" width="11.28515625" style="1" bestFit="1" customWidth="1"/>
    <col min="1542" max="1542" width="13.28515625" style="1" bestFit="1" customWidth="1"/>
    <col min="1543" max="1543" width="12.140625" style="1" bestFit="1" customWidth="1"/>
    <col min="1544" max="1544" width="14.5703125" style="1" customWidth="1"/>
    <col min="1545" max="1546" width="12.140625" style="1" bestFit="1" customWidth="1"/>
    <col min="1547" max="1547" width="11.85546875" style="1" bestFit="1" customWidth="1"/>
    <col min="1548" max="1548" width="12.140625" style="1" bestFit="1" customWidth="1"/>
    <col min="1549" max="1549" width="12" style="1" bestFit="1" customWidth="1"/>
    <col min="1550" max="1550" width="18.7109375" style="1" bestFit="1" customWidth="1"/>
    <col min="1551" max="1792" width="11.42578125" style="1"/>
    <col min="1793" max="1793" width="8.85546875" style="1" bestFit="1" customWidth="1"/>
    <col min="1794" max="1794" width="10.140625" style="1" bestFit="1" customWidth="1"/>
    <col min="1795" max="1795" width="12.140625" style="1" bestFit="1" customWidth="1"/>
    <col min="1796" max="1796" width="4.5703125" style="1" bestFit="1" customWidth="1"/>
    <col min="1797" max="1797" width="11.28515625" style="1" bestFit="1" customWidth="1"/>
    <col min="1798" max="1798" width="13.28515625" style="1" bestFit="1" customWidth="1"/>
    <col min="1799" max="1799" width="12.140625" style="1" bestFit="1" customWidth="1"/>
    <col min="1800" max="1800" width="14.5703125" style="1" customWidth="1"/>
    <col min="1801" max="1802" width="12.140625" style="1" bestFit="1" customWidth="1"/>
    <col min="1803" max="1803" width="11.85546875" style="1" bestFit="1" customWidth="1"/>
    <col min="1804" max="1804" width="12.140625" style="1" bestFit="1" customWidth="1"/>
    <col min="1805" max="1805" width="12" style="1" bestFit="1" customWidth="1"/>
    <col min="1806" max="1806" width="18.7109375" style="1" bestFit="1" customWidth="1"/>
    <col min="1807" max="2048" width="11.42578125" style="1"/>
    <col min="2049" max="2049" width="8.85546875" style="1" bestFit="1" customWidth="1"/>
    <col min="2050" max="2050" width="10.140625" style="1" bestFit="1" customWidth="1"/>
    <col min="2051" max="2051" width="12.140625" style="1" bestFit="1" customWidth="1"/>
    <col min="2052" max="2052" width="4.5703125" style="1" bestFit="1" customWidth="1"/>
    <col min="2053" max="2053" width="11.28515625" style="1" bestFit="1" customWidth="1"/>
    <col min="2054" max="2054" width="13.28515625" style="1" bestFit="1" customWidth="1"/>
    <col min="2055" max="2055" width="12.140625" style="1" bestFit="1" customWidth="1"/>
    <col min="2056" max="2056" width="14.5703125" style="1" customWidth="1"/>
    <col min="2057" max="2058" width="12.140625" style="1" bestFit="1" customWidth="1"/>
    <col min="2059" max="2059" width="11.85546875" style="1" bestFit="1" customWidth="1"/>
    <col min="2060" max="2060" width="12.140625" style="1" bestFit="1" customWidth="1"/>
    <col min="2061" max="2061" width="12" style="1" bestFit="1" customWidth="1"/>
    <col min="2062" max="2062" width="18.7109375" style="1" bestFit="1" customWidth="1"/>
    <col min="2063" max="2304" width="11.42578125" style="1"/>
    <col min="2305" max="2305" width="8.85546875" style="1" bestFit="1" customWidth="1"/>
    <col min="2306" max="2306" width="10.140625" style="1" bestFit="1" customWidth="1"/>
    <col min="2307" max="2307" width="12.140625" style="1" bestFit="1" customWidth="1"/>
    <col min="2308" max="2308" width="4.5703125" style="1" bestFit="1" customWidth="1"/>
    <col min="2309" max="2309" width="11.28515625" style="1" bestFit="1" customWidth="1"/>
    <col min="2310" max="2310" width="13.28515625" style="1" bestFit="1" customWidth="1"/>
    <col min="2311" max="2311" width="12.140625" style="1" bestFit="1" customWidth="1"/>
    <col min="2312" max="2312" width="14.5703125" style="1" customWidth="1"/>
    <col min="2313" max="2314" width="12.140625" style="1" bestFit="1" customWidth="1"/>
    <col min="2315" max="2315" width="11.85546875" style="1" bestFit="1" customWidth="1"/>
    <col min="2316" max="2316" width="12.140625" style="1" bestFit="1" customWidth="1"/>
    <col min="2317" max="2317" width="12" style="1" bestFit="1" customWidth="1"/>
    <col min="2318" max="2318" width="18.7109375" style="1" bestFit="1" customWidth="1"/>
    <col min="2319" max="2560" width="11.42578125" style="1"/>
    <col min="2561" max="2561" width="8.85546875" style="1" bestFit="1" customWidth="1"/>
    <col min="2562" max="2562" width="10.140625" style="1" bestFit="1" customWidth="1"/>
    <col min="2563" max="2563" width="12.140625" style="1" bestFit="1" customWidth="1"/>
    <col min="2564" max="2564" width="4.5703125" style="1" bestFit="1" customWidth="1"/>
    <col min="2565" max="2565" width="11.28515625" style="1" bestFit="1" customWidth="1"/>
    <col min="2566" max="2566" width="13.28515625" style="1" bestFit="1" customWidth="1"/>
    <col min="2567" max="2567" width="12.140625" style="1" bestFit="1" customWidth="1"/>
    <col min="2568" max="2568" width="14.5703125" style="1" customWidth="1"/>
    <col min="2569" max="2570" width="12.140625" style="1" bestFit="1" customWidth="1"/>
    <col min="2571" max="2571" width="11.85546875" style="1" bestFit="1" customWidth="1"/>
    <col min="2572" max="2572" width="12.140625" style="1" bestFit="1" customWidth="1"/>
    <col min="2573" max="2573" width="12" style="1" bestFit="1" customWidth="1"/>
    <col min="2574" max="2574" width="18.7109375" style="1" bestFit="1" customWidth="1"/>
    <col min="2575" max="2816" width="11.42578125" style="1"/>
    <col min="2817" max="2817" width="8.85546875" style="1" bestFit="1" customWidth="1"/>
    <col min="2818" max="2818" width="10.140625" style="1" bestFit="1" customWidth="1"/>
    <col min="2819" max="2819" width="12.140625" style="1" bestFit="1" customWidth="1"/>
    <col min="2820" max="2820" width="4.5703125" style="1" bestFit="1" customWidth="1"/>
    <col min="2821" max="2821" width="11.28515625" style="1" bestFit="1" customWidth="1"/>
    <col min="2822" max="2822" width="13.28515625" style="1" bestFit="1" customWidth="1"/>
    <col min="2823" max="2823" width="12.140625" style="1" bestFit="1" customWidth="1"/>
    <col min="2824" max="2824" width="14.5703125" style="1" customWidth="1"/>
    <col min="2825" max="2826" width="12.140625" style="1" bestFit="1" customWidth="1"/>
    <col min="2827" max="2827" width="11.85546875" style="1" bestFit="1" customWidth="1"/>
    <col min="2828" max="2828" width="12.140625" style="1" bestFit="1" customWidth="1"/>
    <col min="2829" max="2829" width="12" style="1" bestFit="1" customWidth="1"/>
    <col min="2830" max="2830" width="18.7109375" style="1" bestFit="1" customWidth="1"/>
    <col min="2831" max="3072" width="11.42578125" style="1"/>
    <col min="3073" max="3073" width="8.85546875" style="1" bestFit="1" customWidth="1"/>
    <col min="3074" max="3074" width="10.140625" style="1" bestFit="1" customWidth="1"/>
    <col min="3075" max="3075" width="12.140625" style="1" bestFit="1" customWidth="1"/>
    <col min="3076" max="3076" width="4.5703125" style="1" bestFit="1" customWidth="1"/>
    <col min="3077" max="3077" width="11.28515625" style="1" bestFit="1" customWidth="1"/>
    <col min="3078" max="3078" width="13.28515625" style="1" bestFit="1" customWidth="1"/>
    <col min="3079" max="3079" width="12.140625" style="1" bestFit="1" customWidth="1"/>
    <col min="3080" max="3080" width="14.5703125" style="1" customWidth="1"/>
    <col min="3081" max="3082" width="12.140625" style="1" bestFit="1" customWidth="1"/>
    <col min="3083" max="3083" width="11.85546875" style="1" bestFit="1" customWidth="1"/>
    <col min="3084" max="3084" width="12.140625" style="1" bestFit="1" customWidth="1"/>
    <col min="3085" max="3085" width="12" style="1" bestFit="1" customWidth="1"/>
    <col min="3086" max="3086" width="18.7109375" style="1" bestFit="1" customWidth="1"/>
    <col min="3087" max="3328" width="11.42578125" style="1"/>
    <col min="3329" max="3329" width="8.85546875" style="1" bestFit="1" customWidth="1"/>
    <col min="3330" max="3330" width="10.140625" style="1" bestFit="1" customWidth="1"/>
    <col min="3331" max="3331" width="12.140625" style="1" bestFit="1" customWidth="1"/>
    <col min="3332" max="3332" width="4.5703125" style="1" bestFit="1" customWidth="1"/>
    <col min="3333" max="3333" width="11.28515625" style="1" bestFit="1" customWidth="1"/>
    <col min="3334" max="3334" width="13.28515625" style="1" bestFit="1" customWidth="1"/>
    <col min="3335" max="3335" width="12.140625" style="1" bestFit="1" customWidth="1"/>
    <col min="3336" max="3336" width="14.5703125" style="1" customWidth="1"/>
    <col min="3337" max="3338" width="12.140625" style="1" bestFit="1" customWidth="1"/>
    <col min="3339" max="3339" width="11.85546875" style="1" bestFit="1" customWidth="1"/>
    <col min="3340" max="3340" width="12.140625" style="1" bestFit="1" customWidth="1"/>
    <col min="3341" max="3341" width="12" style="1" bestFit="1" customWidth="1"/>
    <col min="3342" max="3342" width="18.7109375" style="1" bestFit="1" customWidth="1"/>
    <col min="3343" max="3584" width="11.42578125" style="1"/>
    <col min="3585" max="3585" width="8.85546875" style="1" bestFit="1" customWidth="1"/>
    <col min="3586" max="3586" width="10.140625" style="1" bestFit="1" customWidth="1"/>
    <col min="3587" max="3587" width="12.140625" style="1" bestFit="1" customWidth="1"/>
    <col min="3588" max="3588" width="4.5703125" style="1" bestFit="1" customWidth="1"/>
    <col min="3589" max="3589" width="11.28515625" style="1" bestFit="1" customWidth="1"/>
    <col min="3590" max="3590" width="13.28515625" style="1" bestFit="1" customWidth="1"/>
    <col min="3591" max="3591" width="12.140625" style="1" bestFit="1" customWidth="1"/>
    <col min="3592" max="3592" width="14.5703125" style="1" customWidth="1"/>
    <col min="3593" max="3594" width="12.140625" style="1" bestFit="1" customWidth="1"/>
    <col min="3595" max="3595" width="11.85546875" style="1" bestFit="1" customWidth="1"/>
    <col min="3596" max="3596" width="12.140625" style="1" bestFit="1" customWidth="1"/>
    <col min="3597" max="3597" width="12" style="1" bestFit="1" customWidth="1"/>
    <col min="3598" max="3598" width="18.7109375" style="1" bestFit="1" customWidth="1"/>
    <col min="3599" max="3840" width="11.42578125" style="1"/>
    <col min="3841" max="3841" width="8.85546875" style="1" bestFit="1" customWidth="1"/>
    <col min="3842" max="3842" width="10.140625" style="1" bestFit="1" customWidth="1"/>
    <col min="3843" max="3843" width="12.140625" style="1" bestFit="1" customWidth="1"/>
    <col min="3844" max="3844" width="4.5703125" style="1" bestFit="1" customWidth="1"/>
    <col min="3845" max="3845" width="11.28515625" style="1" bestFit="1" customWidth="1"/>
    <col min="3846" max="3846" width="13.28515625" style="1" bestFit="1" customWidth="1"/>
    <col min="3847" max="3847" width="12.140625" style="1" bestFit="1" customWidth="1"/>
    <col min="3848" max="3848" width="14.5703125" style="1" customWidth="1"/>
    <col min="3849" max="3850" width="12.140625" style="1" bestFit="1" customWidth="1"/>
    <col min="3851" max="3851" width="11.85546875" style="1" bestFit="1" customWidth="1"/>
    <col min="3852" max="3852" width="12.140625" style="1" bestFit="1" customWidth="1"/>
    <col min="3853" max="3853" width="12" style="1" bestFit="1" customWidth="1"/>
    <col min="3854" max="3854" width="18.7109375" style="1" bestFit="1" customWidth="1"/>
    <col min="3855" max="4096" width="11.42578125" style="1"/>
    <col min="4097" max="4097" width="8.85546875" style="1" bestFit="1" customWidth="1"/>
    <col min="4098" max="4098" width="10.140625" style="1" bestFit="1" customWidth="1"/>
    <col min="4099" max="4099" width="12.140625" style="1" bestFit="1" customWidth="1"/>
    <col min="4100" max="4100" width="4.5703125" style="1" bestFit="1" customWidth="1"/>
    <col min="4101" max="4101" width="11.28515625" style="1" bestFit="1" customWidth="1"/>
    <col min="4102" max="4102" width="13.28515625" style="1" bestFit="1" customWidth="1"/>
    <col min="4103" max="4103" width="12.140625" style="1" bestFit="1" customWidth="1"/>
    <col min="4104" max="4104" width="14.5703125" style="1" customWidth="1"/>
    <col min="4105" max="4106" width="12.140625" style="1" bestFit="1" customWidth="1"/>
    <col min="4107" max="4107" width="11.85546875" style="1" bestFit="1" customWidth="1"/>
    <col min="4108" max="4108" width="12.140625" style="1" bestFit="1" customWidth="1"/>
    <col min="4109" max="4109" width="12" style="1" bestFit="1" customWidth="1"/>
    <col min="4110" max="4110" width="18.7109375" style="1" bestFit="1" customWidth="1"/>
    <col min="4111" max="4352" width="11.42578125" style="1"/>
    <col min="4353" max="4353" width="8.85546875" style="1" bestFit="1" customWidth="1"/>
    <col min="4354" max="4354" width="10.140625" style="1" bestFit="1" customWidth="1"/>
    <col min="4355" max="4355" width="12.140625" style="1" bestFit="1" customWidth="1"/>
    <col min="4356" max="4356" width="4.5703125" style="1" bestFit="1" customWidth="1"/>
    <col min="4357" max="4357" width="11.28515625" style="1" bestFit="1" customWidth="1"/>
    <col min="4358" max="4358" width="13.28515625" style="1" bestFit="1" customWidth="1"/>
    <col min="4359" max="4359" width="12.140625" style="1" bestFit="1" customWidth="1"/>
    <col min="4360" max="4360" width="14.5703125" style="1" customWidth="1"/>
    <col min="4361" max="4362" width="12.140625" style="1" bestFit="1" customWidth="1"/>
    <col min="4363" max="4363" width="11.85546875" style="1" bestFit="1" customWidth="1"/>
    <col min="4364" max="4364" width="12.140625" style="1" bestFit="1" customWidth="1"/>
    <col min="4365" max="4365" width="12" style="1" bestFit="1" customWidth="1"/>
    <col min="4366" max="4366" width="18.7109375" style="1" bestFit="1" customWidth="1"/>
    <col min="4367" max="4608" width="11.42578125" style="1"/>
    <col min="4609" max="4609" width="8.85546875" style="1" bestFit="1" customWidth="1"/>
    <col min="4610" max="4610" width="10.140625" style="1" bestFit="1" customWidth="1"/>
    <col min="4611" max="4611" width="12.140625" style="1" bestFit="1" customWidth="1"/>
    <col min="4612" max="4612" width="4.5703125" style="1" bestFit="1" customWidth="1"/>
    <col min="4613" max="4613" width="11.28515625" style="1" bestFit="1" customWidth="1"/>
    <col min="4614" max="4614" width="13.28515625" style="1" bestFit="1" customWidth="1"/>
    <col min="4615" max="4615" width="12.140625" style="1" bestFit="1" customWidth="1"/>
    <col min="4616" max="4616" width="14.5703125" style="1" customWidth="1"/>
    <col min="4617" max="4618" width="12.140625" style="1" bestFit="1" customWidth="1"/>
    <col min="4619" max="4619" width="11.85546875" style="1" bestFit="1" customWidth="1"/>
    <col min="4620" max="4620" width="12.140625" style="1" bestFit="1" customWidth="1"/>
    <col min="4621" max="4621" width="12" style="1" bestFit="1" customWidth="1"/>
    <col min="4622" max="4622" width="18.7109375" style="1" bestFit="1" customWidth="1"/>
    <col min="4623" max="4864" width="11.42578125" style="1"/>
    <col min="4865" max="4865" width="8.85546875" style="1" bestFit="1" customWidth="1"/>
    <col min="4866" max="4866" width="10.140625" style="1" bestFit="1" customWidth="1"/>
    <col min="4867" max="4867" width="12.140625" style="1" bestFit="1" customWidth="1"/>
    <col min="4868" max="4868" width="4.5703125" style="1" bestFit="1" customWidth="1"/>
    <col min="4869" max="4869" width="11.28515625" style="1" bestFit="1" customWidth="1"/>
    <col min="4870" max="4870" width="13.28515625" style="1" bestFit="1" customWidth="1"/>
    <col min="4871" max="4871" width="12.140625" style="1" bestFit="1" customWidth="1"/>
    <col min="4872" max="4872" width="14.5703125" style="1" customWidth="1"/>
    <col min="4873" max="4874" width="12.140625" style="1" bestFit="1" customWidth="1"/>
    <col min="4875" max="4875" width="11.85546875" style="1" bestFit="1" customWidth="1"/>
    <col min="4876" max="4876" width="12.140625" style="1" bestFit="1" customWidth="1"/>
    <col min="4877" max="4877" width="12" style="1" bestFit="1" customWidth="1"/>
    <col min="4878" max="4878" width="18.7109375" style="1" bestFit="1" customWidth="1"/>
    <col min="4879" max="5120" width="11.42578125" style="1"/>
    <col min="5121" max="5121" width="8.85546875" style="1" bestFit="1" customWidth="1"/>
    <col min="5122" max="5122" width="10.140625" style="1" bestFit="1" customWidth="1"/>
    <col min="5123" max="5123" width="12.140625" style="1" bestFit="1" customWidth="1"/>
    <col min="5124" max="5124" width="4.5703125" style="1" bestFit="1" customWidth="1"/>
    <col min="5125" max="5125" width="11.28515625" style="1" bestFit="1" customWidth="1"/>
    <col min="5126" max="5126" width="13.28515625" style="1" bestFit="1" customWidth="1"/>
    <col min="5127" max="5127" width="12.140625" style="1" bestFit="1" customWidth="1"/>
    <col min="5128" max="5128" width="14.5703125" style="1" customWidth="1"/>
    <col min="5129" max="5130" width="12.140625" style="1" bestFit="1" customWidth="1"/>
    <col min="5131" max="5131" width="11.85546875" style="1" bestFit="1" customWidth="1"/>
    <col min="5132" max="5132" width="12.140625" style="1" bestFit="1" customWidth="1"/>
    <col min="5133" max="5133" width="12" style="1" bestFit="1" customWidth="1"/>
    <col min="5134" max="5134" width="18.7109375" style="1" bestFit="1" customWidth="1"/>
    <col min="5135" max="5376" width="11.42578125" style="1"/>
    <col min="5377" max="5377" width="8.85546875" style="1" bestFit="1" customWidth="1"/>
    <col min="5378" max="5378" width="10.140625" style="1" bestFit="1" customWidth="1"/>
    <col min="5379" max="5379" width="12.140625" style="1" bestFit="1" customWidth="1"/>
    <col min="5380" max="5380" width="4.5703125" style="1" bestFit="1" customWidth="1"/>
    <col min="5381" max="5381" width="11.28515625" style="1" bestFit="1" customWidth="1"/>
    <col min="5382" max="5382" width="13.28515625" style="1" bestFit="1" customWidth="1"/>
    <col min="5383" max="5383" width="12.140625" style="1" bestFit="1" customWidth="1"/>
    <col min="5384" max="5384" width="14.5703125" style="1" customWidth="1"/>
    <col min="5385" max="5386" width="12.140625" style="1" bestFit="1" customWidth="1"/>
    <col min="5387" max="5387" width="11.85546875" style="1" bestFit="1" customWidth="1"/>
    <col min="5388" max="5388" width="12.140625" style="1" bestFit="1" customWidth="1"/>
    <col min="5389" max="5389" width="12" style="1" bestFit="1" customWidth="1"/>
    <col min="5390" max="5390" width="18.7109375" style="1" bestFit="1" customWidth="1"/>
    <col min="5391" max="5632" width="11.42578125" style="1"/>
    <col min="5633" max="5633" width="8.85546875" style="1" bestFit="1" customWidth="1"/>
    <col min="5634" max="5634" width="10.140625" style="1" bestFit="1" customWidth="1"/>
    <col min="5635" max="5635" width="12.140625" style="1" bestFit="1" customWidth="1"/>
    <col min="5636" max="5636" width="4.5703125" style="1" bestFit="1" customWidth="1"/>
    <col min="5637" max="5637" width="11.28515625" style="1" bestFit="1" customWidth="1"/>
    <col min="5638" max="5638" width="13.28515625" style="1" bestFit="1" customWidth="1"/>
    <col min="5639" max="5639" width="12.140625" style="1" bestFit="1" customWidth="1"/>
    <col min="5640" max="5640" width="14.5703125" style="1" customWidth="1"/>
    <col min="5641" max="5642" width="12.140625" style="1" bestFit="1" customWidth="1"/>
    <col min="5643" max="5643" width="11.85546875" style="1" bestFit="1" customWidth="1"/>
    <col min="5644" max="5644" width="12.140625" style="1" bestFit="1" customWidth="1"/>
    <col min="5645" max="5645" width="12" style="1" bestFit="1" customWidth="1"/>
    <col min="5646" max="5646" width="18.7109375" style="1" bestFit="1" customWidth="1"/>
    <col min="5647" max="5888" width="11.42578125" style="1"/>
    <col min="5889" max="5889" width="8.85546875" style="1" bestFit="1" customWidth="1"/>
    <col min="5890" max="5890" width="10.140625" style="1" bestFit="1" customWidth="1"/>
    <col min="5891" max="5891" width="12.140625" style="1" bestFit="1" customWidth="1"/>
    <col min="5892" max="5892" width="4.5703125" style="1" bestFit="1" customWidth="1"/>
    <col min="5893" max="5893" width="11.28515625" style="1" bestFit="1" customWidth="1"/>
    <col min="5894" max="5894" width="13.28515625" style="1" bestFit="1" customWidth="1"/>
    <col min="5895" max="5895" width="12.140625" style="1" bestFit="1" customWidth="1"/>
    <col min="5896" max="5896" width="14.5703125" style="1" customWidth="1"/>
    <col min="5897" max="5898" width="12.140625" style="1" bestFit="1" customWidth="1"/>
    <col min="5899" max="5899" width="11.85546875" style="1" bestFit="1" customWidth="1"/>
    <col min="5900" max="5900" width="12.140625" style="1" bestFit="1" customWidth="1"/>
    <col min="5901" max="5901" width="12" style="1" bestFit="1" customWidth="1"/>
    <col min="5902" max="5902" width="18.7109375" style="1" bestFit="1" customWidth="1"/>
    <col min="5903" max="6144" width="11.42578125" style="1"/>
    <col min="6145" max="6145" width="8.85546875" style="1" bestFit="1" customWidth="1"/>
    <col min="6146" max="6146" width="10.140625" style="1" bestFit="1" customWidth="1"/>
    <col min="6147" max="6147" width="12.140625" style="1" bestFit="1" customWidth="1"/>
    <col min="6148" max="6148" width="4.5703125" style="1" bestFit="1" customWidth="1"/>
    <col min="6149" max="6149" width="11.28515625" style="1" bestFit="1" customWidth="1"/>
    <col min="6150" max="6150" width="13.28515625" style="1" bestFit="1" customWidth="1"/>
    <col min="6151" max="6151" width="12.140625" style="1" bestFit="1" customWidth="1"/>
    <col min="6152" max="6152" width="14.5703125" style="1" customWidth="1"/>
    <col min="6153" max="6154" width="12.140625" style="1" bestFit="1" customWidth="1"/>
    <col min="6155" max="6155" width="11.85546875" style="1" bestFit="1" customWidth="1"/>
    <col min="6156" max="6156" width="12.140625" style="1" bestFit="1" customWidth="1"/>
    <col min="6157" max="6157" width="12" style="1" bestFit="1" customWidth="1"/>
    <col min="6158" max="6158" width="18.7109375" style="1" bestFit="1" customWidth="1"/>
    <col min="6159" max="6400" width="11.42578125" style="1"/>
    <col min="6401" max="6401" width="8.85546875" style="1" bestFit="1" customWidth="1"/>
    <col min="6402" max="6402" width="10.140625" style="1" bestFit="1" customWidth="1"/>
    <col min="6403" max="6403" width="12.140625" style="1" bestFit="1" customWidth="1"/>
    <col min="6404" max="6404" width="4.5703125" style="1" bestFit="1" customWidth="1"/>
    <col min="6405" max="6405" width="11.28515625" style="1" bestFit="1" customWidth="1"/>
    <col min="6406" max="6406" width="13.28515625" style="1" bestFit="1" customWidth="1"/>
    <col min="6407" max="6407" width="12.140625" style="1" bestFit="1" customWidth="1"/>
    <col min="6408" max="6408" width="14.5703125" style="1" customWidth="1"/>
    <col min="6409" max="6410" width="12.140625" style="1" bestFit="1" customWidth="1"/>
    <col min="6411" max="6411" width="11.85546875" style="1" bestFit="1" customWidth="1"/>
    <col min="6412" max="6412" width="12.140625" style="1" bestFit="1" customWidth="1"/>
    <col min="6413" max="6413" width="12" style="1" bestFit="1" customWidth="1"/>
    <col min="6414" max="6414" width="18.7109375" style="1" bestFit="1" customWidth="1"/>
    <col min="6415" max="6656" width="11.42578125" style="1"/>
    <col min="6657" max="6657" width="8.85546875" style="1" bestFit="1" customWidth="1"/>
    <col min="6658" max="6658" width="10.140625" style="1" bestFit="1" customWidth="1"/>
    <col min="6659" max="6659" width="12.140625" style="1" bestFit="1" customWidth="1"/>
    <col min="6660" max="6660" width="4.5703125" style="1" bestFit="1" customWidth="1"/>
    <col min="6661" max="6661" width="11.28515625" style="1" bestFit="1" customWidth="1"/>
    <col min="6662" max="6662" width="13.28515625" style="1" bestFit="1" customWidth="1"/>
    <col min="6663" max="6663" width="12.140625" style="1" bestFit="1" customWidth="1"/>
    <col min="6664" max="6664" width="14.5703125" style="1" customWidth="1"/>
    <col min="6665" max="6666" width="12.140625" style="1" bestFit="1" customWidth="1"/>
    <col min="6667" max="6667" width="11.85546875" style="1" bestFit="1" customWidth="1"/>
    <col min="6668" max="6668" width="12.140625" style="1" bestFit="1" customWidth="1"/>
    <col min="6669" max="6669" width="12" style="1" bestFit="1" customWidth="1"/>
    <col min="6670" max="6670" width="18.7109375" style="1" bestFit="1" customWidth="1"/>
    <col min="6671" max="6912" width="11.42578125" style="1"/>
    <col min="6913" max="6913" width="8.85546875" style="1" bestFit="1" customWidth="1"/>
    <col min="6914" max="6914" width="10.140625" style="1" bestFit="1" customWidth="1"/>
    <col min="6915" max="6915" width="12.140625" style="1" bestFit="1" customWidth="1"/>
    <col min="6916" max="6916" width="4.5703125" style="1" bestFit="1" customWidth="1"/>
    <col min="6917" max="6917" width="11.28515625" style="1" bestFit="1" customWidth="1"/>
    <col min="6918" max="6918" width="13.28515625" style="1" bestFit="1" customWidth="1"/>
    <col min="6919" max="6919" width="12.140625" style="1" bestFit="1" customWidth="1"/>
    <col min="6920" max="6920" width="14.5703125" style="1" customWidth="1"/>
    <col min="6921" max="6922" width="12.140625" style="1" bestFit="1" customWidth="1"/>
    <col min="6923" max="6923" width="11.85546875" style="1" bestFit="1" customWidth="1"/>
    <col min="6924" max="6924" width="12.140625" style="1" bestFit="1" customWidth="1"/>
    <col min="6925" max="6925" width="12" style="1" bestFit="1" customWidth="1"/>
    <col min="6926" max="6926" width="18.7109375" style="1" bestFit="1" customWidth="1"/>
    <col min="6927" max="7168" width="11.42578125" style="1"/>
    <col min="7169" max="7169" width="8.85546875" style="1" bestFit="1" customWidth="1"/>
    <col min="7170" max="7170" width="10.140625" style="1" bestFit="1" customWidth="1"/>
    <col min="7171" max="7171" width="12.140625" style="1" bestFit="1" customWidth="1"/>
    <col min="7172" max="7172" width="4.5703125" style="1" bestFit="1" customWidth="1"/>
    <col min="7173" max="7173" width="11.28515625" style="1" bestFit="1" customWidth="1"/>
    <col min="7174" max="7174" width="13.28515625" style="1" bestFit="1" customWidth="1"/>
    <col min="7175" max="7175" width="12.140625" style="1" bestFit="1" customWidth="1"/>
    <col min="7176" max="7176" width="14.5703125" style="1" customWidth="1"/>
    <col min="7177" max="7178" width="12.140625" style="1" bestFit="1" customWidth="1"/>
    <col min="7179" max="7179" width="11.85546875" style="1" bestFit="1" customWidth="1"/>
    <col min="7180" max="7180" width="12.140625" style="1" bestFit="1" customWidth="1"/>
    <col min="7181" max="7181" width="12" style="1" bestFit="1" customWidth="1"/>
    <col min="7182" max="7182" width="18.7109375" style="1" bestFit="1" customWidth="1"/>
    <col min="7183" max="7424" width="11.42578125" style="1"/>
    <col min="7425" max="7425" width="8.85546875" style="1" bestFit="1" customWidth="1"/>
    <col min="7426" max="7426" width="10.140625" style="1" bestFit="1" customWidth="1"/>
    <col min="7427" max="7427" width="12.140625" style="1" bestFit="1" customWidth="1"/>
    <col min="7428" max="7428" width="4.5703125" style="1" bestFit="1" customWidth="1"/>
    <col min="7429" max="7429" width="11.28515625" style="1" bestFit="1" customWidth="1"/>
    <col min="7430" max="7430" width="13.28515625" style="1" bestFit="1" customWidth="1"/>
    <col min="7431" max="7431" width="12.140625" style="1" bestFit="1" customWidth="1"/>
    <col min="7432" max="7432" width="14.5703125" style="1" customWidth="1"/>
    <col min="7433" max="7434" width="12.140625" style="1" bestFit="1" customWidth="1"/>
    <col min="7435" max="7435" width="11.85546875" style="1" bestFit="1" customWidth="1"/>
    <col min="7436" max="7436" width="12.140625" style="1" bestFit="1" customWidth="1"/>
    <col min="7437" max="7437" width="12" style="1" bestFit="1" customWidth="1"/>
    <col min="7438" max="7438" width="18.7109375" style="1" bestFit="1" customWidth="1"/>
    <col min="7439" max="7680" width="11.42578125" style="1"/>
    <col min="7681" max="7681" width="8.85546875" style="1" bestFit="1" customWidth="1"/>
    <col min="7682" max="7682" width="10.140625" style="1" bestFit="1" customWidth="1"/>
    <col min="7683" max="7683" width="12.140625" style="1" bestFit="1" customWidth="1"/>
    <col min="7684" max="7684" width="4.5703125" style="1" bestFit="1" customWidth="1"/>
    <col min="7685" max="7685" width="11.28515625" style="1" bestFit="1" customWidth="1"/>
    <col min="7686" max="7686" width="13.28515625" style="1" bestFit="1" customWidth="1"/>
    <col min="7687" max="7687" width="12.140625" style="1" bestFit="1" customWidth="1"/>
    <col min="7688" max="7688" width="14.5703125" style="1" customWidth="1"/>
    <col min="7689" max="7690" width="12.140625" style="1" bestFit="1" customWidth="1"/>
    <col min="7691" max="7691" width="11.85546875" style="1" bestFit="1" customWidth="1"/>
    <col min="7692" max="7692" width="12.140625" style="1" bestFit="1" customWidth="1"/>
    <col min="7693" max="7693" width="12" style="1" bestFit="1" customWidth="1"/>
    <col min="7694" max="7694" width="18.7109375" style="1" bestFit="1" customWidth="1"/>
    <col min="7695" max="7936" width="11.42578125" style="1"/>
    <col min="7937" max="7937" width="8.85546875" style="1" bestFit="1" customWidth="1"/>
    <col min="7938" max="7938" width="10.140625" style="1" bestFit="1" customWidth="1"/>
    <col min="7939" max="7939" width="12.140625" style="1" bestFit="1" customWidth="1"/>
    <col min="7940" max="7940" width="4.5703125" style="1" bestFit="1" customWidth="1"/>
    <col min="7941" max="7941" width="11.28515625" style="1" bestFit="1" customWidth="1"/>
    <col min="7942" max="7942" width="13.28515625" style="1" bestFit="1" customWidth="1"/>
    <col min="7943" max="7943" width="12.140625" style="1" bestFit="1" customWidth="1"/>
    <col min="7944" max="7944" width="14.5703125" style="1" customWidth="1"/>
    <col min="7945" max="7946" width="12.140625" style="1" bestFit="1" customWidth="1"/>
    <col min="7947" max="7947" width="11.85546875" style="1" bestFit="1" customWidth="1"/>
    <col min="7948" max="7948" width="12.140625" style="1" bestFit="1" customWidth="1"/>
    <col min="7949" max="7949" width="12" style="1" bestFit="1" customWidth="1"/>
    <col min="7950" max="7950" width="18.7109375" style="1" bestFit="1" customWidth="1"/>
    <col min="7951" max="8192" width="11.42578125" style="1"/>
    <col min="8193" max="8193" width="8.85546875" style="1" bestFit="1" customWidth="1"/>
    <col min="8194" max="8194" width="10.140625" style="1" bestFit="1" customWidth="1"/>
    <col min="8195" max="8195" width="12.140625" style="1" bestFit="1" customWidth="1"/>
    <col min="8196" max="8196" width="4.5703125" style="1" bestFit="1" customWidth="1"/>
    <col min="8197" max="8197" width="11.28515625" style="1" bestFit="1" customWidth="1"/>
    <col min="8198" max="8198" width="13.28515625" style="1" bestFit="1" customWidth="1"/>
    <col min="8199" max="8199" width="12.140625" style="1" bestFit="1" customWidth="1"/>
    <col min="8200" max="8200" width="14.5703125" style="1" customWidth="1"/>
    <col min="8201" max="8202" width="12.140625" style="1" bestFit="1" customWidth="1"/>
    <col min="8203" max="8203" width="11.85546875" style="1" bestFit="1" customWidth="1"/>
    <col min="8204" max="8204" width="12.140625" style="1" bestFit="1" customWidth="1"/>
    <col min="8205" max="8205" width="12" style="1" bestFit="1" customWidth="1"/>
    <col min="8206" max="8206" width="18.7109375" style="1" bestFit="1" customWidth="1"/>
    <col min="8207" max="8448" width="11.42578125" style="1"/>
    <col min="8449" max="8449" width="8.85546875" style="1" bestFit="1" customWidth="1"/>
    <col min="8450" max="8450" width="10.140625" style="1" bestFit="1" customWidth="1"/>
    <col min="8451" max="8451" width="12.140625" style="1" bestFit="1" customWidth="1"/>
    <col min="8452" max="8452" width="4.5703125" style="1" bestFit="1" customWidth="1"/>
    <col min="8453" max="8453" width="11.28515625" style="1" bestFit="1" customWidth="1"/>
    <col min="8454" max="8454" width="13.28515625" style="1" bestFit="1" customWidth="1"/>
    <col min="8455" max="8455" width="12.140625" style="1" bestFit="1" customWidth="1"/>
    <col min="8456" max="8456" width="14.5703125" style="1" customWidth="1"/>
    <col min="8457" max="8458" width="12.140625" style="1" bestFit="1" customWidth="1"/>
    <col min="8459" max="8459" width="11.85546875" style="1" bestFit="1" customWidth="1"/>
    <col min="8460" max="8460" width="12.140625" style="1" bestFit="1" customWidth="1"/>
    <col min="8461" max="8461" width="12" style="1" bestFit="1" customWidth="1"/>
    <col min="8462" max="8462" width="18.7109375" style="1" bestFit="1" customWidth="1"/>
    <col min="8463" max="8704" width="11.42578125" style="1"/>
    <col min="8705" max="8705" width="8.85546875" style="1" bestFit="1" customWidth="1"/>
    <col min="8706" max="8706" width="10.140625" style="1" bestFit="1" customWidth="1"/>
    <col min="8707" max="8707" width="12.140625" style="1" bestFit="1" customWidth="1"/>
    <col min="8708" max="8708" width="4.5703125" style="1" bestFit="1" customWidth="1"/>
    <col min="8709" max="8709" width="11.28515625" style="1" bestFit="1" customWidth="1"/>
    <col min="8710" max="8710" width="13.28515625" style="1" bestFit="1" customWidth="1"/>
    <col min="8711" max="8711" width="12.140625" style="1" bestFit="1" customWidth="1"/>
    <col min="8712" max="8712" width="14.5703125" style="1" customWidth="1"/>
    <col min="8713" max="8714" width="12.140625" style="1" bestFit="1" customWidth="1"/>
    <col min="8715" max="8715" width="11.85546875" style="1" bestFit="1" customWidth="1"/>
    <col min="8716" max="8716" width="12.140625" style="1" bestFit="1" customWidth="1"/>
    <col min="8717" max="8717" width="12" style="1" bestFit="1" customWidth="1"/>
    <col min="8718" max="8718" width="18.7109375" style="1" bestFit="1" customWidth="1"/>
    <col min="8719" max="8960" width="11.42578125" style="1"/>
    <col min="8961" max="8961" width="8.85546875" style="1" bestFit="1" customWidth="1"/>
    <col min="8962" max="8962" width="10.140625" style="1" bestFit="1" customWidth="1"/>
    <col min="8963" max="8963" width="12.140625" style="1" bestFit="1" customWidth="1"/>
    <col min="8964" max="8964" width="4.5703125" style="1" bestFit="1" customWidth="1"/>
    <col min="8965" max="8965" width="11.28515625" style="1" bestFit="1" customWidth="1"/>
    <col min="8966" max="8966" width="13.28515625" style="1" bestFit="1" customWidth="1"/>
    <col min="8967" max="8967" width="12.140625" style="1" bestFit="1" customWidth="1"/>
    <col min="8968" max="8968" width="14.5703125" style="1" customWidth="1"/>
    <col min="8969" max="8970" width="12.140625" style="1" bestFit="1" customWidth="1"/>
    <col min="8971" max="8971" width="11.85546875" style="1" bestFit="1" customWidth="1"/>
    <col min="8972" max="8972" width="12.140625" style="1" bestFit="1" customWidth="1"/>
    <col min="8973" max="8973" width="12" style="1" bestFit="1" customWidth="1"/>
    <col min="8974" max="8974" width="18.7109375" style="1" bestFit="1" customWidth="1"/>
    <col min="8975" max="9216" width="11.42578125" style="1"/>
    <col min="9217" max="9217" width="8.85546875" style="1" bestFit="1" customWidth="1"/>
    <col min="9218" max="9218" width="10.140625" style="1" bestFit="1" customWidth="1"/>
    <col min="9219" max="9219" width="12.140625" style="1" bestFit="1" customWidth="1"/>
    <col min="9220" max="9220" width="4.5703125" style="1" bestFit="1" customWidth="1"/>
    <col min="9221" max="9221" width="11.28515625" style="1" bestFit="1" customWidth="1"/>
    <col min="9222" max="9222" width="13.28515625" style="1" bestFit="1" customWidth="1"/>
    <col min="9223" max="9223" width="12.140625" style="1" bestFit="1" customWidth="1"/>
    <col min="9224" max="9224" width="14.5703125" style="1" customWidth="1"/>
    <col min="9225" max="9226" width="12.140625" style="1" bestFit="1" customWidth="1"/>
    <col min="9227" max="9227" width="11.85546875" style="1" bestFit="1" customWidth="1"/>
    <col min="9228" max="9228" width="12.140625" style="1" bestFit="1" customWidth="1"/>
    <col min="9229" max="9229" width="12" style="1" bestFit="1" customWidth="1"/>
    <col min="9230" max="9230" width="18.7109375" style="1" bestFit="1" customWidth="1"/>
    <col min="9231" max="9472" width="11.42578125" style="1"/>
    <col min="9473" max="9473" width="8.85546875" style="1" bestFit="1" customWidth="1"/>
    <col min="9474" max="9474" width="10.140625" style="1" bestFit="1" customWidth="1"/>
    <col min="9475" max="9475" width="12.140625" style="1" bestFit="1" customWidth="1"/>
    <col min="9476" max="9476" width="4.5703125" style="1" bestFit="1" customWidth="1"/>
    <col min="9477" max="9477" width="11.28515625" style="1" bestFit="1" customWidth="1"/>
    <col min="9478" max="9478" width="13.28515625" style="1" bestFit="1" customWidth="1"/>
    <col min="9479" max="9479" width="12.140625" style="1" bestFit="1" customWidth="1"/>
    <col min="9480" max="9480" width="14.5703125" style="1" customWidth="1"/>
    <col min="9481" max="9482" width="12.140625" style="1" bestFit="1" customWidth="1"/>
    <col min="9483" max="9483" width="11.85546875" style="1" bestFit="1" customWidth="1"/>
    <col min="9484" max="9484" width="12.140625" style="1" bestFit="1" customWidth="1"/>
    <col min="9485" max="9485" width="12" style="1" bestFit="1" customWidth="1"/>
    <col min="9486" max="9486" width="18.7109375" style="1" bestFit="1" customWidth="1"/>
    <col min="9487" max="9728" width="11.42578125" style="1"/>
    <col min="9729" max="9729" width="8.85546875" style="1" bestFit="1" customWidth="1"/>
    <col min="9730" max="9730" width="10.140625" style="1" bestFit="1" customWidth="1"/>
    <col min="9731" max="9731" width="12.140625" style="1" bestFit="1" customWidth="1"/>
    <col min="9732" max="9732" width="4.5703125" style="1" bestFit="1" customWidth="1"/>
    <col min="9733" max="9733" width="11.28515625" style="1" bestFit="1" customWidth="1"/>
    <col min="9734" max="9734" width="13.28515625" style="1" bestFit="1" customWidth="1"/>
    <col min="9735" max="9735" width="12.140625" style="1" bestFit="1" customWidth="1"/>
    <col min="9736" max="9736" width="14.5703125" style="1" customWidth="1"/>
    <col min="9737" max="9738" width="12.140625" style="1" bestFit="1" customWidth="1"/>
    <col min="9739" max="9739" width="11.85546875" style="1" bestFit="1" customWidth="1"/>
    <col min="9740" max="9740" width="12.140625" style="1" bestFit="1" customWidth="1"/>
    <col min="9741" max="9741" width="12" style="1" bestFit="1" customWidth="1"/>
    <col min="9742" max="9742" width="18.7109375" style="1" bestFit="1" customWidth="1"/>
    <col min="9743" max="9984" width="11.42578125" style="1"/>
    <col min="9985" max="9985" width="8.85546875" style="1" bestFit="1" customWidth="1"/>
    <col min="9986" max="9986" width="10.140625" style="1" bestFit="1" customWidth="1"/>
    <col min="9987" max="9987" width="12.140625" style="1" bestFit="1" customWidth="1"/>
    <col min="9988" max="9988" width="4.5703125" style="1" bestFit="1" customWidth="1"/>
    <col min="9989" max="9989" width="11.28515625" style="1" bestFit="1" customWidth="1"/>
    <col min="9990" max="9990" width="13.28515625" style="1" bestFit="1" customWidth="1"/>
    <col min="9991" max="9991" width="12.140625" style="1" bestFit="1" customWidth="1"/>
    <col min="9992" max="9992" width="14.5703125" style="1" customWidth="1"/>
    <col min="9993" max="9994" width="12.140625" style="1" bestFit="1" customWidth="1"/>
    <col min="9995" max="9995" width="11.85546875" style="1" bestFit="1" customWidth="1"/>
    <col min="9996" max="9996" width="12.140625" style="1" bestFit="1" customWidth="1"/>
    <col min="9997" max="9997" width="12" style="1" bestFit="1" customWidth="1"/>
    <col min="9998" max="9998" width="18.7109375" style="1" bestFit="1" customWidth="1"/>
    <col min="9999" max="10240" width="11.42578125" style="1"/>
    <col min="10241" max="10241" width="8.85546875" style="1" bestFit="1" customWidth="1"/>
    <col min="10242" max="10242" width="10.140625" style="1" bestFit="1" customWidth="1"/>
    <col min="10243" max="10243" width="12.140625" style="1" bestFit="1" customWidth="1"/>
    <col min="10244" max="10244" width="4.5703125" style="1" bestFit="1" customWidth="1"/>
    <col min="10245" max="10245" width="11.28515625" style="1" bestFit="1" customWidth="1"/>
    <col min="10246" max="10246" width="13.28515625" style="1" bestFit="1" customWidth="1"/>
    <col min="10247" max="10247" width="12.140625" style="1" bestFit="1" customWidth="1"/>
    <col min="10248" max="10248" width="14.5703125" style="1" customWidth="1"/>
    <col min="10249" max="10250" width="12.140625" style="1" bestFit="1" customWidth="1"/>
    <col min="10251" max="10251" width="11.85546875" style="1" bestFit="1" customWidth="1"/>
    <col min="10252" max="10252" width="12.140625" style="1" bestFit="1" customWidth="1"/>
    <col min="10253" max="10253" width="12" style="1" bestFit="1" customWidth="1"/>
    <col min="10254" max="10254" width="18.7109375" style="1" bestFit="1" customWidth="1"/>
    <col min="10255" max="10496" width="11.42578125" style="1"/>
    <col min="10497" max="10497" width="8.85546875" style="1" bestFit="1" customWidth="1"/>
    <col min="10498" max="10498" width="10.140625" style="1" bestFit="1" customWidth="1"/>
    <col min="10499" max="10499" width="12.140625" style="1" bestFit="1" customWidth="1"/>
    <col min="10500" max="10500" width="4.5703125" style="1" bestFit="1" customWidth="1"/>
    <col min="10501" max="10501" width="11.28515625" style="1" bestFit="1" customWidth="1"/>
    <col min="10502" max="10502" width="13.28515625" style="1" bestFit="1" customWidth="1"/>
    <col min="10503" max="10503" width="12.140625" style="1" bestFit="1" customWidth="1"/>
    <col min="10504" max="10504" width="14.5703125" style="1" customWidth="1"/>
    <col min="10505" max="10506" width="12.140625" style="1" bestFit="1" customWidth="1"/>
    <col min="10507" max="10507" width="11.85546875" style="1" bestFit="1" customWidth="1"/>
    <col min="10508" max="10508" width="12.140625" style="1" bestFit="1" customWidth="1"/>
    <col min="10509" max="10509" width="12" style="1" bestFit="1" customWidth="1"/>
    <col min="10510" max="10510" width="18.7109375" style="1" bestFit="1" customWidth="1"/>
    <col min="10511" max="10752" width="11.42578125" style="1"/>
    <col min="10753" max="10753" width="8.85546875" style="1" bestFit="1" customWidth="1"/>
    <col min="10754" max="10754" width="10.140625" style="1" bestFit="1" customWidth="1"/>
    <col min="10755" max="10755" width="12.140625" style="1" bestFit="1" customWidth="1"/>
    <col min="10756" max="10756" width="4.5703125" style="1" bestFit="1" customWidth="1"/>
    <col min="10757" max="10757" width="11.28515625" style="1" bestFit="1" customWidth="1"/>
    <col min="10758" max="10758" width="13.28515625" style="1" bestFit="1" customWidth="1"/>
    <col min="10759" max="10759" width="12.140625" style="1" bestFit="1" customWidth="1"/>
    <col min="10760" max="10760" width="14.5703125" style="1" customWidth="1"/>
    <col min="10761" max="10762" width="12.140625" style="1" bestFit="1" customWidth="1"/>
    <col min="10763" max="10763" width="11.85546875" style="1" bestFit="1" customWidth="1"/>
    <col min="10764" max="10764" width="12.140625" style="1" bestFit="1" customWidth="1"/>
    <col min="10765" max="10765" width="12" style="1" bestFit="1" customWidth="1"/>
    <col min="10766" max="10766" width="18.7109375" style="1" bestFit="1" customWidth="1"/>
    <col min="10767" max="11008" width="11.42578125" style="1"/>
    <col min="11009" max="11009" width="8.85546875" style="1" bestFit="1" customWidth="1"/>
    <col min="11010" max="11010" width="10.140625" style="1" bestFit="1" customWidth="1"/>
    <col min="11011" max="11011" width="12.140625" style="1" bestFit="1" customWidth="1"/>
    <col min="11012" max="11012" width="4.5703125" style="1" bestFit="1" customWidth="1"/>
    <col min="11013" max="11013" width="11.28515625" style="1" bestFit="1" customWidth="1"/>
    <col min="11014" max="11014" width="13.28515625" style="1" bestFit="1" customWidth="1"/>
    <col min="11015" max="11015" width="12.140625" style="1" bestFit="1" customWidth="1"/>
    <col min="11016" max="11016" width="14.5703125" style="1" customWidth="1"/>
    <col min="11017" max="11018" width="12.140625" style="1" bestFit="1" customWidth="1"/>
    <col min="11019" max="11019" width="11.85546875" style="1" bestFit="1" customWidth="1"/>
    <col min="11020" max="11020" width="12.140625" style="1" bestFit="1" customWidth="1"/>
    <col min="11021" max="11021" width="12" style="1" bestFit="1" customWidth="1"/>
    <col min="11022" max="11022" width="18.7109375" style="1" bestFit="1" customWidth="1"/>
    <col min="11023" max="11264" width="11.42578125" style="1"/>
    <col min="11265" max="11265" width="8.85546875" style="1" bestFit="1" customWidth="1"/>
    <col min="11266" max="11266" width="10.140625" style="1" bestFit="1" customWidth="1"/>
    <col min="11267" max="11267" width="12.140625" style="1" bestFit="1" customWidth="1"/>
    <col min="11268" max="11268" width="4.5703125" style="1" bestFit="1" customWidth="1"/>
    <col min="11269" max="11269" width="11.28515625" style="1" bestFit="1" customWidth="1"/>
    <col min="11270" max="11270" width="13.28515625" style="1" bestFit="1" customWidth="1"/>
    <col min="11271" max="11271" width="12.140625" style="1" bestFit="1" customWidth="1"/>
    <col min="11272" max="11272" width="14.5703125" style="1" customWidth="1"/>
    <col min="11273" max="11274" width="12.140625" style="1" bestFit="1" customWidth="1"/>
    <col min="11275" max="11275" width="11.85546875" style="1" bestFit="1" customWidth="1"/>
    <col min="11276" max="11276" width="12.140625" style="1" bestFit="1" customWidth="1"/>
    <col min="11277" max="11277" width="12" style="1" bestFit="1" customWidth="1"/>
    <col min="11278" max="11278" width="18.7109375" style="1" bestFit="1" customWidth="1"/>
    <col min="11279" max="11520" width="11.42578125" style="1"/>
    <col min="11521" max="11521" width="8.85546875" style="1" bestFit="1" customWidth="1"/>
    <col min="11522" max="11522" width="10.140625" style="1" bestFit="1" customWidth="1"/>
    <col min="11523" max="11523" width="12.140625" style="1" bestFit="1" customWidth="1"/>
    <col min="11524" max="11524" width="4.5703125" style="1" bestFit="1" customWidth="1"/>
    <col min="11525" max="11525" width="11.28515625" style="1" bestFit="1" customWidth="1"/>
    <col min="11526" max="11526" width="13.28515625" style="1" bestFit="1" customWidth="1"/>
    <col min="11527" max="11527" width="12.140625" style="1" bestFit="1" customWidth="1"/>
    <col min="11528" max="11528" width="14.5703125" style="1" customWidth="1"/>
    <col min="11529" max="11530" width="12.140625" style="1" bestFit="1" customWidth="1"/>
    <col min="11531" max="11531" width="11.85546875" style="1" bestFit="1" customWidth="1"/>
    <col min="11532" max="11532" width="12.140625" style="1" bestFit="1" customWidth="1"/>
    <col min="11533" max="11533" width="12" style="1" bestFit="1" customWidth="1"/>
    <col min="11534" max="11534" width="18.7109375" style="1" bestFit="1" customWidth="1"/>
    <col min="11535" max="11776" width="11.42578125" style="1"/>
    <col min="11777" max="11777" width="8.85546875" style="1" bestFit="1" customWidth="1"/>
    <col min="11778" max="11778" width="10.140625" style="1" bestFit="1" customWidth="1"/>
    <col min="11779" max="11779" width="12.140625" style="1" bestFit="1" customWidth="1"/>
    <col min="11780" max="11780" width="4.5703125" style="1" bestFit="1" customWidth="1"/>
    <col min="11781" max="11781" width="11.28515625" style="1" bestFit="1" customWidth="1"/>
    <col min="11782" max="11782" width="13.28515625" style="1" bestFit="1" customWidth="1"/>
    <col min="11783" max="11783" width="12.140625" style="1" bestFit="1" customWidth="1"/>
    <col min="11784" max="11784" width="14.5703125" style="1" customWidth="1"/>
    <col min="11785" max="11786" width="12.140625" style="1" bestFit="1" customWidth="1"/>
    <col min="11787" max="11787" width="11.85546875" style="1" bestFit="1" customWidth="1"/>
    <col min="11788" max="11788" width="12.140625" style="1" bestFit="1" customWidth="1"/>
    <col min="11789" max="11789" width="12" style="1" bestFit="1" customWidth="1"/>
    <col min="11790" max="11790" width="18.7109375" style="1" bestFit="1" customWidth="1"/>
    <col min="11791" max="12032" width="11.42578125" style="1"/>
    <col min="12033" max="12033" width="8.85546875" style="1" bestFit="1" customWidth="1"/>
    <col min="12034" max="12034" width="10.140625" style="1" bestFit="1" customWidth="1"/>
    <col min="12035" max="12035" width="12.140625" style="1" bestFit="1" customWidth="1"/>
    <col min="12036" max="12036" width="4.5703125" style="1" bestFit="1" customWidth="1"/>
    <col min="12037" max="12037" width="11.28515625" style="1" bestFit="1" customWidth="1"/>
    <col min="12038" max="12038" width="13.28515625" style="1" bestFit="1" customWidth="1"/>
    <col min="12039" max="12039" width="12.140625" style="1" bestFit="1" customWidth="1"/>
    <col min="12040" max="12040" width="14.5703125" style="1" customWidth="1"/>
    <col min="12041" max="12042" width="12.140625" style="1" bestFit="1" customWidth="1"/>
    <col min="12043" max="12043" width="11.85546875" style="1" bestFit="1" customWidth="1"/>
    <col min="12044" max="12044" width="12.140625" style="1" bestFit="1" customWidth="1"/>
    <col min="12045" max="12045" width="12" style="1" bestFit="1" customWidth="1"/>
    <col min="12046" max="12046" width="18.7109375" style="1" bestFit="1" customWidth="1"/>
    <col min="12047" max="12288" width="11.42578125" style="1"/>
    <col min="12289" max="12289" width="8.85546875" style="1" bestFit="1" customWidth="1"/>
    <col min="12290" max="12290" width="10.140625" style="1" bestFit="1" customWidth="1"/>
    <col min="12291" max="12291" width="12.140625" style="1" bestFit="1" customWidth="1"/>
    <col min="12292" max="12292" width="4.5703125" style="1" bestFit="1" customWidth="1"/>
    <col min="12293" max="12293" width="11.28515625" style="1" bestFit="1" customWidth="1"/>
    <col min="12294" max="12294" width="13.28515625" style="1" bestFit="1" customWidth="1"/>
    <col min="12295" max="12295" width="12.140625" style="1" bestFit="1" customWidth="1"/>
    <col min="12296" max="12296" width="14.5703125" style="1" customWidth="1"/>
    <col min="12297" max="12298" width="12.140625" style="1" bestFit="1" customWidth="1"/>
    <col min="12299" max="12299" width="11.85546875" style="1" bestFit="1" customWidth="1"/>
    <col min="12300" max="12300" width="12.140625" style="1" bestFit="1" customWidth="1"/>
    <col min="12301" max="12301" width="12" style="1" bestFit="1" customWidth="1"/>
    <col min="12302" max="12302" width="18.7109375" style="1" bestFit="1" customWidth="1"/>
    <col min="12303" max="12544" width="11.42578125" style="1"/>
    <col min="12545" max="12545" width="8.85546875" style="1" bestFit="1" customWidth="1"/>
    <col min="12546" max="12546" width="10.140625" style="1" bestFit="1" customWidth="1"/>
    <col min="12547" max="12547" width="12.140625" style="1" bestFit="1" customWidth="1"/>
    <col min="12548" max="12548" width="4.5703125" style="1" bestFit="1" customWidth="1"/>
    <col min="12549" max="12549" width="11.28515625" style="1" bestFit="1" customWidth="1"/>
    <col min="12550" max="12550" width="13.28515625" style="1" bestFit="1" customWidth="1"/>
    <col min="12551" max="12551" width="12.140625" style="1" bestFit="1" customWidth="1"/>
    <col min="12552" max="12552" width="14.5703125" style="1" customWidth="1"/>
    <col min="12553" max="12554" width="12.140625" style="1" bestFit="1" customWidth="1"/>
    <col min="12555" max="12555" width="11.85546875" style="1" bestFit="1" customWidth="1"/>
    <col min="12556" max="12556" width="12.140625" style="1" bestFit="1" customWidth="1"/>
    <col min="12557" max="12557" width="12" style="1" bestFit="1" customWidth="1"/>
    <col min="12558" max="12558" width="18.7109375" style="1" bestFit="1" customWidth="1"/>
    <col min="12559" max="12800" width="11.42578125" style="1"/>
    <col min="12801" max="12801" width="8.85546875" style="1" bestFit="1" customWidth="1"/>
    <col min="12802" max="12802" width="10.140625" style="1" bestFit="1" customWidth="1"/>
    <col min="12803" max="12803" width="12.140625" style="1" bestFit="1" customWidth="1"/>
    <col min="12804" max="12804" width="4.5703125" style="1" bestFit="1" customWidth="1"/>
    <col min="12805" max="12805" width="11.28515625" style="1" bestFit="1" customWidth="1"/>
    <col min="12806" max="12806" width="13.28515625" style="1" bestFit="1" customWidth="1"/>
    <col min="12807" max="12807" width="12.140625" style="1" bestFit="1" customWidth="1"/>
    <col min="12808" max="12808" width="14.5703125" style="1" customWidth="1"/>
    <col min="12809" max="12810" width="12.140625" style="1" bestFit="1" customWidth="1"/>
    <col min="12811" max="12811" width="11.85546875" style="1" bestFit="1" customWidth="1"/>
    <col min="12812" max="12812" width="12.140625" style="1" bestFit="1" customWidth="1"/>
    <col min="12813" max="12813" width="12" style="1" bestFit="1" customWidth="1"/>
    <col min="12814" max="12814" width="18.7109375" style="1" bestFit="1" customWidth="1"/>
    <col min="12815" max="13056" width="11.42578125" style="1"/>
    <col min="13057" max="13057" width="8.85546875" style="1" bestFit="1" customWidth="1"/>
    <col min="13058" max="13058" width="10.140625" style="1" bestFit="1" customWidth="1"/>
    <col min="13059" max="13059" width="12.140625" style="1" bestFit="1" customWidth="1"/>
    <col min="13060" max="13060" width="4.5703125" style="1" bestFit="1" customWidth="1"/>
    <col min="13061" max="13061" width="11.28515625" style="1" bestFit="1" customWidth="1"/>
    <col min="13062" max="13062" width="13.28515625" style="1" bestFit="1" customWidth="1"/>
    <col min="13063" max="13063" width="12.140625" style="1" bestFit="1" customWidth="1"/>
    <col min="13064" max="13064" width="14.5703125" style="1" customWidth="1"/>
    <col min="13065" max="13066" width="12.140625" style="1" bestFit="1" customWidth="1"/>
    <col min="13067" max="13067" width="11.85546875" style="1" bestFit="1" customWidth="1"/>
    <col min="13068" max="13068" width="12.140625" style="1" bestFit="1" customWidth="1"/>
    <col min="13069" max="13069" width="12" style="1" bestFit="1" customWidth="1"/>
    <col min="13070" max="13070" width="18.7109375" style="1" bestFit="1" customWidth="1"/>
    <col min="13071" max="13312" width="11.42578125" style="1"/>
    <col min="13313" max="13313" width="8.85546875" style="1" bestFit="1" customWidth="1"/>
    <col min="13314" max="13314" width="10.140625" style="1" bestFit="1" customWidth="1"/>
    <col min="13315" max="13315" width="12.140625" style="1" bestFit="1" customWidth="1"/>
    <col min="13316" max="13316" width="4.5703125" style="1" bestFit="1" customWidth="1"/>
    <col min="13317" max="13317" width="11.28515625" style="1" bestFit="1" customWidth="1"/>
    <col min="13318" max="13318" width="13.28515625" style="1" bestFit="1" customWidth="1"/>
    <col min="13319" max="13319" width="12.140625" style="1" bestFit="1" customWidth="1"/>
    <col min="13320" max="13320" width="14.5703125" style="1" customWidth="1"/>
    <col min="13321" max="13322" width="12.140625" style="1" bestFit="1" customWidth="1"/>
    <col min="13323" max="13323" width="11.85546875" style="1" bestFit="1" customWidth="1"/>
    <col min="13324" max="13324" width="12.140625" style="1" bestFit="1" customWidth="1"/>
    <col min="13325" max="13325" width="12" style="1" bestFit="1" customWidth="1"/>
    <col min="13326" max="13326" width="18.7109375" style="1" bestFit="1" customWidth="1"/>
    <col min="13327" max="13568" width="11.42578125" style="1"/>
    <col min="13569" max="13569" width="8.85546875" style="1" bestFit="1" customWidth="1"/>
    <col min="13570" max="13570" width="10.140625" style="1" bestFit="1" customWidth="1"/>
    <col min="13571" max="13571" width="12.140625" style="1" bestFit="1" customWidth="1"/>
    <col min="13572" max="13572" width="4.5703125" style="1" bestFit="1" customWidth="1"/>
    <col min="13573" max="13573" width="11.28515625" style="1" bestFit="1" customWidth="1"/>
    <col min="13574" max="13574" width="13.28515625" style="1" bestFit="1" customWidth="1"/>
    <col min="13575" max="13575" width="12.140625" style="1" bestFit="1" customWidth="1"/>
    <col min="13576" max="13576" width="14.5703125" style="1" customWidth="1"/>
    <col min="13577" max="13578" width="12.140625" style="1" bestFit="1" customWidth="1"/>
    <col min="13579" max="13579" width="11.85546875" style="1" bestFit="1" customWidth="1"/>
    <col min="13580" max="13580" width="12.140625" style="1" bestFit="1" customWidth="1"/>
    <col min="13581" max="13581" width="12" style="1" bestFit="1" customWidth="1"/>
    <col min="13582" max="13582" width="18.7109375" style="1" bestFit="1" customWidth="1"/>
    <col min="13583" max="13824" width="11.42578125" style="1"/>
    <col min="13825" max="13825" width="8.85546875" style="1" bestFit="1" customWidth="1"/>
    <col min="13826" max="13826" width="10.140625" style="1" bestFit="1" customWidth="1"/>
    <col min="13827" max="13827" width="12.140625" style="1" bestFit="1" customWidth="1"/>
    <col min="13828" max="13828" width="4.5703125" style="1" bestFit="1" customWidth="1"/>
    <col min="13829" max="13829" width="11.28515625" style="1" bestFit="1" customWidth="1"/>
    <col min="13830" max="13830" width="13.28515625" style="1" bestFit="1" customWidth="1"/>
    <col min="13831" max="13831" width="12.140625" style="1" bestFit="1" customWidth="1"/>
    <col min="13832" max="13832" width="14.5703125" style="1" customWidth="1"/>
    <col min="13833" max="13834" width="12.140625" style="1" bestFit="1" customWidth="1"/>
    <col min="13835" max="13835" width="11.85546875" style="1" bestFit="1" customWidth="1"/>
    <col min="13836" max="13836" width="12.140625" style="1" bestFit="1" customWidth="1"/>
    <col min="13837" max="13837" width="12" style="1" bestFit="1" customWidth="1"/>
    <col min="13838" max="13838" width="18.7109375" style="1" bestFit="1" customWidth="1"/>
    <col min="13839" max="14080" width="11.42578125" style="1"/>
    <col min="14081" max="14081" width="8.85546875" style="1" bestFit="1" customWidth="1"/>
    <col min="14082" max="14082" width="10.140625" style="1" bestFit="1" customWidth="1"/>
    <col min="14083" max="14083" width="12.140625" style="1" bestFit="1" customWidth="1"/>
    <col min="14084" max="14084" width="4.5703125" style="1" bestFit="1" customWidth="1"/>
    <col min="14085" max="14085" width="11.28515625" style="1" bestFit="1" customWidth="1"/>
    <col min="14086" max="14086" width="13.28515625" style="1" bestFit="1" customWidth="1"/>
    <col min="14087" max="14087" width="12.140625" style="1" bestFit="1" customWidth="1"/>
    <col min="14088" max="14088" width="14.5703125" style="1" customWidth="1"/>
    <col min="14089" max="14090" width="12.140625" style="1" bestFit="1" customWidth="1"/>
    <col min="14091" max="14091" width="11.85546875" style="1" bestFit="1" customWidth="1"/>
    <col min="14092" max="14092" width="12.140625" style="1" bestFit="1" customWidth="1"/>
    <col min="14093" max="14093" width="12" style="1" bestFit="1" customWidth="1"/>
    <col min="14094" max="14094" width="18.7109375" style="1" bestFit="1" customWidth="1"/>
    <col min="14095" max="14336" width="11.42578125" style="1"/>
    <col min="14337" max="14337" width="8.85546875" style="1" bestFit="1" customWidth="1"/>
    <col min="14338" max="14338" width="10.140625" style="1" bestFit="1" customWidth="1"/>
    <col min="14339" max="14339" width="12.140625" style="1" bestFit="1" customWidth="1"/>
    <col min="14340" max="14340" width="4.5703125" style="1" bestFit="1" customWidth="1"/>
    <col min="14341" max="14341" width="11.28515625" style="1" bestFit="1" customWidth="1"/>
    <col min="14342" max="14342" width="13.28515625" style="1" bestFit="1" customWidth="1"/>
    <col min="14343" max="14343" width="12.140625" style="1" bestFit="1" customWidth="1"/>
    <col min="14344" max="14344" width="14.5703125" style="1" customWidth="1"/>
    <col min="14345" max="14346" width="12.140625" style="1" bestFit="1" customWidth="1"/>
    <col min="14347" max="14347" width="11.85546875" style="1" bestFit="1" customWidth="1"/>
    <col min="14348" max="14348" width="12.140625" style="1" bestFit="1" customWidth="1"/>
    <col min="14349" max="14349" width="12" style="1" bestFit="1" customWidth="1"/>
    <col min="14350" max="14350" width="18.7109375" style="1" bestFit="1" customWidth="1"/>
    <col min="14351" max="14592" width="11.42578125" style="1"/>
    <col min="14593" max="14593" width="8.85546875" style="1" bestFit="1" customWidth="1"/>
    <col min="14594" max="14594" width="10.140625" style="1" bestFit="1" customWidth="1"/>
    <col min="14595" max="14595" width="12.140625" style="1" bestFit="1" customWidth="1"/>
    <col min="14596" max="14596" width="4.5703125" style="1" bestFit="1" customWidth="1"/>
    <col min="14597" max="14597" width="11.28515625" style="1" bestFit="1" customWidth="1"/>
    <col min="14598" max="14598" width="13.28515625" style="1" bestFit="1" customWidth="1"/>
    <col min="14599" max="14599" width="12.140625" style="1" bestFit="1" customWidth="1"/>
    <col min="14600" max="14600" width="14.5703125" style="1" customWidth="1"/>
    <col min="14601" max="14602" width="12.140625" style="1" bestFit="1" customWidth="1"/>
    <col min="14603" max="14603" width="11.85546875" style="1" bestFit="1" customWidth="1"/>
    <col min="14604" max="14604" width="12.140625" style="1" bestFit="1" customWidth="1"/>
    <col min="14605" max="14605" width="12" style="1" bestFit="1" customWidth="1"/>
    <col min="14606" max="14606" width="18.7109375" style="1" bestFit="1" customWidth="1"/>
    <col min="14607" max="14848" width="11.42578125" style="1"/>
    <col min="14849" max="14849" width="8.85546875" style="1" bestFit="1" customWidth="1"/>
    <col min="14850" max="14850" width="10.140625" style="1" bestFit="1" customWidth="1"/>
    <col min="14851" max="14851" width="12.140625" style="1" bestFit="1" customWidth="1"/>
    <col min="14852" max="14852" width="4.5703125" style="1" bestFit="1" customWidth="1"/>
    <col min="14853" max="14853" width="11.28515625" style="1" bestFit="1" customWidth="1"/>
    <col min="14854" max="14854" width="13.28515625" style="1" bestFit="1" customWidth="1"/>
    <col min="14855" max="14855" width="12.140625" style="1" bestFit="1" customWidth="1"/>
    <col min="14856" max="14856" width="14.5703125" style="1" customWidth="1"/>
    <col min="14857" max="14858" width="12.140625" style="1" bestFit="1" customWidth="1"/>
    <col min="14859" max="14859" width="11.85546875" style="1" bestFit="1" customWidth="1"/>
    <col min="14860" max="14860" width="12.140625" style="1" bestFit="1" customWidth="1"/>
    <col min="14861" max="14861" width="12" style="1" bestFit="1" customWidth="1"/>
    <col min="14862" max="14862" width="18.7109375" style="1" bestFit="1" customWidth="1"/>
    <col min="14863" max="15104" width="11.42578125" style="1"/>
    <col min="15105" max="15105" width="8.85546875" style="1" bestFit="1" customWidth="1"/>
    <col min="15106" max="15106" width="10.140625" style="1" bestFit="1" customWidth="1"/>
    <col min="15107" max="15107" width="12.140625" style="1" bestFit="1" customWidth="1"/>
    <col min="15108" max="15108" width="4.5703125" style="1" bestFit="1" customWidth="1"/>
    <col min="15109" max="15109" width="11.28515625" style="1" bestFit="1" customWidth="1"/>
    <col min="15110" max="15110" width="13.28515625" style="1" bestFit="1" customWidth="1"/>
    <col min="15111" max="15111" width="12.140625" style="1" bestFit="1" customWidth="1"/>
    <col min="15112" max="15112" width="14.5703125" style="1" customWidth="1"/>
    <col min="15113" max="15114" width="12.140625" style="1" bestFit="1" customWidth="1"/>
    <col min="15115" max="15115" width="11.85546875" style="1" bestFit="1" customWidth="1"/>
    <col min="15116" max="15116" width="12.140625" style="1" bestFit="1" customWidth="1"/>
    <col min="15117" max="15117" width="12" style="1" bestFit="1" customWidth="1"/>
    <col min="15118" max="15118" width="18.7109375" style="1" bestFit="1" customWidth="1"/>
    <col min="15119" max="15360" width="11.42578125" style="1"/>
    <col min="15361" max="15361" width="8.85546875" style="1" bestFit="1" customWidth="1"/>
    <col min="15362" max="15362" width="10.140625" style="1" bestFit="1" customWidth="1"/>
    <col min="15363" max="15363" width="12.140625" style="1" bestFit="1" customWidth="1"/>
    <col min="15364" max="15364" width="4.5703125" style="1" bestFit="1" customWidth="1"/>
    <col min="15365" max="15365" width="11.28515625" style="1" bestFit="1" customWidth="1"/>
    <col min="15366" max="15366" width="13.28515625" style="1" bestFit="1" customWidth="1"/>
    <col min="15367" max="15367" width="12.140625" style="1" bestFit="1" customWidth="1"/>
    <col min="15368" max="15368" width="14.5703125" style="1" customWidth="1"/>
    <col min="15369" max="15370" width="12.140625" style="1" bestFit="1" customWidth="1"/>
    <col min="15371" max="15371" width="11.85546875" style="1" bestFit="1" customWidth="1"/>
    <col min="15372" max="15372" width="12.140625" style="1" bestFit="1" customWidth="1"/>
    <col min="15373" max="15373" width="12" style="1" bestFit="1" customWidth="1"/>
    <col min="15374" max="15374" width="18.7109375" style="1" bestFit="1" customWidth="1"/>
    <col min="15375" max="15616" width="11.42578125" style="1"/>
    <col min="15617" max="15617" width="8.85546875" style="1" bestFit="1" customWidth="1"/>
    <col min="15618" max="15618" width="10.140625" style="1" bestFit="1" customWidth="1"/>
    <col min="15619" max="15619" width="12.140625" style="1" bestFit="1" customWidth="1"/>
    <col min="15620" max="15620" width="4.5703125" style="1" bestFit="1" customWidth="1"/>
    <col min="15621" max="15621" width="11.28515625" style="1" bestFit="1" customWidth="1"/>
    <col min="15622" max="15622" width="13.28515625" style="1" bestFit="1" customWidth="1"/>
    <col min="15623" max="15623" width="12.140625" style="1" bestFit="1" customWidth="1"/>
    <col min="15624" max="15624" width="14.5703125" style="1" customWidth="1"/>
    <col min="15625" max="15626" width="12.140625" style="1" bestFit="1" customWidth="1"/>
    <col min="15627" max="15627" width="11.85546875" style="1" bestFit="1" customWidth="1"/>
    <col min="15628" max="15628" width="12.140625" style="1" bestFit="1" customWidth="1"/>
    <col min="15629" max="15629" width="12" style="1" bestFit="1" customWidth="1"/>
    <col min="15630" max="15630" width="18.7109375" style="1" bestFit="1" customWidth="1"/>
    <col min="15631" max="15872" width="11.42578125" style="1"/>
    <col min="15873" max="15873" width="8.85546875" style="1" bestFit="1" customWidth="1"/>
    <col min="15874" max="15874" width="10.140625" style="1" bestFit="1" customWidth="1"/>
    <col min="15875" max="15875" width="12.140625" style="1" bestFit="1" customWidth="1"/>
    <col min="15876" max="15876" width="4.5703125" style="1" bestFit="1" customWidth="1"/>
    <col min="15877" max="15877" width="11.28515625" style="1" bestFit="1" customWidth="1"/>
    <col min="15878" max="15878" width="13.28515625" style="1" bestFit="1" customWidth="1"/>
    <col min="15879" max="15879" width="12.140625" style="1" bestFit="1" customWidth="1"/>
    <col min="15880" max="15880" width="14.5703125" style="1" customWidth="1"/>
    <col min="15881" max="15882" width="12.140625" style="1" bestFit="1" customWidth="1"/>
    <col min="15883" max="15883" width="11.85546875" style="1" bestFit="1" customWidth="1"/>
    <col min="15884" max="15884" width="12.140625" style="1" bestFit="1" customWidth="1"/>
    <col min="15885" max="15885" width="12" style="1" bestFit="1" customWidth="1"/>
    <col min="15886" max="15886" width="18.7109375" style="1" bestFit="1" customWidth="1"/>
    <col min="15887" max="16128" width="11.42578125" style="1"/>
    <col min="16129" max="16129" width="8.85546875" style="1" bestFit="1" customWidth="1"/>
    <col min="16130" max="16130" width="10.140625" style="1" bestFit="1" customWidth="1"/>
    <col min="16131" max="16131" width="12.140625" style="1" bestFit="1" customWidth="1"/>
    <col min="16132" max="16132" width="4.5703125" style="1" bestFit="1" customWidth="1"/>
    <col min="16133" max="16133" width="11.28515625" style="1" bestFit="1" customWidth="1"/>
    <col min="16134" max="16134" width="13.28515625" style="1" bestFit="1" customWidth="1"/>
    <col min="16135" max="16135" width="12.140625" style="1" bestFit="1" customWidth="1"/>
    <col min="16136" max="16136" width="14.5703125" style="1" customWidth="1"/>
    <col min="16137" max="16138" width="12.140625" style="1" bestFit="1" customWidth="1"/>
    <col min="16139" max="16139" width="11.85546875" style="1" bestFit="1" customWidth="1"/>
    <col min="16140" max="16140" width="12.140625" style="1" bestFit="1" customWidth="1"/>
    <col min="16141" max="16141" width="12" style="1" bestFit="1" customWidth="1"/>
    <col min="16142" max="16142" width="18.7109375" style="1" bestFit="1" customWidth="1"/>
    <col min="16143" max="16384" width="11.42578125" style="1"/>
  </cols>
  <sheetData>
    <row r="1" spans="1:16" ht="13.5" thickBot="1"/>
    <row r="2" spans="1:16" ht="13.5" thickBot="1">
      <c r="A2" s="1051" t="s">
        <v>0</v>
      </c>
      <c r="B2" s="1049" t="s">
        <v>1</v>
      </c>
      <c r="C2" s="1049"/>
      <c r="D2" s="1049"/>
      <c r="E2" s="1049"/>
      <c r="F2" s="1049"/>
      <c r="G2" s="1049"/>
      <c r="H2" s="1050" t="s">
        <v>2</v>
      </c>
      <c r="I2" s="1050"/>
      <c r="J2" s="1050"/>
      <c r="K2" s="1050" t="s">
        <v>3</v>
      </c>
      <c r="L2" s="1050"/>
      <c r="M2" s="1051" t="s">
        <v>4</v>
      </c>
    </row>
    <row r="3" spans="1:16" ht="13.5" thickBot="1">
      <c r="A3" s="1051"/>
      <c r="B3" s="29" t="s">
        <v>5</v>
      </c>
      <c r="C3" s="29" t="s">
        <v>6</v>
      </c>
      <c r="D3" s="29" t="s">
        <v>7</v>
      </c>
      <c r="E3" s="31" t="s">
        <v>8</v>
      </c>
      <c r="F3" s="28" t="s">
        <v>9</v>
      </c>
      <c r="G3" s="30" t="s">
        <v>10</v>
      </c>
      <c r="H3" s="28" t="s">
        <v>11</v>
      </c>
      <c r="I3" s="29" t="s">
        <v>12</v>
      </c>
      <c r="J3" s="30" t="s">
        <v>13</v>
      </c>
      <c r="K3" s="31" t="s">
        <v>11</v>
      </c>
      <c r="L3" s="30" t="s">
        <v>14</v>
      </c>
      <c r="M3" s="1051"/>
    </row>
    <row r="4" spans="1:16" s="6" customFormat="1" ht="13.5" thickBot="1">
      <c r="A4" s="182" t="s">
        <v>17</v>
      </c>
      <c r="B4" s="183" t="s">
        <v>18</v>
      </c>
      <c r="C4" s="184">
        <v>42338</v>
      </c>
      <c r="D4" s="185" t="s">
        <v>19</v>
      </c>
      <c r="E4" s="186">
        <v>185713.44</v>
      </c>
      <c r="F4" s="187">
        <f>+E4*2.0433</f>
        <v>379468.27195199998</v>
      </c>
      <c r="G4" s="188">
        <v>42459</v>
      </c>
      <c r="H4" s="189">
        <v>305000</v>
      </c>
      <c r="I4" s="184"/>
      <c r="J4" s="188">
        <f>+C4+90</f>
        <v>42428</v>
      </c>
      <c r="K4" s="190">
        <f>90414.1+83300*1.12825</f>
        <v>184397.32500000001</v>
      </c>
      <c r="L4" s="191"/>
      <c r="M4" s="192">
        <f t="shared" ref="M4:M17" si="0">E4-K4</f>
        <v>1316.1149999999907</v>
      </c>
      <c r="N4" s="170"/>
      <c r="O4" s="7"/>
    </row>
    <row r="5" spans="1:16" s="6" customFormat="1">
      <c r="A5" s="193" t="s">
        <v>21</v>
      </c>
      <c r="B5" s="194" t="s">
        <v>22</v>
      </c>
      <c r="C5" s="195">
        <v>42389</v>
      </c>
      <c r="D5" s="196" t="s">
        <v>19</v>
      </c>
      <c r="E5" s="197">
        <v>57547.5</v>
      </c>
      <c r="F5" s="198">
        <f>E5*2.0365</f>
        <v>117195.48375000001</v>
      </c>
      <c r="G5" s="199">
        <v>42479</v>
      </c>
      <c r="H5" s="200"/>
      <c r="I5" s="195"/>
      <c r="J5" s="199"/>
      <c r="K5" s="201">
        <v>57547.5</v>
      </c>
      <c r="L5" s="202"/>
      <c r="M5" s="203">
        <f t="shared" si="0"/>
        <v>0</v>
      </c>
      <c r="N5" s="170"/>
      <c r="O5" s="7"/>
    </row>
    <row r="6" spans="1:16" s="6" customFormat="1">
      <c r="A6" s="150" t="s">
        <v>15</v>
      </c>
      <c r="B6" s="151" t="s">
        <v>23</v>
      </c>
      <c r="C6" s="152">
        <v>42394</v>
      </c>
      <c r="D6" s="153" t="s">
        <v>19</v>
      </c>
      <c r="E6" s="154">
        <v>61973.64</v>
      </c>
      <c r="F6" s="155">
        <f>E6*2.03285</f>
        <v>125983.11407399998</v>
      </c>
      <c r="G6" s="156">
        <v>42484</v>
      </c>
      <c r="H6" s="157"/>
      <c r="I6" s="152"/>
      <c r="J6" s="156"/>
      <c r="K6" s="159">
        <v>61973.64</v>
      </c>
      <c r="L6" s="158"/>
      <c r="M6" s="160">
        <f t="shared" si="0"/>
        <v>0</v>
      </c>
      <c r="N6" s="170"/>
      <c r="O6" s="7"/>
    </row>
    <row r="7" spans="1:16" s="6" customFormat="1">
      <c r="A7" s="150" t="s">
        <v>15</v>
      </c>
      <c r="B7" s="151" t="s">
        <v>24</v>
      </c>
      <c r="C7" s="152">
        <v>42422</v>
      </c>
      <c r="D7" s="153" t="s">
        <v>19</v>
      </c>
      <c r="E7" s="154">
        <v>31260.71</v>
      </c>
      <c r="F7" s="155">
        <f>+E7*2.0168</f>
        <v>63046.599927999996</v>
      </c>
      <c r="G7" s="156">
        <f>+C7+90</f>
        <v>42512</v>
      </c>
      <c r="H7" s="157"/>
      <c r="I7" s="152"/>
      <c r="J7" s="156"/>
      <c r="K7" s="159">
        <v>31182.71</v>
      </c>
      <c r="L7" s="158"/>
      <c r="M7" s="160">
        <f t="shared" si="0"/>
        <v>78</v>
      </c>
      <c r="N7" s="170"/>
      <c r="O7" s="7"/>
    </row>
    <row r="8" spans="1:16" s="6" customFormat="1">
      <c r="A8" s="150" t="s">
        <v>17</v>
      </c>
      <c r="B8" s="151" t="s">
        <v>25</v>
      </c>
      <c r="C8" s="152">
        <v>42432</v>
      </c>
      <c r="D8" s="153" t="s">
        <v>19</v>
      </c>
      <c r="E8" s="154">
        <v>97110.5</v>
      </c>
      <c r="F8" s="155">
        <f>E8*2.02425</f>
        <v>196575.92962499999</v>
      </c>
      <c r="G8" s="156">
        <v>42567</v>
      </c>
      <c r="H8" s="157"/>
      <c r="I8" s="152"/>
      <c r="J8" s="156"/>
      <c r="K8" s="159">
        <f>12997+84054</f>
        <v>97051</v>
      </c>
      <c r="L8" s="158"/>
      <c r="M8" s="160">
        <f t="shared" si="0"/>
        <v>59.5</v>
      </c>
      <c r="N8" s="170"/>
      <c r="O8" s="7"/>
    </row>
    <row r="9" spans="1:16" s="5" customFormat="1">
      <c r="A9" s="150" t="s">
        <v>15</v>
      </c>
      <c r="B9" s="151" t="s">
        <v>39</v>
      </c>
      <c r="C9" s="152">
        <v>42445</v>
      </c>
      <c r="D9" s="153" t="s">
        <v>19</v>
      </c>
      <c r="E9" s="154">
        <v>17500.78</v>
      </c>
      <c r="F9" s="155">
        <f>+E9*2.01395</f>
        <v>35245.695881</v>
      </c>
      <c r="G9" s="156">
        <f>C9+90</f>
        <v>42535</v>
      </c>
      <c r="H9" s="157"/>
      <c r="I9" s="152"/>
      <c r="J9" s="156"/>
      <c r="K9" s="159">
        <v>17437.78</v>
      </c>
      <c r="L9" s="158"/>
      <c r="M9" s="160">
        <f t="shared" si="0"/>
        <v>63</v>
      </c>
      <c r="N9" s="170"/>
      <c r="O9" s="50"/>
    </row>
    <row r="10" spans="1:16" s="5" customFormat="1">
      <c r="A10" s="150" t="s">
        <v>17</v>
      </c>
      <c r="B10" s="151" t="s">
        <v>44</v>
      </c>
      <c r="C10" s="152">
        <v>42461</v>
      </c>
      <c r="D10" s="153" t="s">
        <v>19</v>
      </c>
      <c r="E10" s="154">
        <v>15887.8</v>
      </c>
      <c r="F10" s="155">
        <f>E10*1.98505</f>
        <v>31538.077389999999</v>
      </c>
      <c r="G10" s="156">
        <v>42585</v>
      </c>
      <c r="H10" s="157"/>
      <c r="I10" s="152"/>
      <c r="J10" s="156"/>
      <c r="K10" s="159">
        <f>2196.38+13625</f>
        <v>15821.380000000001</v>
      </c>
      <c r="L10" s="158"/>
      <c r="M10" s="160">
        <f t="shared" si="0"/>
        <v>66.419999999998254</v>
      </c>
      <c r="N10" s="170"/>
      <c r="O10" s="50"/>
    </row>
    <row r="11" spans="1:16" s="5" customFormat="1">
      <c r="A11" s="150" t="s">
        <v>15</v>
      </c>
      <c r="B11" s="151" t="s">
        <v>84</v>
      </c>
      <c r="C11" s="152">
        <v>42495</v>
      </c>
      <c r="D11" s="153" t="s">
        <v>19</v>
      </c>
      <c r="E11" s="154">
        <v>13784.67</v>
      </c>
      <c r="F11" s="155">
        <f>+E11*1.98675</f>
        <v>27386.693122500001</v>
      </c>
      <c r="G11" s="156">
        <f>+C11+90</f>
        <v>42585</v>
      </c>
      <c r="H11" s="157"/>
      <c r="I11" s="152"/>
      <c r="J11" s="156"/>
      <c r="K11" s="159">
        <v>13719.17</v>
      </c>
      <c r="L11" s="158"/>
      <c r="M11" s="160">
        <f t="shared" si="0"/>
        <v>65.5</v>
      </c>
      <c r="N11" s="170"/>
      <c r="O11" s="50"/>
    </row>
    <row r="12" spans="1:16" s="4" customFormat="1">
      <c r="A12" s="234" t="s">
        <v>15</v>
      </c>
      <c r="B12" s="235" t="s">
        <v>85</v>
      </c>
      <c r="C12" s="236">
        <v>42495</v>
      </c>
      <c r="D12" s="237" t="s">
        <v>16</v>
      </c>
      <c r="E12" s="238">
        <v>58790.64</v>
      </c>
      <c r="F12" s="239">
        <f>+E12*2.2687</f>
        <v>133378.324968</v>
      </c>
      <c r="G12" s="242">
        <f>+C12+90</f>
        <v>42585</v>
      </c>
      <c r="H12" s="241"/>
      <c r="I12" s="236"/>
      <c r="J12" s="242"/>
      <c r="K12" s="243">
        <f>46740.64+11960</f>
        <v>58700.639999999999</v>
      </c>
      <c r="L12" s="244"/>
      <c r="M12" s="245">
        <f t="shared" si="0"/>
        <v>90</v>
      </c>
      <c r="N12" s="429"/>
      <c r="O12" s="50"/>
    </row>
    <row r="13" spans="1:16" s="6" customFormat="1">
      <c r="A13" s="150" t="s">
        <v>17</v>
      </c>
      <c r="B13" s="151" t="s">
        <v>89</v>
      </c>
      <c r="C13" s="152">
        <v>42506</v>
      </c>
      <c r="D13" s="153" t="s">
        <v>19</v>
      </c>
      <c r="E13" s="154">
        <v>38827.5</v>
      </c>
      <c r="F13" s="155">
        <f>+E13*2.0226</f>
        <v>78532.501500000013</v>
      </c>
      <c r="G13" s="156">
        <v>42630</v>
      </c>
      <c r="H13" s="157"/>
      <c r="I13" s="152"/>
      <c r="J13" s="156"/>
      <c r="K13" s="159">
        <f>5188.54+33549.74</f>
        <v>38738.28</v>
      </c>
      <c r="L13" s="158"/>
      <c r="M13" s="160">
        <f t="shared" si="0"/>
        <v>89.220000000001164</v>
      </c>
      <c r="N13" s="170"/>
      <c r="O13" s="7"/>
    </row>
    <row r="14" spans="1:16" s="5" customFormat="1">
      <c r="A14" s="150" t="s">
        <v>17</v>
      </c>
      <c r="B14" s="151" t="s">
        <v>284</v>
      </c>
      <c r="C14" s="152">
        <v>42542</v>
      </c>
      <c r="D14" s="153" t="s">
        <v>19</v>
      </c>
      <c r="E14" s="154">
        <v>37074</v>
      </c>
      <c r="F14" s="155">
        <f>+E14*2.14625</f>
        <v>79570.072500000009</v>
      </c>
      <c r="G14" s="156">
        <v>42669</v>
      </c>
      <c r="H14" s="157"/>
      <c r="I14" s="152"/>
      <c r="J14" s="156"/>
      <c r="K14" s="159">
        <f>13578+5163.9+18217.5</f>
        <v>36959.4</v>
      </c>
      <c r="L14" s="158"/>
      <c r="M14" s="160">
        <f t="shared" si="0"/>
        <v>114.59999999999854</v>
      </c>
      <c r="N14" s="170"/>
      <c r="O14" s="50"/>
      <c r="P14" s="170"/>
    </row>
    <row r="15" spans="1:16" s="5" customFormat="1">
      <c r="A15" s="150" t="s">
        <v>17</v>
      </c>
      <c r="B15" s="151" t="s">
        <v>285</v>
      </c>
      <c r="C15" s="152">
        <v>42542</v>
      </c>
      <c r="D15" s="153" t="s">
        <v>19</v>
      </c>
      <c r="E15" s="154">
        <v>3480</v>
      </c>
      <c r="F15" s="155">
        <f>+E15*2.14625</f>
        <v>7468.9500000000007</v>
      </c>
      <c r="G15" s="156">
        <v>42669</v>
      </c>
      <c r="H15" s="157"/>
      <c r="I15" s="152"/>
      <c r="J15" s="156"/>
      <c r="K15" s="159">
        <v>3455</v>
      </c>
      <c r="L15" s="158"/>
      <c r="M15" s="160">
        <f t="shared" si="0"/>
        <v>25</v>
      </c>
      <c r="N15" s="170"/>
      <c r="O15" s="50"/>
    </row>
    <row r="16" spans="1:16">
      <c r="A16" s="234" t="s">
        <v>20</v>
      </c>
      <c r="B16" s="235" t="s">
        <v>335</v>
      </c>
      <c r="C16" s="236">
        <v>42695</v>
      </c>
      <c r="D16" s="237" t="s">
        <v>16</v>
      </c>
      <c r="E16" s="238">
        <v>284382.2</v>
      </c>
      <c r="F16" s="239">
        <f>+E16*2.42505</f>
        <v>689641.05411000003</v>
      </c>
      <c r="G16" s="242">
        <f>+C16+60</f>
        <v>42755</v>
      </c>
      <c r="H16" s="241"/>
      <c r="I16" s="236"/>
      <c r="J16" s="242"/>
      <c r="K16" s="243">
        <f>49950+100950+101950+31500</f>
        <v>284350</v>
      </c>
      <c r="L16" s="244"/>
      <c r="M16" s="245">
        <f t="shared" si="0"/>
        <v>32.200000000011642</v>
      </c>
    </row>
    <row r="17" spans="1:17" ht="13.5" thickBot="1">
      <c r="A17" s="171" t="s">
        <v>20</v>
      </c>
      <c r="B17" s="172" t="s">
        <v>346</v>
      </c>
      <c r="C17" s="173">
        <v>42704</v>
      </c>
      <c r="D17" s="174" t="s">
        <v>16</v>
      </c>
      <c r="E17" s="175">
        <v>187097.52</v>
      </c>
      <c r="F17" s="176">
        <f>+E17*2.42625</f>
        <v>453945.3579</v>
      </c>
      <c r="G17" s="177">
        <f>+C17+60</f>
        <v>42764</v>
      </c>
      <c r="H17" s="178"/>
      <c r="I17" s="173"/>
      <c r="J17" s="177"/>
      <c r="K17" s="180">
        <f>102950-31500+103950+11480</f>
        <v>186880</v>
      </c>
      <c r="L17" s="179"/>
      <c r="M17" s="181">
        <f t="shared" si="0"/>
        <v>217.51999999998952</v>
      </c>
    </row>
    <row r="18" spans="1:17" s="89" customFormat="1">
      <c r="A18" s="193" t="s">
        <v>17</v>
      </c>
      <c r="B18" s="194" t="s">
        <v>394</v>
      </c>
      <c r="C18" s="195">
        <v>42765</v>
      </c>
      <c r="D18" s="196" t="s">
        <v>19</v>
      </c>
      <c r="E18" s="197">
        <v>73064.399999999994</v>
      </c>
      <c r="F18" s="198">
        <f>+E18*2.26605</f>
        <v>165567.58361999999</v>
      </c>
      <c r="G18" s="199">
        <f>+C18+120</f>
        <v>42885</v>
      </c>
      <c r="H18" s="200"/>
      <c r="I18" s="195"/>
      <c r="J18" s="199"/>
      <c r="K18" s="201">
        <f>10173.28+62770</f>
        <v>72943.28</v>
      </c>
      <c r="L18" s="202"/>
      <c r="M18" s="203">
        <f>+E18-K18</f>
        <v>121.11999999999534</v>
      </c>
      <c r="N18" s="430"/>
      <c r="O18" s="88"/>
      <c r="Q18" s="381"/>
    </row>
    <row r="19" spans="1:17" s="77" customFormat="1">
      <c r="A19" s="234" t="s">
        <v>397</v>
      </c>
      <c r="B19" s="235" t="s">
        <v>398</v>
      </c>
      <c r="C19" s="236">
        <v>42780</v>
      </c>
      <c r="D19" s="237" t="s">
        <v>16</v>
      </c>
      <c r="E19" s="238">
        <v>17555.59</v>
      </c>
      <c r="F19" s="239">
        <f>+E19*2.4179</f>
        <v>42447.661060999999</v>
      </c>
      <c r="G19" s="242">
        <f>+C19</f>
        <v>42780</v>
      </c>
      <c r="H19" s="241"/>
      <c r="I19" s="236"/>
      <c r="J19" s="242"/>
      <c r="K19" s="243">
        <v>17555.59</v>
      </c>
      <c r="L19" s="244"/>
      <c r="M19" s="245">
        <f>+E19-K19</f>
        <v>0</v>
      </c>
      <c r="N19" s="380"/>
      <c r="O19" s="62"/>
      <c r="P19" s="89"/>
      <c r="Q19" s="381"/>
    </row>
    <row r="20" spans="1:17" s="89" customFormat="1">
      <c r="A20" s="150" t="s">
        <v>17</v>
      </c>
      <c r="B20" s="151" t="s">
        <v>420</v>
      </c>
      <c r="C20" s="152">
        <v>42781</v>
      </c>
      <c r="D20" s="153" t="s">
        <v>19</v>
      </c>
      <c r="E20" s="154">
        <v>17856</v>
      </c>
      <c r="F20" s="155">
        <f>+E20*2.272</f>
        <v>40568.831999999995</v>
      </c>
      <c r="G20" s="156">
        <f t="shared" ref="G20:G25" si="1">+C20+120</f>
        <v>42901</v>
      </c>
      <c r="H20" s="157"/>
      <c r="I20" s="152"/>
      <c r="J20" s="156"/>
      <c r="K20" s="159">
        <f>2549.2+15270</f>
        <v>17819.2</v>
      </c>
      <c r="L20" s="158"/>
      <c r="M20" s="160">
        <f>+E20-K20</f>
        <v>36.799999999999272</v>
      </c>
      <c r="N20" s="430"/>
      <c r="O20" s="88"/>
      <c r="Q20" s="381"/>
    </row>
    <row r="21" spans="1:17" s="6" customFormat="1">
      <c r="A21" s="150" t="s">
        <v>17</v>
      </c>
      <c r="B21" s="151" t="s">
        <v>457</v>
      </c>
      <c r="C21" s="152">
        <v>42844</v>
      </c>
      <c r="D21" s="153" t="s">
        <v>19</v>
      </c>
      <c r="E21" s="154">
        <v>35287.199999999997</v>
      </c>
      <c r="F21" s="155">
        <f>+E21*2.31555</f>
        <v>81709.275959999999</v>
      </c>
      <c r="G21" s="156">
        <f t="shared" si="1"/>
        <v>42964</v>
      </c>
      <c r="H21" s="157"/>
      <c r="I21" s="152"/>
      <c r="J21" s="156"/>
      <c r="K21" s="159">
        <f>5062.04+30100</f>
        <v>35162.04</v>
      </c>
      <c r="L21" s="158"/>
      <c r="M21" s="160">
        <f>+E21-K21</f>
        <v>125.15999999999622</v>
      </c>
      <c r="N21" s="170"/>
      <c r="O21" s="438"/>
      <c r="P21" s="89"/>
      <c r="Q21" s="381"/>
    </row>
    <row r="22" spans="1:17" s="6" customFormat="1">
      <c r="A22" s="150" t="s">
        <v>17</v>
      </c>
      <c r="B22" s="151" t="s">
        <v>499</v>
      </c>
      <c r="C22" s="152">
        <v>42864</v>
      </c>
      <c r="D22" s="153" t="s">
        <v>19</v>
      </c>
      <c r="E22" s="154">
        <v>73647</v>
      </c>
      <c r="F22" s="155">
        <f>+E22*2.39905</f>
        <v>176682.83534999998</v>
      </c>
      <c r="G22" s="156">
        <f t="shared" si="1"/>
        <v>42984</v>
      </c>
      <c r="H22" s="157"/>
      <c r="I22" s="152"/>
      <c r="J22" s="156"/>
      <c r="K22" s="159">
        <f>10380.8+63196.5</f>
        <v>73577.3</v>
      </c>
      <c r="L22" s="158"/>
      <c r="M22" s="160">
        <f>+E22-K22</f>
        <v>69.69999999999709</v>
      </c>
      <c r="N22" s="170"/>
      <c r="O22" s="438"/>
    </row>
    <row r="23" spans="1:17" s="587" customFormat="1">
      <c r="A23" s="150" t="s">
        <v>17</v>
      </c>
      <c r="B23" s="151" t="s">
        <v>502</v>
      </c>
      <c r="C23" s="152">
        <v>42888</v>
      </c>
      <c r="D23" s="153" t="s">
        <v>19</v>
      </c>
      <c r="E23" s="154">
        <v>44179.99</v>
      </c>
      <c r="F23" s="155">
        <f>+E23*2.42865</f>
        <v>107297.73271350001</v>
      </c>
      <c r="G23" s="156">
        <f t="shared" si="1"/>
        <v>43008</v>
      </c>
      <c r="H23" s="157"/>
      <c r="I23" s="152"/>
      <c r="J23" s="156"/>
      <c r="K23" s="159">
        <f>4855.4+39173.04</f>
        <v>44028.44</v>
      </c>
      <c r="L23" s="158"/>
      <c r="M23" s="160">
        <f t="shared" ref="M23:M27" si="2">+E23-K23</f>
        <v>151.54999999999563</v>
      </c>
      <c r="N23" s="634"/>
      <c r="O23" s="635"/>
    </row>
    <row r="24" spans="1:17" s="6" customFormat="1">
      <c r="A24" s="876" t="s">
        <v>17</v>
      </c>
      <c r="B24" s="878" t="s">
        <v>503</v>
      </c>
      <c r="C24" s="879">
        <v>42928</v>
      </c>
      <c r="D24" s="880" t="s">
        <v>19</v>
      </c>
      <c r="E24" s="881">
        <v>92625.75</v>
      </c>
      <c r="F24" s="882">
        <f>+E24*2.4274</f>
        <v>224839.74554999999</v>
      </c>
      <c r="G24" s="883">
        <f t="shared" si="1"/>
        <v>43048</v>
      </c>
      <c r="H24" s="892"/>
      <c r="I24" s="879"/>
      <c r="J24" s="883"/>
      <c r="K24" s="159">
        <f>12804.1+79661.5</f>
        <v>92465.600000000006</v>
      </c>
      <c r="L24" s="895"/>
      <c r="M24" s="899">
        <f t="shared" si="2"/>
        <v>160.14999999999418</v>
      </c>
      <c r="N24" s="170"/>
      <c r="O24" s="438"/>
    </row>
    <row r="25" spans="1:17">
      <c r="A25" s="877" t="s">
        <v>397</v>
      </c>
      <c r="B25" s="884" t="s">
        <v>649</v>
      </c>
      <c r="C25" s="885">
        <v>42998</v>
      </c>
      <c r="D25" s="886" t="s">
        <v>16</v>
      </c>
      <c r="E25" s="887">
        <v>17117.849999999999</v>
      </c>
      <c r="F25" s="888">
        <f>+E25*2.9097</f>
        <v>49807.808144999995</v>
      </c>
      <c r="G25" s="889">
        <f t="shared" si="1"/>
        <v>43118</v>
      </c>
      <c r="H25" s="893"/>
      <c r="I25" s="885"/>
      <c r="J25" s="889"/>
      <c r="K25" s="896">
        <v>17117.849999999999</v>
      </c>
      <c r="L25" s="897"/>
      <c r="M25" s="900">
        <f t="shared" si="2"/>
        <v>0</v>
      </c>
    </row>
    <row r="26" spans="1:17" s="6" customFormat="1">
      <c r="A26" s="8" t="s">
        <v>17</v>
      </c>
      <c r="B26" s="260" t="s">
        <v>961</v>
      </c>
      <c r="C26" s="890">
        <v>43054</v>
      </c>
      <c r="D26" s="258" t="s">
        <v>19</v>
      </c>
      <c r="E26" s="259">
        <v>71193.600000000006</v>
      </c>
      <c r="F26" s="261">
        <f>+E26*2.4747</f>
        <v>176182.80192</v>
      </c>
      <c r="G26" s="891">
        <f>+C26+120</f>
        <v>43174</v>
      </c>
      <c r="H26" s="894"/>
      <c r="I26" s="890"/>
      <c r="J26" s="891"/>
      <c r="K26" s="257"/>
      <c r="L26" s="898"/>
      <c r="M26" s="901">
        <f t="shared" si="2"/>
        <v>71193.600000000006</v>
      </c>
      <c r="N26" s="170"/>
      <c r="O26" s="438"/>
    </row>
    <row r="27" spans="1:17">
      <c r="A27" s="877" t="s">
        <v>397</v>
      </c>
      <c r="B27" s="884" t="s">
        <v>1071</v>
      </c>
      <c r="C27" s="885">
        <v>43073</v>
      </c>
      <c r="D27" s="886" t="s">
        <v>16</v>
      </c>
      <c r="E27" s="887">
        <v>16991.82</v>
      </c>
      <c r="F27" s="888">
        <f>+E27*2.9231</f>
        <v>49668.789041999997</v>
      </c>
      <c r="G27" s="889">
        <f>+C27+0</f>
        <v>43073</v>
      </c>
      <c r="H27" s="893"/>
      <c r="I27" s="885"/>
      <c r="J27" s="889"/>
      <c r="K27" s="896">
        <v>16991.82</v>
      </c>
      <c r="L27" s="897"/>
      <c r="M27" s="900">
        <f t="shared" si="2"/>
        <v>0</v>
      </c>
    </row>
    <row r="28" spans="1:17" s="6" customFormat="1">
      <c r="A28" s="8" t="s">
        <v>17</v>
      </c>
      <c r="B28" s="260" t="s">
        <v>1128</v>
      </c>
      <c r="C28" s="890">
        <v>43084</v>
      </c>
      <c r="D28" s="258" t="s">
        <v>19</v>
      </c>
      <c r="E28" s="259">
        <v>72028.800000000003</v>
      </c>
      <c r="F28" s="261">
        <f>+E28*2.4744</f>
        <v>178228.06272000002</v>
      </c>
      <c r="G28" s="891">
        <f>+C28+120</f>
        <v>43204</v>
      </c>
      <c r="H28" s="894"/>
      <c r="I28" s="890"/>
      <c r="J28" s="891"/>
      <c r="K28" s="257"/>
      <c r="L28" s="898"/>
      <c r="M28" s="901">
        <f t="shared" ref="M28" si="3">+E28-K28</f>
        <v>72028.800000000003</v>
      </c>
      <c r="N28" s="170"/>
      <c r="O28" s="438"/>
    </row>
    <row r="29" spans="1:17" s="6" customFormat="1" ht="13.5" thickBot="1">
      <c r="A29" s="9"/>
      <c r="B29" s="10"/>
      <c r="C29" s="11"/>
      <c r="D29" s="12"/>
      <c r="E29" s="13"/>
      <c r="F29" s="14"/>
      <c r="G29" s="15"/>
      <c r="H29" s="16"/>
      <c r="I29" s="11"/>
      <c r="J29" s="15"/>
      <c r="K29" s="17"/>
      <c r="L29" s="18"/>
      <c r="M29" s="902"/>
      <c r="N29" s="170"/>
      <c r="O29" s="438"/>
    </row>
    <row r="30" spans="1:17" s="25" customFormat="1" ht="13.5" thickBot="1">
      <c r="A30" s="20"/>
      <c r="B30" s="20"/>
      <c r="C30" s="21"/>
      <c r="D30" s="20"/>
      <c r="E30" s="22"/>
      <c r="F30" s="23"/>
      <c r="G30" s="21"/>
      <c r="H30" s="23"/>
      <c r="I30" s="21"/>
      <c r="J30" s="21"/>
      <c r="K30" s="22"/>
      <c r="L30" s="20"/>
      <c r="M30" s="24"/>
      <c r="N30" s="431"/>
      <c r="O30" s="7"/>
    </row>
    <row r="31" spans="1:17" ht="13.5" thickBot="1">
      <c r="A31" s="1047" t="s">
        <v>0</v>
      </c>
      <c r="B31" s="1049" t="s">
        <v>1</v>
      </c>
      <c r="C31" s="1049"/>
      <c r="D31" s="1049"/>
      <c r="E31" s="1049"/>
      <c r="F31" s="1049"/>
      <c r="G31" s="1049"/>
      <c r="H31" s="1050" t="s">
        <v>2</v>
      </c>
      <c r="I31" s="1050"/>
      <c r="J31" s="1050"/>
      <c r="K31" s="1050" t="s">
        <v>3</v>
      </c>
      <c r="L31" s="1050"/>
      <c r="M31" s="1047" t="s">
        <v>4</v>
      </c>
    </row>
    <row r="32" spans="1:17" ht="13.5" thickBot="1">
      <c r="A32" s="1048"/>
      <c r="B32" s="29" t="s">
        <v>5</v>
      </c>
      <c r="C32" s="29" t="s">
        <v>6</v>
      </c>
      <c r="D32" s="29" t="s">
        <v>7</v>
      </c>
      <c r="E32" s="31" t="s">
        <v>8</v>
      </c>
      <c r="F32" s="28" t="s">
        <v>9</v>
      </c>
      <c r="G32" s="30" t="s">
        <v>10</v>
      </c>
      <c r="H32" s="28" t="s">
        <v>11</v>
      </c>
      <c r="I32" s="29" t="s">
        <v>12</v>
      </c>
      <c r="J32" s="30" t="s">
        <v>13</v>
      </c>
      <c r="K32" s="31" t="s">
        <v>11</v>
      </c>
      <c r="L32" s="32" t="s">
        <v>14</v>
      </c>
      <c r="M32" s="1048"/>
    </row>
    <row r="33" spans="1:16" s="47" customFormat="1">
      <c r="A33" s="51" t="s">
        <v>17</v>
      </c>
      <c r="B33" s="52" t="s">
        <v>26</v>
      </c>
      <c r="C33" s="53">
        <v>40680</v>
      </c>
      <c r="D33" s="54" t="s">
        <v>16</v>
      </c>
      <c r="E33" s="55">
        <v>5190.95</v>
      </c>
      <c r="F33" s="56">
        <f>+E33*1.95835</f>
        <v>10165.696932499999</v>
      </c>
      <c r="G33" s="57">
        <f>+C33+90</f>
        <v>40770</v>
      </c>
      <c r="H33" s="58"/>
      <c r="I33" s="55"/>
      <c r="J33" s="57"/>
      <c r="K33" s="59"/>
      <c r="L33" s="60"/>
      <c r="M33" s="61">
        <f>+E33-K33</f>
        <v>5190.95</v>
      </c>
      <c r="N33" s="299"/>
      <c r="O33" s="62"/>
    </row>
    <row r="34" spans="1:16" s="6" customFormat="1" hidden="1">
      <c r="A34" s="150" t="s">
        <v>17</v>
      </c>
      <c r="B34" s="151" t="s">
        <v>27</v>
      </c>
      <c r="C34" s="152">
        <v>42356</v>
      </c>
      <c r="D34" s="153" t="s">
        <v>19</v>
      </c>
      <c r="E34" s="154">
        <v>217912.86</v>
      </c>
      <c r="F34" s="155">
        <f>E34*2.01185</f>
        <v>438407.98739099997</v>
      </c>
      <c r="G34" s="156">
        <v>42485</v>
      </c>
      <c r="H34" s="157"/>
      <c r="I34" s="153"/>
      <c r="J34" s="158"/>
      <c r="K34" s="159">
        <f>113564.6+104348.26</f>
        <v>217912.86</v>
      </c>
      <c r="L34" s="158"/>
      <c r="M34" s="160">
        <f t="shared" ref="M34:M66" si="4">E34-K34</f>
        <v>0</v>
      </c>
      <c r="N34" s="170"/>
      <c r="O34" s="7"/>
      <c r="P34" s="90"/>
    </row>
    <row r="35" spans="1:16" s="26" customFormat="1" hidden="1">
      <c r="A35" s="234" t="s">
        <v>20</v>
      </c>
      <c r="B35" s="235" t="s">
        <v>28</v>
      </c>
      <c r="C35" s="236">
        <v>42359</v>
      </c>
      <c r="D35" s="237" t="s">
        <v>16</v>
      </c>
      <c r="E35" s="238">
        <v>694484.64</v>
      </c>
      <c r="F35" s="239">
        <f>E35*2.19375</f>
        <v>1523525.679</v>
      </c>
      <c r="G35" s="242">
        <v>42456</v>
      </c>
      <c r="H35" s="241"/>
      <c r="I35" s="237"/>
      <c r="J35" s="244"/>
      <c r="K35" s="243">
        <f>49960-39400+88520+100950+99945+49934.5+99924.5+24900+24960+49900+29960+29982+34949.5+21960+28000</f>
        <v>694445.5</v>
      </c>
      <c r="L35" s="244"/>
      <c r="M35" s="245">
        <f t="shared" si="4"/>
        <v>39.14000000001397</v>
      </c>
      <c r="N35" s="432"/>
      <c r="O35" s="7"/>
    </row>
    <row r="36" spans="1:16" ht="13.5" hidden="1" thickBot="1">
      <c r="A36" s="171" t="s">
        <v>17</v>
      </c>
      <c r="B36" s="172" t="s">
        <v>29</v>
      </c>
      <c r="C36" s="173">
        <v>42363</v>
      </c>
      <c r="D36" s="174" t="s">
        <v>16</v>
      </c>
      <c r="E36" s="175">
        <v>2590.8000000000002</v>
      </c>
      <c r="F36" s="176">
        <f>+E36*2.19995</f>
        <v>5699.6304600000003</v>
      </c>
      <c r="G36" s="177">
        <v>42485</v>
      </c>
      <c r="H36" s="178"/>
      <c r="I36" s="174"/>
      <c r="J36" s="179"/>
      <c r="K36" s="180">
        <v>2783.74</v>
      </c>
      <c r="L36" s="179"/>
      <c r="M36" s="181">
        <f t="shared" si="4"/>
        <v>-192.9399999999996</v>
      </c>
      <c r="P36" s="2"/>
    </row>
    <row r="37" spans="1:16" hidden="1">
      <c r="A37" s="224" t="s">
        <v>15</v>
      </c>
      <c r="B37" s="225" t="s">
        <v>30</v>
      </c>
      <c r="C37" s="226">
        <v>42388</v>
      </c>
      <c r="D37" s="227" t="s">
        <v>16</v>
      </c>
      <c r="E37" s="228">
        <v>70769.149999999994</v>
      </c>
      <c r="F37" s="229">
        <f>E37*2.21425</f>
        <v>156700.59038749998</v>
      </c>
      <c r="G37" s="230">
        <v>42478</v>
      </c>
      <c r="H37" s="231"/>
      <c r="I37" s="226"/>
      <c r="J37" s="230"/>
      <c r="K37" s="232">
        <f>20719.15+24950+24950</f>
        <v>70619.149999999994</v>
      </c>
      <c r="L37" s="230"/>
      <c r="M37" s="233">
        <f t="shared" si="4"/>
        <v>150</v>
      </c>
      <c r="N37" s="2"/>
    </row>
    <row r="38" spans="1:16" s="5" customFormat="1" hidden="1">
      <c r="A38" s="150" t="s">
        <v>17</v>
      </c>
      <c r="B38" s="151" t="s">
        <v>31</v>
      </c>
      <c r="C38" s="152">
        <v>42394</v>
      </c>
      <c r="D38" s="153" t="s">
        <v>19</v>
      </c>
      <c r="E38" s="154">
        <v>120772.23</v>
      </c>
      <c r="F38" s="155">
        <f>+E38*2.0293</f>
        <v>245083.086339</v>
      </c>
      <c r="G38" s="156">
        <v>42522</v>
      </c>
      <c r="H38" s="157"/>
      <c r="I38" s="153"/>
      <c r="J38" s="158"/>
      <c r="K38" s="159">
        <f>61633.4-K39+60440.56</f>
        <v>120729.95999999999</v>
      </c>
      <c r="L38" s="158"/>
      <c r="M38" s="160">
        <f t="shared" si="4"/>
        <v>42.270000000004075</v>
      </c>
      <c r="N38" s="170"/>
      <c r="O38" s="50"/>
      <c r="P38" s="170"/>
    </row>
    <row r="39" spans="1:16" s="5" customFormat="1" hidden="1">
      <c r="A39" s="150" t="s">
        <v>17</v>
      </c>
      <c r="B39" s="151" t="s">
        <v>32</v>
      </c>
      <c r="C39" s="152">
        <v>42396</v>
      </c>
      <c r="D39" s="153" t="s">
        <v>19</v>
      </c>
      <c r="E39" s="154">
        <v>1344</v>
      </c>
      <c r="F39" s="155">
        <f>+E39*2.0293</f>
        <v>2727.3792000000003</v>
      </c>
      <c r="G39" s="156">
        <v>42522</v>
      </c>
      <c r="H39" s="157"/>
      <c r="I39" s="153"/>
      <c r="J39" s="158"/>
      <c r="K39" s="159">
        <v>1344</v>
      </c>
      <c r="L39" s="158"/>
      <c r="M39" s="160">
        <f t="shared" si="4"/>
        <v>0</v>
      </c>
      <c r="N39" s="170"/>
      <c r="O39" s="50"/>
      <c r="P39" s="170"/>
    </row>
    <row r="40" spans="1:16" s="4" customFormat="1" hidden="1">
      <c r="A40" s="234" t="s">
        <v>20</v>
      </c>
      <c r="B40" s="235" t="s">
        <v>33</v>
      </c>
      <c r="C40" s="236">
        <v>42405</v>
      </c>
      <c r="D40" s="237" t="s">
        <v>16</v>
      </c>
      <c r="E40" s="238">
        <v>354482.12</v>
      </c>
      <c r="F40" s="239">
        <f>E40*2.232</f>
        <v>791204.09184000001</v>
      </c>
      <c r="G40" s="242">
        <v>42502</v>
      </c>
      <c r="H40" s="241"/>
      <c r="I40" s="237"/>
      <c r="J40" s="244"/>
      <c r="K40" s="243">
        <f>54480+50000+100000+100000+5000+40000+5002.12</f>
        <v>354482.12</v>
      </c>
      <c r="L40" s="244"/>
      <c r="M40" s="245">
        <f>E40-K40</f>
        <v>0</v>
      </c>
      <c r="N40" s="429"/>
      <c r="O40" s="50"/>
    </row>
    <row r="41" spans="1:16" s="6" customFormat="1" hidden="1">
      <c r="A41" s="150" t="s">
        <v>17</v>
      </c>
      <c r="B41" s="151" t="s">
        <v>34</v>
      </c>
      <c r="C41" s="152">
        <v>42412</v>
      </c>
      <c r="D41" s="153" t="s">
        <v>19</v>
      </c>
      <c r="E41" s="154">
        <v>110497.38</v>
      </c>
      <c r="F41" s="155">
        <f>E41*2.00195</f>
        <v>221210.229891</v>
      </c>
      <c r="G41" s="156">
        <v>42543</v>
      </c>
      <c r="H41" s="157"/>
      <c r="I41" s="153"/>
      <c r="J41" s="158"/>
      <c r="K41" s="159">
        <f>58678.54-3945.6+55714.44</f>
        <v>110447.38</v>
      </c>
      <c r="L41" s="158"/>
      <c r="M41" s="160">
        <f t="shared" si="4"/>
        <v>50</v>
      </c>
      <c r="N41" s="170"/>
      <c r="O41" s="7"/>
    </row>
    <row r="42" spans="1:16" s="4" customFormat="1" hidden="1">
      <c r="A42" s="234" t="s">
        <v>15</v>
      </c>
      <c r="B42" s="235" t="s">
        <v>35</v>
      </c>
      <c r="C42" s="236">
        <v>42412</v>
      </c>
      <c r="D42" s="237" t="s">
        <v>16</v>
      </c>
      <c r="E42" s="238">
        <v>52613.599999999999</v>
      </c>
      <c r="F42" s="239">
        <f>E42*2.24105</f>
        <v>117909.70827999999</v>
      </c>
      <c r="G42" s="240">
        <v>42502</v>
      </c>
      <c r="H42" s="241"/>
      <c r="I42" s="237"/>
      <c r="J42" s="244"/>
      <c r="K42" s="243">
        <v>52563.6</v>
      </c>
      <c r="L42" s="244"/>
      <c r="M42" s="245">
        <f t="shared" si="4"/>
        <v>50</v>
      </c>
      <c r="N42" s="429"/>
      <c r="O42" s="50"/>
    </row>
    <row r="43" spans="1:16" s="6" customFormat="1" hidden="1">
      <c r="A43" s="150" t="s">
        <v>17</v>
      </c>
      <c r="B43" s="151" t="s">
        <v>36</v>
      </c>
      <c r="C43" s="152">
        <v>42416</v>
      </c>
      <c r="D43" s="153" t="s">
        <v>19</v>
      </c>
      <c r="E43" s="154">
        <v>3945.6</v>
      </c>
      <c r="F43" s="155">
        <f>E43*2.00195</f>
        <v>7898.8939199999995</v>
      </c>
      <c r="G43" s="167">
        <v>42543</v>
      </c>
      <c r="H43" s="157"/>
      <c r="I43" s="153"/>
      <c r="J43" s="158"/>
      <c r="K43" s="159">
        <v>3945.6</v>
      </c>
      <c r="L43" s="158"/>
      <c r="M43" s="160">
        <f t="shared" si="4"/>
        <v>0</v>
      </c>
      <c r="N43" s="170"/>
      <c r="O43" s="7"/>
    </row>
    <row r="44" spans="1:16" s="4" customFormat="1" hidden="1">
      <c r="A44" s="234" t="s">
        <v>15</v>
      </c>
      <c r="B44" s="235" t="s">
        <v>37</v>
      </c>
      <c r="C44" s="236">
        <v>42422</v>
      </c>
      <c r="D44" s="237" t="s">
        <v>16</v>
      </c>
      <c r="E44" s="238">
        <v>36924.26</v>
      </c>
      <c r="F44" s="239">
        <f>+E44*2.2214</f>
        <v>82023.551164000004</v>
      </c>
      <c r="G44" s="240">
        <f>+C44+90</f>
        <v>42512</v>
      </c>
      <c r="H44" s="241"/>
      <c r="I44" s="237"/>
      <c r="J44" s="244"/>
      <c r="K44" s="243">
        <v>36874.26</v>
      </c>
      <c r="L44" s="244"/>
      <c r="M44" s="245">
        <f t="shared" si="4"/>
        <v>50</v>
      </c>
      <c r="N44" s="429"/>
      <c r="O44" s="50"/>
    </row>
    <row r="45" spans="1:16" s="5" customFormat="1" hidden="1">
      <c r="A45" s="150" t="s">
        <v>21</v>
      </c>
      <c r="B45" s="151" t="s">
        <v>38</v>
      </c>
      <c r="C45" s="152">
        <v>42423</v>
      </c>
      <c r="D45" s="153" t="s">
        <v>19</v>
      </c>
      <c r="E45" s="154">
        <v>58754.1</v>
      </c>
      <c r="F45" s="155">
        <f>+E45*2.01295</f>
        <v>118269.06559499999</v>
      </c>
      <c r="G45" s="167">
        <f>+C45+90</f>
        <v>42513</v>
      </c>
      <c r="H45" s="157"/>
      <c r="I45" s="153"/>
      <c r="J45" s="158"/>
      <c r="K45" s="159">
        <v>58754.1</v>
      </c>
      <c r="L45" s="158"/>
      <c r="M45" s="160">
        <f t="shared" si="4"/>
        <v>0</v>
      </c>
      <c r="N45" s="170"/>
      <c r="O45" s="50"/>
      <c r="P45" s="280"/>
    </row>
    <row r="46" spans="1:16" hidden="1">
      <c r="A46" s="234" t="s">
        <v>20</v>
      </c>
      <c r="B46" s="235" t="s">
        <v>40</v>
      </c>
      <c r="C46" s="236">
        <v>42436</v>
      </c>
      <c r="D46" s="237" t="s">
        <v>16</v>
      </c>
      <c r="E46" s="238">
        <v>346818.74</v>
      </c>
      <c r="F46" s="239">
        <f>+E46*2.2428</f>
        <v>777845.07007199991</v>
      </c>
      <c r="G46" s="240">
        <f>+C46+90</f>
        <v>42526</v>
      </c>
      <c r="H46" s="241">
        <v>620000</v>
      </c>
      <c r="I46" s="237"/>
      <c r="J46" s="242">
        <v>42521</v>
      </c>
      <c r="K46" s="243">
        <f>79900-5002.12+25000+25000+25000+15000+80000+40000+31840+9950+20000</f>
        <v>346687.88</v>
      </c>
      <c r="L46" s="244"/>
      <c r="M46" s="245">
        <f t="shared" si="4"/>
        <v>130.85999999998603</v>
      </c>
    </row>
    <row r="47" spans="1:16" s="4" customFormat="1" hidden="1">
      <c r="A47" s="234" t="s">
        <v>15</v>
      </c>
      <c r="B47" s="235" t="s">
        <v>41</v>
      </c>
      <c r="C47" s="236">
        <v>42445</v>
      </c>
      <c r="D47" s="237" t="s">
        <v>16</v>
      </c>
      <c r="E47" s="238">
        <v>56915.18</v>
      </c>
      <c r="F47" s="239">
        <f>+E47*2.2342</f>
        <v>127159.895156</v>
      </c>
      <c r="G47" s="240">
        <f>+C47+90</f>
        <v>42535</v>
      </c>
      <c r="H47" s="241"/>
      <c r="I47" s="237"/>
      <c r="J47" s="244"/>
      <c r="K47" s="243">
        <f>20865.18+36000</f>
        <v>56865.18</v>
      </c>
      <c r="L47" s="244"/>
      <c r="M47" s="245">
        <f t="shared" si="4"/>
        <v>50</v>
      </c>
      <c r="N47" s="429"/>
      <c r="O47" s="50"/>
    </row>
    <row r="48" spans="1:16" s="4" customFormat="1" hidden="1">
      <c r="A48" s="234" t="s">
        <v>15</v>
      </c>
      <c r="B48" s="235" t="s">
        <v>42</v>
      </c>
      <c r="C48" s="236">
        <v>42460</v>
      </c>
      <c r="D48" s="237" t="s">
        <v>16</v>
      </c>
      <c r="E48" s="238">
        <v>55894.19</v>
      </c>
      <c r="F48" s="239">
        <f>E48*2.25995</f>
        <v>126318.0746905</v>
      </c>
      <c r="G48" s="240">
        <f>+C48+90</f>
        <v>42550</v>
      </c>
      <c r="H48" s="241"/>
      <c r="I48" s="237"/>
      <c r="J48" s="244"/>
      <c r="K48" s="243">
        <f>46844.19-36000+22950+21950</f>
        <v>55744.19</v>
      </c>
      <c r="L48" s="244"/>
      <c r="M48" s="245">
        <f t="shared" si="4"/>
        <v>150</v>
      </c>
      <c r="N48" s="429"/>
      <c r="O48" s="50"/>
    </row>
    <row r="49" spans="1:16" s="5" customFormat="1" hidden="1">
      <c r="A49" s="150" t="s">
        <v>17</v>
      </c>
      <c r="B49" s="151" t="s">
        <v>43</v>
      </c>
      <c r="C49" s="152">
        <v>42461</v>
      </c>
      <c r="D49" s="153" t="s">
        <v>19</v>
      </c>
      <c r="E49" s="154">
        <v>124293.26</v>
      </c>
      <c r="F49" s="155">
        <f>E49*1.98505</f>
        <v>246728.33576299998</v>
      </c>
      <c r="G49" s="167">
        <v>42585</v>
      </c>
      <c r="H49" s="157"/>
      <c r="I49" s="153"/>
      <c r="J49" s="158"/>
      <c r="K49" s="159">
        <f>60173.9+64059.36</f>
        <v>124233.26000000001</v>
      </c>
      <c r="L49" s="158"/>
      <c r="M49" s="160">
        <f t="shared" si="4"/>
        <v>59.999999999985448</v>
      </c>
      <c r="N49" s="170"/>
      <c r="O49" s="207"/>
    </row>
    <row r="50" spans="1:16" s="4" customFormat="1" hidden="1">
      <c r="A50" s="234" t="s">
        <v>15</v>
      </c>
      <c r="B50" s="235" t="s">
        <v>80</v>
      </c>
      <c r="C50" s="236">
        <v>42471</v>
      </c>
      <c r="D50" s="237" t="s">
        <v>16</v>
      </c>
      <c r="E50" s="238">
        <v>71366.58</v>
      </c>
      <c r="F50" s="239">
        <f>E50*2.2645</f>
        <v>161609.62041</v>
      </c>
      <c r="G50" s="240">
        <f>+C50+90</f>
        <v>42561</v>
      </c>
      <c r="H50" s="241"/>
      <c r="I50" s="237"/>
      <c r="J50" s="244"/>
      <c r="K50" s="243">
        <v>71316.58</v>
      </c>
      <c r="L50" s="244"/>
      <c r="M50" s="245">
        <f t="shared" si="4"/>
        <v>50</v>
      </c>
      <c r="N50" s="429"/>
      <c r="O50" s="50"/>
    </row>
    <row r="51" spans="1:16" s="5" customFormat="1" hidden="1">
      <c r="A51" s="150" t="s">
        <v>17</v>
      </c>
      <c r="B51" s="151" t="s">
        <v>83</v>
      </c>
      <c r="C51" s="152">
        <v>42480</v>
      </c>
      <c r="D51" s="153" t="s">
        <v>19</v>
      </c>
      <c r="E51" s="154">
        <v>3720</v>
      </c>
      <c r="F51" s="155">
        <f>+E51*1.99715</f>
        <v>7429.3980000000001</v>
      </c>
      <c r="G51" s="167">
        <v>42603</v>
      </c>
      <c r="H51" s="157"/>
      <c r="I51" s="153"/>
      <c r="J51" s="158"/>
      <c r="K51" s="159">
        <v>3662</v>
      </c>
      <c r="L51" s="158"/>
      <c r="M51" s="160">
        <f t="shared" si="4"/>
        <v>58</v>
      </c>
      <c r="N51" s="170"/>
      <c r="O51" s="207"/>
      <c r="P51" s="270"/>
    </row>
    <row r="52" spans="1:16" s="5" customFormat="1" hidden="1">
      <c r="A52" s="150" t="s">
        <v>21</v>
      </c>
      <c r="B52" s="151" t="s">
        <v>81</v>
      </c>
      <c r="C52" s="152">
        <v>42480</v>
      </c>
      <c r="D52" s="153" t="s">
        <v>19</v>
      </c>
      <c r="E52" s="154">
        <v>59734.6</v>
      </c>
      <c r="F52" s="155">
        <f>+E52*1.99715</f>
        <v>119298.95638999999</v>
      </c>
      <c r="G52" s="167">
        <v>42580</v>
      </c>
      <c r="H52" s="157"/>
      <c r="I52" s="153"/>
      <c r="J52" s="158"/>
      <c r="K52" s="159">
        <v>59734.6</v>
      </c>
      <c r="L52" s="158"/>
      <c r="M52" s="160">
        <f t="shared" si="4"/>
        <v>0</v>
      </c>
      <c r="N52" s="170"/>
      <c r="O52" s="207"/>
      <c r="P52" s="270"/>
    </row>
    <row r="53" spans="1:16" s="5" customFormat="1" hidden="1">
      <c r="A53" s="150" t="s">
        <v>17</v>
      </c>
      <c r="B53" s="151" t="s">
        <v>82</v>
      </c>
      <c r="C53" s="152">
        <v>42485</v>
      </c>
      <c r="D53" s="153" t="s">
        <v>19</v>
      </c>
      <c r="E53" s="154">
        <v>190231.2</v>
      </c>
      <c r="F53" s="155">
        <f>+E53*1.99715</f>
        <v>379920.24108000001</v>
      </c>
      <c r="G53" s="167">
        <v>42603</v>
      </c>
      <c r="H53" s="157">
        <v>305000</v>
      </c>
      <c r="I53" s="153"/>
      <c r="J53" s="156">
        <v>42607</v>
      </c>
      <c r="K53" s="159">
        <f>163674-64059.36+90538.6</f>
        <v>190153.24</v>
      </c>
      <c r="L53" s="158"/>
      <c r="M53" s="160">
        <f t="shared" si="4"/>
        <v>77.960000000020955</v>
      </c>
      <c r="N53" s="170"/>
      <c r="O53" s="207"/>
      <c r="P53" s="270"/>
    </row>
    <row r="54" spans="1:16" s="87" customFormat="1" hidden="1">
      <c r="A54" s="182" t="s">
        <v>21</v>
      </c>
      <c r="B54" s="183" t="s">
        <v>86</v>
      </c>
      <c r="C54" s="184">
        <v>42503</v>
      </c>
      <c r="D54" s="153" t="s">
        <v>19</v>
      </c>
      <c r="E54" s="186">
        <v>60309.599999999999</v>
      </c>
      <c r="F54" s="187">
        <f>E54*2.02365</f>
        <v>122045.52204</v>
      </c>
      <c r="G54" s="279">
        <v>42601</v>
      </c>
      <c r="H54" s="189"/>
      <c r="I54" s="185"/>
      <c r="J54" s="188"/>
      <c r="K54" s="190">
        <v>60309.599999999999</v>
      </c>
      <c r="L54" s="191"/>
      <c r="M54" s="192">
        <f t="shared" si="4"/>
        <v>0</v>
      </c>
      <c r="N54" s="430"/>
      <c r="O54" s="218"/>
      <c r="P54" s="271"/>
    </row>
    <row r="55" spans="1:16" s="89" customFormat="1" hidden="1">
      <c r="A55" s="182" t="s">
        <v>17</v>
      </c>
      <c r="B55" s="183" t="s">
        <v>87</v>
      </c>
      <c r="C55" s="184">
        <v>42513</v>
      </c>
      <c r="D55" s="153" t="s">
        <v>19</v>
      </c>
      <c r="E55" s="186">
        <v>243352.73</v>
      </c>
      <c r="F55" s="187">
        <f>E55*2.02365</f>
        <v>492460.7520645</v>
      </c>
      <c r="G55" s="279">
        <v>42630</v>
      </c>
      <c r="H55" s="189">
        <v>395000</v>
      </c>
      <c r="I55" s="185"/>
      <c r="J55" s="188">
        <v>42638</v>
      </c>
      <c r="K55" s="190">
        <f>123502.1-2842.8+122644.67</f>
        <v>243303.97</v>
      </c>
      <c r="L55" s="191"/>
      <c r="M55" s="192">
        <f t="shared" si="4"/>
        <v>48.760000000009313</v>
      </c>
      <c r="N55" s="430"/>
      <c r="O55" s="88"/>
      <c r="P55" s="272"/>
    </row>
    <row r="56" spans="1:16" s="89" customFormat="1" hidden="1">
      <c r="A56" s="182" t="s">
        <v>17</v>
      </c>
      <c r="B56" s="183" t="s">
        <v>88</v>
      </c>
      <c r="C56" s="184">
        <v>42506</v>
      </c>
      <c r="D56" s="153" t="s">
        <v>19</v>
      </c>
      <c r="E56" s="186">
        <v>2902.8</v>
      </c>
      <c r="F56" s="187">
        <f>+E56*2.02365</f>
        <v>5874.2512200000001</v>
      </c>
      <c r="G56" s="279">
        <v>42630</v>
      </c>
      <c r="H56" s="189"/>
      <c r="I56" s="185"/>
      <c r="J56" s="191"/>
      <c r="K56" s="190">
        <f>2902.8-60</f>
        <v>2842.8</v>
      </c>
      <c r="L56" s="191"/>
      <c r="M56" s="192">
        <f t="shared" si="4"/>
        <v>60</v>
      </c>
      <c r="N56" s="430"/>
      <c r="O56" s="88"/>
    </row>
    <row r="57" spans="1:16" s="76" customFormat="1" hidden="1">
      <c r="A57" s="439" t="s">
        <v>15</v>
      </c>
      <c r="B57" s="440" t="s">
        <v>125</v>
      </c>
      <c r="C57" s="441">
        <v>42515</v>
      </c>
      <c r="D57" s="291" t="s">
        <v>16</v>
      </c>
      <c r="E57" s="442">
        <v>58025.49</v>
      </c>
      <c r="F57" s="443">
        <f>E57*2.28935</f>
        <v>132840.6555315</v>
      </c>
      <c r="G57" s="444">
        <f>+C57+90</f>
        <v>42605</v>
      </c>
      <c r="H57" s="290"/>
      <c r="I57" s="291"/>
      <c r="J57" s="382"/>
      <c r="K57" s="445">
        <f>12985.49+10960+11019+20163.57+2850</f>
        <v>57978.06</v>
      </c>
      <c r="L57" s="382"/>
      <c r="M57" s="446">
        <f t="shared" si="4"/>
        <v>47.430000000000291</v>
      </c>
      <c r="N57" s="380"/>
      <c r="O57" s="223"/>
    </row>
    <row r="58" spans="1:16" s="87" customFormat="1" hidden="1">
      <c r="A58" s="182" t="s">
        <v>17</v>
      </c>
      <c r="B58" s="183" t="s">
        <v>286</v>
      </c>
      <c r="C58" s="184">
        <v>42522</v>
      </c>
      <c r="D58" s="185" t="s">
        <v>19</v>
      </c>
      <c r="E58" s="186">
        <v>181444.41</v>
      </c>
      <c r="F58" s="187">
        <f>+E58*2.0914</f>
        <v>379472.83907400002</v>
      </c>
      <c r="G58" s="279">
        <v>42647</v>
      </c>
      <c r="H58" s="189"/>
      <c r="I58" s="185"/>
      <c r="J58" s="188"/>
      <c r="K58" s="190">
        <f>90963.81+91051.3-637.2</f>
        <v>181377.90999999997</v>
      </c>
      <c r="L58" s="191"/>
      <c r="M58" s="192">
        <f t="shared" si="4"/>
        <v>66.500000000029104</v>
      </c>
      <c r="N58" s="430"/>
      <c r="O58" s="218"/>
    </row>
    <row r="59" spans="1:16" s="87" customFormat="1" hidden="1">
      <c r="A59" s="182" t="s">
        <v>17</v>
      </c>
      <c r="B59" s="183" t="s">
        <v>287</v>
      </c>
      <c r="C59" s="184">
        <v>42522</v>
      </c>
      <c r="D59" s="185" t="s">
        <v>19</v>
      </c>
      <c r="E59" s="186">
        <v>637.20000000000005</v>
      </c>
      <c r="F59" s="187">
        <f>+E59*2.0914</f>
        <v>1332.6400800000001</v>
      </c>
      <c r="G59" s="279">
        <v>42647</v>
      </c>
      <c r="H59" s="189"/>
      <c r="I59" s="185"/>
      <c r="J59" s="191"/>
      <c r="K59" s="190">
        <v>637.20000000000005</v>
      </c>
      <c r="L59" s="191"/>
      <c r="M59" s="192">
        <f t="shared" si="4"/>
        <v>0</v>
      </c>
      <c r="N59" s="430"/>
      <c r="O59" s="218"/>
    </row>
    <row r="60" spans="1:16" s="87" customFormat="1" hidden="1">
      <c r="A60" s="182" t="s">
        <v>15</v>
      </c>
      <c r="B60" s="183" t="s">
        <v>288</v>
      </c>
      <c r="C60" s="184">
        <v>42523</v>
      </c>
      <c r="D60" s="185" t="s">
        <v>19</v>
      </c>
      <c r="E60" s="186">
        <v>32695.26</v>
      </c>
      <c r="F60" s="187">
        <f>+E60*2.1062</f>
        <v>68862.756611999997</v>
      </c>
      <c r="G60" s="279">
        <f>+C60+90</f>
        <v>42613</v>
      </c>
      <c r="H60" s="189"/>
      <c r="I60" s="185"/>
      <c r="J60" s="191"/>
      <c r="K60" s="190">
        <v>32614.76</v>
      </c>
      <c r="L60" s="191"/>
      <c r="M60" s="192">
        <f t="shared" si="4"/>
        <v>80.5</v>
      </c>
      <c r="N60" s="430"/>
      <c r="O60" s="218"/>
    </row>
    <row r="61" spans="1:16" s="76" customFormat="1" hidden="1">
      <c r="A61" s="439" t="s">
        <v>15</v>
      </c>
      <c r="B61" s="440" t="s">
        <v>289</v>
      </c>
      <c r="C61" s="441">
        <v>42527</v>
      </c>
      <c r="D61" s="291" t="s">
        <v>16</v>
      </c>
      <c r="E61" s="442">
        <v>33241.94</v>
      </c>
      <c r="F61" s="443">
        <f>+E61*2.34895</f>
        <v>78083.654963000008</v>
      </c>
      <c r="G61" s="444">
        <f>+C61+90</f>
        <v>42617</v>
      </c>
      <c r="H61" s="189"/>
      <c r="I61" s="291"/>
      <c r="J61" s="382"/>
      <c r="K61" s="445">
        <f>813.45+12225+20000</f>
        <v>33038.449999999997</v>
      </c>
      <c r="L61" s="382"/>
      <c r="M61" s="446">
        <f t="shared" si="4"/>
        <v>203.49000000000524</v>
      </c>
      <c r="N61" s="380"/>
      <c r="O61" s="223"/>
    </row>
    <row r="62" spans="1:16" s="77" customFormat="1" hidden="1">
      <c r="A62" s="439" t="s">
        <v>20</v>
      </c>
      <c r="B62" s="440" t="s">
        <v>283</v>
      </c>
      <c r="C62" s="441">
        <v>42528</v>
      </c>
      <c r="D62" s="291" t="s">
        <v>16</v>
      </c>
      <c r="E62" s="442">
        <v>249442.34</v>
      </c>
      <c r="F62" s="443">
        <f>+E62*2.3642</f>
        <v>589731.58022799995</v>
      </c>
      <c r="G62" s="444">
        <f>+C62+90</f>
        <v>42618</v>
      </c>
      <c r="H62" s="189"/>
      <c r="I62" s="291"/>
      <c r="J62" s="382"/>
      <c r="K62" s="445">
        <f>60000+39960+39950+25000+10000+25000+49500</f>
        <v>249410</v>
      </c>
      <c r="L62" s="382"/>
      <c r="M62" s="446">
        <f t="shared" si="4"/>
        <v>32.339999999996508</v>
      </c>
      <c r="N62" s="380"/>
      <c r="O62" s="62"/>
    </row>
    <row r="63" spans="1:16" s="77" customFormat="1" hidden="1">
      <c r="A63" s="439" t="s">
        <v>20</v>
      </c>
      <c r="B63" s="440" t="s">
        <v>300</v>
      </c>
      <c r="C63" s="441">
        <v>42552</v>
      </c>
      <c r="D63" s="291" t="s">
        <v>16</v>
      </c>
      <c r="E63" s="442">
        <v>247327.72</v>
      </c>
      <c r="F63" s="443">
        <f>+E63*2.43635</f>
        <v>602576.89062199998</v>
      </c>
      <c r="G63" s="444">
        <f>+C63+90</f>
        <v>42642</v>
      </c>
      <c r="H63" s="290">
        <v>485000</v>
      </c>
      <c r="I63" s="291"/>
      <c r="J63" s="292">
        <v>42648</v>
      </c>
      <c r="K63" s="445">
        <f>64922.5-49500+85000+59957+79548.68+7399.54</f>
        <v>247327.72</v>
      </c>
      <c r="L63" s="382"/>
      <c r="M63" s="446">
        <f t="shared" si="4"/>
        <v>0</v>
      </c>
      <c r="N63" s="380"/>
      <c r="O63" s="62"/>
    </row>
    <row r="64" spans="1:16" s="89" customFormat="1" hidden="1">
      <c r="A64" s="182" t="s">
        <v>17</v>
      </c>
      <c r="B64" s="183" t="s">
        <v>295</v>
      </c>
      <c r="C64" s="184">
        <v>42565</v>
      </c>
      <c r="D64" s="185" t="s">
        <v>19</v>
      </c>
      <c r="E64" s="186">
        <v>182006.54</v>
      </c>
      <c r="F64" s="187">
        <f>E64*2.20895</f>
        <v>402043.34653300006</v>
      </c>
      <c r="G64" s="279">
        <v>42698</v>
      </c>
      <c r="H64" s="189">
        <v>320000</v>
      </c>
      <c r="I64" s="185"/>
      <c r="J64" s="188">
        <v>42689</v>
      </c>
      <c r="K64" s="190">
        <f>72601.19+90445.6+18809.75</f>
        <v>181856.54</v>
      </c>
      <c r="L64" s="191"/>
      <c r="M64" s="192">
        <f t="shared" si="4"/>
        <v>150</v>
      </c>
      <c r="N64" s="430"/>
      <c r="O64" s="88"/>
    </row>
    <row r="65" spans="1:17" s="76" customFormat="1" hidden="1">
      <c r="A65" s="439" t="s">
        <v>15</v>
      </c>
      <c r="B65" s="440" t="s">
        <v>296</v>
      </c>
      <c r="C65" s="441">
        <v>42583</v>
      </c>
      <c r="D65" s="291" t="s">
        <v>16</v>
      </c>
      <c r="E65" s="442">
        <v>47822.32</v>
      </c>
      <c r="F65" s="443">
        <f>+E65*2.45605</f>
        <v>117454.00903599999</v>
      </c>
      <c r="G65" s="444">
        <f>+C65+90</f>
        <v>42673</v>
      </c>
      <c r="H65" s="290"/>
      <c r="I65" s="291"/>
      <c r="J65" s="382"/>
      <c r="K65" s="445">
        <f>10994.42+15629.1+21150</f>
        <v>47773.520000000004</v>
      </c>
      <c r="L65" s="382"/>
      <c r="M65" s="446">
        <f t="shared" si="4"/>
        <v>48.799999999995634</v>
      </c>
      <c r="N65" s="380"/>
      <c r="O65" s="223"/>
      <c r="P65" s="380"/>
    </row>
    <row r="66" spans="1:17" s="77" customFormat="1" hidden="1">
      <c r="A66" s="439" t="s">
        <v>20</v>
      </c>
      <c r="B66" s="440" t="s">
        <v>297</v>
      </c>
      <c r="C66" s="441">
        <v>42585</v>
      </c>
      <c r="D66" s="291" t="s">
        <v>16</v>
      </c>
      <c r="E66" s="442">
        <v>256710.39999999999</v>
      </c>
      <c r="F66" s="443">
        <f>+E66*2.45645</f>
        <v>630596.2620799999</v>
      </c>
      <c r="G66" s="444">
        <f>+C66+90</f>
        <v>42675</v>
      </c>
      <c r="H66" s="290"/>
      <c r="I66" s="291"/>
      <c r="J66" s="382"/>
      <c r="K66" s="445">
        <f>39965-7399.54+99975+99955+24214.94</f>
        <v>256710.39999999999</v>
      </c>
      <c r="L66" s="382"/>
      <c r="M66" s="446">
        <f t="shared" si="4"/>
        <v>0</v>
      </c>
      <c r="N66" s="380"/>
      <c r="O66" s="62"/>
    </row>
    <row r="67" spans="1:17" s="66" customFormat="1" hidden="1">
      <c r="A67" s="182" t="s">
        <v>21</v>
      </c>
      <c r="B67" s="183" t="s">
        <v>304</v>
      </c>
      <c r="C67" s="184">
        <v>42594</v>
      </c>
      <c r="D67" s="153" t="s">
        <v>19</v>
      </c>
      <c r="E67" s="186">
        <v>61609.599999999999</v>
      </c>
      <c r="F67" s="187">
        <f>+E67*2.20485</f>
        <v>135839.92655999999</v>
      </c>
      <c r="G67" s="279">
        <v>42692</v>
      </c>
      <c r="H67" s="290"/>
      <c r="I67" s="291"/>
      <c r="J67" s="292"/>
      <c r="K67" s="190">
        <v>61609.599999999999</v>
      </c>
      <c r="L67" s="191"/>
      <c r="M67" s="192">
        <f t="shared" ref="M67:M115" si="5">E67-K67</f>
        <v>0</v>
      </c>
      <c r="N67" s="346"/>
      <c r="O67" s="248"/>
    </row>
    <row r="68" spans="1:17" s="89" customFormat="1" hidden="1">
      <c r="A68" s="182" t="s">
        <v>17</v>
      </c>
      <c r="B68" s="183" t="s">
        <v>302</v>
      </c>
      <c r="C68" s="184">
        <v>42599</v>
      </c>
      <c r="D68" s="185" t="s">
        <v>19</v>
      </c>
      <c r="E68" s="186">
        <v>201518.23</v>
      </c>
      <c r="F68" s="187">
        <f>E68*2.18885</f>
        <v>441093.17773550004</v>
      </c>
      <c r="G68" s="279">
        <v>42722</v>
      </c>
      <c r="H68" s="290"/>
      <c r="I68" s="291"/>
      <c r="J68" s="382"/>
      <c r="K68" s="190">
        <f>90429.6+110873.72</f>
        <v>201303.32</v>
      </c>
      <c r="L68" s="191"/>
      <c r="M68" s="192">
        <f t="shared" si="5"/>
        <v>214.91000000000349</v>
      </c>
      <c r="N68" s="430"/>
      <c r="O68" s="88"/>
      <c r="P68" s="381"/>
    </row>
    <row r="69" spans="1:17" s="77" customFormat="1" hidden="1">
      <c r="A69" s="439" t="s">
        <v>20</v>
      </c>
      <c r="B69" s="440" t="s">
        <v>301</v>
      </c>
      <c r="C69" s="441">
        <v>42599</v>
      </c>
      <c r="D69" s="291" t="s">
        <v>16</v>
      </c>
      <c r="E69" s="442">
        <v>176779.1</v>
      </c>
      <c r="F69" s="443">
        <f>E69*2.4649</f>
        <v>435742.80359000002</v>
      </c>
      <c r="G69" s="444">
        <f>+C69+90</f>
        <v>42689</v>
      </c>
      <c r="H69" s="290"/>
      <c r="I69" s="291"/>
      <c r="J69" s="382"/>
      <c r="K69" s="445">
        <f>50000-24214.94+59950+24965+66079.04</f>
        <v>176779.09999999998</v>
      </c>
      <c r="L69" s="382"/>
      <c r="M69" s="446">
        <f t="shared" si="5"/>
        <v>0</v>
      </c>
      <c r="N69" s="380"/>
      <c r="O69" s="62"/>
    </row>
    <row r="70" spans="1:17" s="77" customFormat="1" hidden="1">
      <c r="A70" s="439" t="s">
        <v>20</v>
      </c>
      <c r="B70" s="440" t="s">
        <v>303</v>
      </c>
      <c r="C70" s="441">
        <v>42606</v>
      </c>
      <c r="D70" s="291" t="s">
        <v>16</v>
      </c>
      <c r="E70" s="442">
        <v>182078.8</v>
      </c>
      <c r="F70" s="443">
        <f>+E70*2.4651</f>
        <v>448842.44987999997</v>
      </c>
      <c r="G70" s="444">
        <f>+C70+90</f>
        <v>42696</v>
      </c>
      <c r="H70" s="290"/>
      <c r="I70" s="291"/>
      <c r="J70" s="382"/>
      <c r="K70" s="445">
        <f>86970-66079.04+44970+99975+16242.84</f>
        <v>182078.80000000002</v>
      </c>
      <c r="L70" s="382"/>
      <c r="M70" s="446">
        <f t="shared" si="5"/>
        <v>0</v>
      </c>
      <c r="N70" s="380"/>
      <c r="O70" s="62"/>
    </row>
    <row r="71" spans="1:17" s="89" customFormat="1" hidden="1">
      <c r="A71" s="182" t="s">
        <v>17</v>
      </c>
      <c r="B71" s="183" t="s">
        <v>305</v>
      </c>
      <c r="C71" s="184">
        <v>42619</v>
      </c>
      <c r="D71" s="185" t="s">
        <v>19</v>
      </c>
      <c r="E71" s="186">
        <v>201819.58</v>
      </c>
      <c r="F71" s="187">
        <f>+E71*2.19925</f>
        <v>443851.71131500002</v>
      </c>
      <c r="G71" s="279">
        <f>+C71+120</f>
        <v>42739</v>
      </c>
      <c r="H71" s="290"/>
      <c r="I71" s="291"/>
      <c r="J71" s="382"/>
      <c r="K71" s="190">
        <f>90445.6+111210.5</f>
        <v>201656.1</v>
      </c>
      <c r="L71" s="191"/>
      <c r="M71" s="192">
        <f t="shared" si="5"/>
        <v>163.47999999998137</v>
      </c>
      <c r="N71" s="430"/>
      <c r="O71" s="612"/>
      <c r="Q71" s="613"/>
    </row>
    <row r="72" spans="1:17" s="77" customFormat="1" hidden="1">
      <c r="A72" s="439" t="s">
        <v>20</v>
      </c>
      <c r="B72" s="440" t="s">
        <v>306</v>
      </c>
      <c r="C72" s="441">
        <v>42619</v>
      </c>
      <c r="D72" s="291" t="s">
        <v>16</v>
      </c>
      <c r="E72" s="442">
        <v>93763.1</v>
      </c>
      <c r="F72" s="443">
        <f>+E72*2.45675</f>
        <v>230352.49592500002</v>
      </c>
      <c r="G72" s="444">
        <f>+C72+90</f>
        <v>42709</v>
      </c>
      <c r="H72" s="290"/>
      <c r="I72" s="291"/>
      <c r="J72" s="382"/>
      <c r="K72" s="445">
        <f>49970-16242.84+60035.94</f>
        <v>93763.1</v>
      </c>
      <c r="L72" s="382"/>
      <c r="M72" s="446">
        <f t="shared" si="5"/>
        <v>0</v>
      </c>
      <c r="N72" s="380"/>
      <c r="O72" s="62"/>
      <c r="Q72" s="614"/>
    </row>
    <row r="73" spans="1:17" s="77" customFormat="1" hidden="1">
      <c r="A73" s="439" t="s">
        <v>20</v>
      </c>
      <c r="B73" s="440" t="s">
        <v>323</v>
      </c>
      <c r="C73" s="441">
        <v>42634</v>
      </c>
      <c r="D73" s="291" t="s">
        <v>9</v>
      </c>
      <c r="E73" s="442">
        <v>490473.728</v>
      </c>
      <c r="F73" s="443">
        <f>+E73</f>
        <v>490473.728</v>
      </c>
      <c r="G73" s="444">
        <f>+C73+90</f>
        <v>42724</v>
      </c>
      <c r="H73" s="290">
        <v>390000</v>
      </c>
      <c r="I73" s="291"/>
      <c r="J73" s="292">
        <v>42719</v>
      </c>
      <c r="K73" s="445">
        <v>483301.39899999998</v>
      </c>
      <c r="L73" s="382"/>
      <c r="M73" s="446">
        <f t="shared" si="5"/>
        <v>7172.329000000027</v>
      </c>
      <c r="N73" s="380"/>
      <c r="O73" s="62"/>
    </row>
    <row r="74" spans="1:17" s="89" customFormat="1" hidden="1">
      <c r="A74" s="182" t="s">
        <v>17</v>
      </c>
      <c r="B74" s="183" t="s">
        <v>326</v>
      </c>
      <c r="C74" s="184">
        <v>42646</v>
      </c>
      <c r="D74" s="185" t="s">
        <v>19</v>
      </c>
      <c r="E74" s="186">
        <v>206062.8</v>
      </c>
      <c r="F74" s="187">
        <f>+E74*2.1936</f>
        <v>452019.35807999998</v>
      </c>
      <c r="G74" s="279">
        <f>+C74+120</f>
        <v>42766</v>
      </c>
      <c r="H74" s="189"/>
      <c r="I74" s="185"/>
      <c r="J74" s="188"/>
      <c r="K74" s="190">
        <f>90445.6+62781.5+52565.5</f>
        <v>205792.6</v>
      </c>
      <c r="L74" s="191"/>
      <c r="M74" s="192">
        <f t="shared" si="5"/>
        <v>270.19999999998254</v>
      </c>
      <c r="N74" s="430"/>
      <c r="O74" s="88"/>
    </row>
    <row r="75" spans="1:17" s="77" customFormat="1" hidden="1">
      <c r="A75" s="439" t="s">
        <v>20</v>
      </c>
      <c r="B75" s="440" t="s">
        <v>325</v>
      </c>
      <c r="C75" s="441">
        <v>42647</v>
      </c>
      <c r="D75" s="291" t="s">
        <v>16</v>
      </c>
      <c r="E75" s="442">
        <v>90619.199999999997</v>
      </c>
      <c r="F75" s="443">
        <f>+E75*2.4659</f>
        <v>223457.88527999999</v>
      </c>
      <c r="G75" s="444">
        <f>+C75+90</f>
        <v>42737</v>
      </c>
      <c r="H75" s="290"/>
      <c r="I75" s="291"/>
      <c r="J75" s="292"/>
      <c r="K75" s="445">
        <f>99832.71-60035.94+50800</f>
        <v>90596.77</v>
      </c>
      <c r="L75" s="382"/>
      <c r="M75" s="446">
        <f t="shared" si="5"/>
        <v>22.429999999993015</v>
      </c>
      <c r="N75" s="380"/>
      <c r="O75" s="62"/>
    </row>
    <row r="76" spans="1:17" s="89" customFormat="1" hidden="1">
      <c r="A76" s="182" t="s">
        <v>17</v>
      </c>
      <c r="B76" s="183" t="s">
        <v>327</v>
      </c>
      <c r="C76" s="184">
        <v>42661</v>
      </c>
      <c r="D76" s="185" t="s">
        <v>19</v>
      </c>
      <c r="E76" s="186">
        <v>137375.20000000001</v>
      </c>
      <c r="F76" s="187">
        <f>E76*2.23355</f>
        <v>306834.37796000007</v>
      </c>
      <c r="G76" s="279">
        <f>+C76+120</f>
        <v>42781</v>
      </c>
      <c r="H76" s="189"/>
      <c r="I76" s="185"/>
      <c r="J76" s="188"/>
      <c r="K76" s="190">
        <f>60289.4+76922.5</f>
        <v>137211.9</v>
      </c>
      <c r="L76" s="191"/>
      <c r="M76" s="192">
        <f t="shared" si="5"/>
        <v>163.30000000001746</v>
      </c>
      <c r="N76" s="430"/>
      <c r="O76" s="88"/>
    </row>
    <row r="77" spans="1:17" s="77" customFormat="1" hidden="1">
      <c r="A77" s="439" t="s">
        <v>20</v>
      </c>
      <c r="B77" s="440" t="s">
        <v>328</v>
      </c>
      <c r="C77" s="441">
        <v>42667</v>
      </c>
      <c r="D77" s="291" t="s">
        <v>16</v>
      </c>
      <c r="E77" s="442">
        <v>275267.21999999997</v>
      </c>
      <c r="F77" s="443">
        <f>E77*2.4408</f>
        <v>671872.23057599994</v>
      </c>
      <c r="G77" s="444">
        <f>+C77+90</f>
        <v>42757</v>
      </c>
      <c r="H77" s="290"/>
      <c r="I77" s="291"/>
      <c r="J77" s="292"/>
      <c r="K77" s="445">
        <f>86880.37-50800+49880.54+99832.65+50000+39400</f>
        <v>275193.56</v>
      </c>
      <c r="L77" s="382"/>
      <c r="M77" s="446">
        <f t="shared" si="5"/>
        <v>73.659999999974389</v>
      </c>
      <c r="N77" s="380"/>
      <c r="O77" s="62"/>
    </row>
    <row r="78" spans="1:17" s="77" customFormat="1" hidden="1">
      <c r="A78" s="439" t="s">
        <v>20</v>
      </c>
      <c r="B78" s="440" t="s">
        <v>331</v>
      </c>
      <c r="C78" s="441">
        <v>42674</v>
      </c>
      <c r="D78" s="291" t="s">
        <v>16</v>
      </c>
      <c r="E78" s="442">
        <v>267067.84999999998</v>
      </c>
      <c r="F78" s="443">
        <f>E78*2.45085</f>
        <v>654543.24017249991</v>
      </c>
      <c r="G78" s="444">
        <f>C78+90</f>
        <v>42764</v>
      </c>
      <c r="H78" s="290"/>
      <c r="I78" s="291"/>
      <c r="J78" s="292"/>
      <c r="K78" s="445">
        <f>11960+49900+24900+89900+79950+10400</f>
        <v>267010</v>
      </c>
      <c r="L78" s="382"/>
      <c r="M78" s="446">
        <f t="shared" si="5"/>
        <v>57.849999999976717</v>
      </c>
      <c r="N78" s="380"/>
      <c r="O78" s="62"/>
    </row>
    <row r="79" spans="1:17" s="89" customFormat="1" hidden="1">
      <c r="A79" s="182" t="s">
        <v>21</v>
      </c>
      <c r="B79" s="183" t="s">
        <v>332</v>
      </c>
      <c r="C79" s="184">
        <v>42682</v>
      </c>
      <c r="D79" s="185" t="s">
        <v>19</v>
      </c>
      <c r="E79" s="186">
        <v>61851.199999999997</v>
      </c>
      <c r="F79" s="187">
        <f>+E79*2.22055</f>
        <v>137343.68215999997</v>
      </c>
      <c r="G79" s="279">
        <f>+C79+90</f>
        <v>42772</v>
      </c>
      <c r="H79" s="189"/>
      <c r="I79" s="185"/>
      <c r="J79" s="188"/>
      <c r="K79" s="190">
        <v>61851.199999999997</v>
      </c>
      <c r="L79" s="191"/>
      <c r="M79" s="192">
        <f t="shared" si="5"/>
        <v>0</v>
      </c>
      <c r="N79" s="430"/>
      <c r="O79" s="88"/>
    </row>
    <row r="80" spans="1:17" s="77" customFormat="1" hidden="1">
      <c r="A80" s="439" t="s">
        <v>15</v>
      </c>
      <c r="B80" s="440" t="s">
        <v>333</v>
      </c>
      <c r="C80" s="441">
        <v>42688</v>
      </c>
      <c r="D80" s="291" t="s">
        <v>16</v>
      </c>
      <c r="E80" s="442">
        <v>63212.1</v>
      </c>
      <c r="F80" s="443">
        <f>+E80*2.43455</f>
        <v>153893.01805500002</v>
      </c>
      <c r="G80" s="444">
        <f>+C80+60</f>
        <v>42748</v>
      </c>
      <c r="H80" s="290"/>
      <c r="I80" s="291"/>
      <c r="J80" s="292"/>
      <c r="K80" s="445">
        <v>63200</v>
      </c>
      <c r="L80" s="382"/>
      <c r="M80" s="446">
        <f t="shared" si="5"/>
        <v>12.099999999998545</v>
      </c>
      <c r="N80" s="380"/>
      <c r="O80" s="62"/>
    </row>
    <row r="81" spans="1:17" s="89" customFormat="1" hidden="1">
      <c r="A81" s="182" t="s">
        <v>17</v>
      </c>
      <c r="B81" s="183" t="s">
        <v>334</v>
      </c>
      <c r="C81" s="184">
        <v>42695</v>
      </c>
      <c r="D81" s="185" t="s">
        <v>19</v>
      </c>
      <c r="E81" s="186">
        <v>218812.7</v>
      </c>
      <c r="F81" s="187">
        <f>+E81*2.2844</f>
        <v>499855.73188000009</v>
      </c>
      <c r="G81" s="279">
        <f>+C81+120</f>
        <v>42815</v>
      </c>
      <c r="H81" s="189">
        <v>400000</v>
      </c>
      <c r="I81" s="185"/>
      <c r="J81" s="188">
        <v>42819</v>
      </c>
      <c r="K81" s="190">
        <f>90505.8+128142.5</f>
        <v>218648.3</v>
      </c>
      <c r="L81" s="191"/>
      <c r="M81" s="192">
        <f t="shared" si="5"/>
        <v>164.40000000002328</v>
      </c>
      <c r="N81" s="430"/>
      <c r="O81" s="379"/>
    </row>
    <row r="82" spans="1:17" s="89" customFormat="1">
      <c r="A82" s="208" t="s">
        <v>21</v>
      </c>
      <c r="B82" s="209" t="s">
        <v>343</v>
      </c>
      <c r="C82" s="210">
        <v>42703</v>
      </c>
      <c r="D82" s="215" t="s">
        <v>19</v>
      </c>
      <c r="E82" s="211">
        <v>60082</v>
      </c>
      <c r="F82" s="212">
        <f>+E82*2.2879</f>
        <v>137461.6078</v>
      </c>
      <c r="G82" s="213">
        <f>+C82+90</f>
        <v>42793</v>
      </c>
      <c r="H82" s="214"/>
      <c r="I82" s="215"/>
      <c r="J82" s="363"/>
      <c r="K82" s="216"/>
      <c r="L82" s="217"/>
      <c r="M82" s="275">
        <f t="shared" si="5"/>
        <v>60082</v>
      </c>
      <c r="N82" s="430"/>
      <c r="O82" s="88"/>
    </row>
    <row r="83" spans="1:17" s="77" customFormat="1" hidden="1">
      <c r="A83" s="439" t="s">
        <v>20</v>
      </c>
      <c r="B83" s="440" t="s">
        <v>348</v>
      </c>
      <c r="C83" s="441">
        <v>42714</v>
      </c>
      <c r="D83" s="291" t="s">
        <v>16</v>
      </c>
      <c r="E83" s="442">
        <v>189405.85</v>
      </c>
      <c r="F83" s="443">
        <f>+E83*2.42685</f>
        <v>459659.58707250003</v>
      </c>
      <c r="G83" s="444">
        <f>+C83+90</f>
        <v>42804</v>
      </c>
      <c r="H83" s="290"/>
      <c r="I83" s="291"/>
      <c r="J83" s="292"/>
      <c r="K83" s="445">
        <f>11585+24960+59900+21930+14930+27960+28100</f>
        <v>189365</v>
      </c>
      <c r="L83" s="382"/>
      <c r="M83" s="446">
        <f t="shared" si="5"/>
        <v>40.850000000005821</v>
      </c>
      <c r="N83" s="380"/>
      <c r="O83" s="62"/>
    </row>
    <row r="84" spans="1:17" s="77" customFormat="1" hidden="1">
      <c r="A84" s="439" t="s">
        <v>20</v>
      </c>
      <c r="B84" s="440" t="s">
        <v>349</v>
      </c>
      <c r="C84" s="441">
        <v>42731</v>
      </c>
      <c r="D84" s="291" t="s">
        <v>16</v>
      </c>
      <c r="E84" s="442">
        <v>288116.08</v>
      </c>
      <c r="F84" s="443">
        <f>+E84*2.41755</f>
        <v>696535.02920400002</v>
      </c>
      <c r="G84" s="444">
        <f>+C84+60</f>
        <v>42791</v>
      </c>
      <c r="H84" s="290"/>
      <c r="I84" s="291"/>
      <c r="J84" s="292"/>
      <c r="K84" s="445">
        <f>31982-28100+27930+26000+14982+21955+40955+45000+51000+39900+16500</f>
        <v>288104</v>
      </c>
      <c r="L84" s="382"/>
      <c r="M84" s="446">
        <f t="shared" si="5"/>
        <v>12.080000000016298</v>
      </c>
      <c r="N84" s="380"/>
      <c r="O84" s="62"/>
    </row>
    <row r="85" spans="1:17" s="89" customFormat="1" hidden="1">
      <c r="A85" s="182" t="s">
        <v>17</v>
      </c>
      <c r="B85" s="183" t="s">
        <v>393</v>
      </c>
      <c r="C85" s="184">
        <v>42733</v>
      </c>
      <c r="D85" s="185" t="s">
        <v>19</v>
      </c>
      <c r="E85" s="186">
        <v>145787.49</v>
      </c>
      <c r="F85" s="187">
        <f>+E85*2.31175</f>
        <v>337024.23000749998</v>
      </c>
      <c r="G85" s="279">
        <f>+C85+120</f>
        <v>42853</v>
      </c>
      <c r="H85" s="189"/>
      <c r="I85" s="185"/>
      <c r="J85" s="188"/>
      <c r="K85" s="190">
        <f>60280.4+85392</f>
        <v>145672.4</v>
      </c>
      <c r="L85" s="191"/>
      <c r="M85" s="192">
        <f t="shared" si="5"/>
        <v>115.08999999999651</v>
      </c>
      <c r="N85" s="430"/>
      <c r="O85" s="88"/>
    </row>
    <row r="86" spans="1:17" s="77" customFormat="1" hidden="1">
      <c r="A86" s="439" t="s">
        <v>20</v>
      </c>
      <c r="B86" s="440" t="s">
        <v>395</v>
      </c>
      <c r="C86" s="441">
        <v>42753</v>
      </c>
      <c r="D86" s="291" t="s">
        <v>16</v>
      </c>
      <c r="E86" s="442">
        <v>288576.96000000002</v>
      </c>
      <c r="F86" s="443">
        <f>+E86*2.42535</f>
        <v>699900.12993599998</v>
      </c>
      <c r="G86" s="444">
        <f>+C86+60</f>
        <v>42813</v>
      </c>
      <c r="H86" s="290"/>
      <c r="I86" s="291"/>
      <c r="J86" s="292"/>
      <c r="K86" s="445">
        <f>34000-16500+40000+35000+50500+10000+74500+54500+6500</f>
        <v>288500</v>
      </c>
      <c r="L86" s="382"/>
      <c r="M86" s="446">
        <f t="shared" si="5"/>
        <v>76.960000000020955</v>
      </c>
      <c r="N86" s="380"/>
      <c r="O86" s="62"/>
    </row>
    <row r="87" spans="1:17" s="77" customFormat="1" hidden="1">
      <c r="A87" s="439" t="s">
        <v>20</v>
      </c>
      <c r="B87" s="440" t="s">
        <v>396</v>
      </c>
      <c r="C87" s="441">
        <v>42772</v>
      </c>
      <c r="D87" s="291" t="s">
        <v>16</v>
      </c>
      <c r="E87" s="442">
        <v>90850.1</v>
      </c>
      <c r="F87" s="443">
        <f>+E87*2.4309</f>
        <v>220847.50808999999</v>
      </c>
      <c r="G87" s="444">
        <f>+C87+60</f>
        <v>42832</v>
      </c>
      <c r="H87" s="290"/>
      <c r="I87" s="291"/>
      <c r="J87" s="292"/>
      <c r="K87" s="445">
        <f>24600-6500+72500</f>
        <v>90600</v>
      </c>
      <c r="L87" s="382"/>
      <c r="M87" s="446">
        <f t="shared" si="5"/>
        <v>250.10000000000582</v>
      </c>
      <c r="N87" s="380"/>
      <c r="O87" s="62"/>
    </row>
    <row r="88" spans="1:17" s="89" customFormat="1" hidden="1">
      <c r="A88" s="182" t="s">
        <v>17</v>
      </c>
      <c r="B88" s="183" t="s">
        <v>399</v>
      </c>
      <c r="C88" s="184">
        <v>42786</v>
      </c>
      <c r="D88" s="185" t="s">
        <v>19</v>
      </c>
      <c r="E88" s="186">
        <v>152438.76999999999</v>
      </c>
      <c r="F88" s="187">
        <f>+E88*2.2847</f>
        <v>348276.85781899997</v>
      </c>
      <c r="G88" s="279">
        <f>+C88+120</f>
        <v>42906</v>
      </c>
      <c r="H88" s="189"/>
      <c r="I88" s="185"/>
      <c r="J88" s="188"/>
      <c r="K88" s="190">
        <f>60270.4+91998.5</f>
        <v>152268.9</v>
      </c>
      <c r="L88" s="191"/>
      <c r="M88" s="192">
        <f t="shared" si="5"/>
        <v>169.86999999999534</v>
      </c>
      <c r="N88" s="430"/>
      <c r="O88" s="88"/>
    </row>
    <row r="89" spans="1:17" s="77" customFormat="1" hidden="1">
      <c r="A89" s="439" t="s">
        <v>20</v>
      </c>
      <c r="B89" s="440" t="s">
        <v>421</v>
      </c>
      <c r="C89" s="441">
        <v>42786</v>
      </c>
      <c r="D89" s="291" t="s">
        <v>16</v>
      </c>
      <c r="E89" s="442">
        <v>103380.36</v>
      </c>
      <c r="F89" s="443">
        <f>+E89*2.41935</f>
        <v>250113.27396600001</v>
      </c>
      <c r="G89" s="444">
        <f>+C89+60</f>
        <v>42846</v>
      </c>
      <c r="H89" s="189"/>
      <c r="I89" s="291"/>
      <c r="J89" s="292"/>
      <c r="K89" s="445">
        <f>44000+59200</f>
        <v>103200</v>
      </c>
      <c r="L89" s="382"/>
      <c r="M89" s="446">
        <f t="shared" si="5"/>
        <v>180.36000000000058</v>
      </c>
      <c r="N89" s="380"/>
      <c r="O89" s="62"/>
    </row>
    <row r="90" spans="1:17" s="89" customFormat="1" hidden="1">
      <c r="A90" s="182" t="s">
        <v>17</v>
      </c>
      <c r="B90" s="183" t="s">
        <v>446</v>
      </c>
      <c r="C90" s="184">
        <v>42827</v>
      </c>
      <c r="D90" s="185" t="s">
        <v>19</v>
      </c>
      <c r="E90" s="186">
        <v>153807</v>
      </c>
      <c r="F90" s="187">
        <f>+E90*2.25845</f>
        <v>347365.41914999997</v>
      </c>
      <c r="G90" s="279">
        <f>+C90+120</f>
        <v>42947</v>
      </c>
      <c r="H90" s="189"/>
      <c r="I90" s="185"/>
      <c r="J90" s="188"/>
      <c r="K90" s="190">
        <f>60269.4+93352.5</f>
        <v>153621.9</v>
      </c>
      <c r="L90" s="191"/>
      <c r="M90" s="192">
        <f t="shared" si="5"/>
        <v>185.10000000000582</v>
      </c>
      <c r="N90" s="430"/>
      <c r="O90" s="88"/>
      <c r="Q90" s="548"/>
    </row>
    <row r="91" spans="1:17" s="77" customFormat="1" hidden="1">
      <c r="A91" s="439" t="s">
        <v>20</v>
      </c>
      <c r="B91" s="440" t="s">
        <v>447</v>
      </c>
      <c r="C91" s="441">
        <v>42823</v>
      </c>
      <c r="D91" s="291" t="s">
        <v>16</v>
      </c>
      <c r="E91" s="442">
        <v>294951.15000000002</v>
      </c>
      <c r="F91" s="443">
        <f>+E91*2.42915</f>
        <v>716480.58602250007</v>
      </c>
      <c r="G91" s="444">
        <f t="shared" ref="G91:G115" si="6">+C91+60</f>
        <v>42883</v>
      </c>
      <c r="H91" s="290"/>
      <c r="I91" s="291"/>
      <c r="J91" s="292"/>
      <c r="K91" s="445">
        <f>250000+44800</f>
        <v>294800</v>
      </c>
      <c r="L91" s="382"/>
      <c r="M91" s="446">
        <f t="shared" si="5"/>
        <v>151.15000000002328</v>
      </c>
      <c r="N91" s="380"/>
      <c r="O91" s="62"/>
      <c r="Q91" s="549"/>
    </row>
    <row r="92" spans="1:17" s="77" customFormat="1">
      <c r="A92" s="421" t="s">
        <v>15</v>
      </c>
      <c r="B92" s="419" t="s">
        <v>458</v>
      </c>
      <c r="C92" s="422">
        <v>42849</v>
      </c>
      <c r="D92" s="219" t="s">
        <v>16</v>
      </c>
      <c r="E92" s="423">
        <v>34976.019999999997</v>
      </c>
      <c r="F92" s="420">
        <f>+E92*2.48185</f>
        <v>86805.235237000001</v>
      </c>
      <c r="G92" s="424">
        <f t="shared" si="6"/>
        <v>42909</v>
      </c>
      <c r="H92" s="220"/>
      <c r="I92" s="219"/>
      <c r="J92" s="425"/>
      <c r="K92" s="222">
        <v>15600</v>
      </c>
      <c r="L92" s="221"/>
      <c r="M92" s="276">
        <f t="shared" si="5"/>
        <v>19376.019999999997</v>
      </c>
      <c r="N92" s="380"/>
      <c r="O92" s="62"/>
    </row>
    <row r="93" spans="1:17" s="77" customFormat="1" hidden="1">
      <c r="A93" s="439" t="s">
        <v>20</v>
      </c>
      <c r="B93" s="440" t="s">
        <v>469</v>
      </c>
      <c r="C93" s="441">
        <v>42863</v>
      </c>
      <c r="D93" s="291" t="s">
        <v>16</v>
      </c>
      <c r="E93" s="442">
        <v>184309.16</v>
      </c>
      <c r="F93" s="443">
        <f>+E93*2.6311</f>
        <v>484935.83087599999</v>
      </c>
      <c r="G93" s="444">
        <f t="shared" si="6"/>
        <v>42923</v>
      </c>
      <c r="H93" s="290"/>
      <c r="I93" s="291"/>
      <c r="J93" s="292"/>
      <c r="K93" s="445">
        <f>36000+15000+95000+4000+34200</f>
        <v>184200</v>
      </c>
      <c r="L93" s="382"/>
      <c r="M93" s="446">
        <f t="shared" si="5"/>
        <v>109.16000000000349</v>
      </c>
      <c r="N93" s="380"/>
      <c r="O93" s="62"/>
    </row>
    <row r="94" spans="1:17" s="77" customFormat="1" hidden="1">
      <c r="A94" s="439" t="s">
        <v>20</v>
      </c>
      <c r="B94" s="440" t="s">
        <v>500</v>
      </c>
      <c r="C94" s="441">
        <v>42898</v>
      </c>
      <c r="D94" s="291" t="s">
        <v>16</v>
      </c>
      <c r="E94" s="442">
        <v>295149.58</v>
      </c>
      <c r="F94" s="443">
        <f>+E94*2.74135</f>
        <v>809108.30113300006</v>
      </c>
      <c r="G94" s="444">
        <f t="shared" si="6"/>
        <v>42958</v>
      </c>
      <c r="H94" s="290"/>
      <c r="I94" s="291"/>
      <c r="J94" s="292"/>
      <c r="K94" s="445">
        <f>70000-34200+86000+111000+62300</f>
        <v>295100</v>
      </c>
      <c r="L94" s="382"/>
      <c r="M94" s="446">
        <f t="shared" si="5"/>
        <v>49.580000000016298</v>
      </c>
      <c r="N94" s="380"/>
      <c r="O94" s="62"/>
    </row>
    <row r="95" spans="1:17" s="77" customFormat="1">
      <c r="A95" s="421" t="s">
        <v>15</v>
      </c>
      <c r="B95" s="419" t="s">
        <v>501</v>
      </c>
      <c r="C95" s="422">
        <v>42906</v>
      </c>
      <c r="D95" s="219" t="s">
        <v>16</v>
      </c>
      <c r="E95" s="423">
        <v>52992.7</v>
      </c>
      <c r="F95" s="420">
        <f>+E95*2.7377</f>
        <v>145078.11478999999</v>
      </c>
      <c r="G95" s="424">
        <f t="shared" si="6"/>
        <v>42966</v>
      </c>
      <c r="H95" s="220"/>
      <c r="I95" s="219"/>
      <c r="J95" s="425"/>
      <c r="K95" s="222"/>
      <c r="L95" s="221"/>
      <c r="M95" s="276">
        <f t="shared" si="5"/>
        <v>52992.7</v>
      </c>
      <c r="N95" s="380"/>
      <c r="O95" s="62"/>
    </row>
    <row r="96" spans="1:17" s="77" customFormat="1" hidden="1">
      <c r="A96" s="439" t="s">
        <v>20</v>
      </c>
      <c r="B96" s="440" t="s">
        <v>586</v>
      </c>
      <c r="C96" s="441">
        <v>42933</v>
      </c>
      <c r="D96" s="291" t="s">
        <v>16</v>
      </c>
      <c r="E96" s="442">
        <v>286403.78999999998</v>
      </c>
      <c r="F96" s="443">
        <f>+E96*2.7746</f>
        <v>794655.95573399996</v>
      </c>
      <c r="G96" s="444">
        <f t="shared" si="6"/>
        <v>42993</v>
      </c>
      <c r="H96" s="290"/>
      <c r="I96" s="291"/>
      <c r="J96" s="292"/>
      <c r="K96" s="445">
        <f>180000+47200+7500+51650</f>
        <v>286350</v>
      </c>
      <c r="L96" s="382"/>
      <c r="M96" s="446">
        <f t="shared" si="5"/>
        <v>53.789999999979045</v>
      </c>
      <c r="N96" s="380"/>
      <c r="O96" s="62"/>
    </row>
    <row r="97" spans="1:15" s="77" customFormat="1" hidden="1">
      <c r="A97" s="249" t="s">
        <v>20</v>
      </c>
      <c r="B97" s="250" t="s">
        <v>593</v>
      </c>
      <c r="C97" s="251">
        <v>42963</v>
      </c>
      <c r="D97" s="252" t="s">
        <v>16</v>
      </c>
      <c r="E97" s="253">
        <v>94511.3</v>
      </c>
      <c r="F97" s="254">
        <f>+E97*2.80685</f>
        <v>265279.04240500001</v>
      </c>
      <c r="G97" s="770">
        <f t="shared" si="6"/>
        <v>43023</v>
      </c>
      <c r="H97" s="273"/>
      <c r="I97" s="252"/>
      <c r="J97" s="274"/>
      <c r="K97" s="256">
        <f>125000-51650+21100</f>
        <v>94450</v>
      </c>
      <c r="L97" s="255"/>
      <c r="M97" s="277">
        <f t="shared" si="5"/>
        <v>61.30000000000291</v>
      </c>
      <c r="N97" s="380"/>
      <c r="O97" s="62"/>
    </row>
    <row r="98" spans="1:15" s="77" customFormat="1" hidden="1">
      <c r="A98" s="249" t="s">
        <v>20</v>
      </c>
      <c r="B98" s="250" t="s">
        <v>595</v>
      </c>
      <c r="C98" s="251">
        <v>42975</v>
      </c>
      <c r="D98" s="252" t="s">
        <v>16</v>
      </c>
      <c r="E98" s="253">
        <v>278132.68</v>
      </c>
      <c r="F98" s="254">
        <f>+E98*2.88515</f>
        <v>802454.50170199992</v>
      </c>
      <c r="G98" s="770">
        <f t="shared" si="6"/>
        <v>43035</v>
      </c>
      <c r="H98" s="273"/>
      <c r="I98" s="252"/>
      <c r="J98" s="274"/>
      <c r="K98" s="256">
        <f>100000-21100+102000+97200</f>
        <v>278100</v>
      </c>
      <c r="L98" s="255"/>
      <c r="M98" s="277">
        <f t="shared" si="5"/>
        <v>32.679999999993015</v>
      </c>
      <c r="N98" s="380"/>
      <c r="O98" s="62"/>
    </row>
    <row r="99" spans="1:15" s="77" customFormat="1" hidden="1">
      <c r="A99" s="249" t="s">
        <v>20</v>
      </c>
      <c r="B99" s="250" t="s">
        <v>702</v>
      </c>
      <c r="C99" s="251">
        <v>43010</v>
      </c>
      <c r="D99" s="252" t="s">
        <v>16</v>
      </c>
      <c r="E99" s="253">
        <v>94696.34</v>
      </c>
      <c r="F99" s="254">
        <f>+E99*2.8948</f>
        <v>274126.96503199998</v>
      </c>
      <c r="G99" s="770">
        <f t="shared" si="6"/>
        <v>43070</v>
      </c>
      <c r="H99" s="273"/>
      <c r="I99" s="252"/>
      <c r="J99" s="274"/>
      <c r="K99" s="256">
        <v>94650</v>
      </c>
      <c r="L99" s="255"/>
      <c r="M99" s="277">
        <f t="shared" si="5"/>
        <v>46.339999999996508</v>
      </c>
      <c r="N99" s="380"/>
      <c r="O99" s="62"/>
    </row>
    <row r="100" spans="1:15" s="77" customFormat="1" hidden="1">
      <c r="A100" s="249" t="s">
        <v>20</v>
      </c>
      <c r="B100" s="250" t="s">
        <v>770</v>
      </c>
      <c r="C100" s="251">
        <v>43019</v>
      </c>
      <c r="D100" s="252" t="s">
        <v>16</v>
      </c>
      <c r="E100" s="253">
        <v>87025.13</v>
      </c>
      <c r="F100" s="254">
        <f>+E100*2.902</f>
        <v>252546.92726000003</v>
      </c>
      <c r="G100" s="770">
        <f t="shared" si="6"/>
        <v>43079</v>
      </c>
      <c r="H100" s="273"/>
      <c r="I100" s="252"/>
      <c r="J100" s="274"/>
      <c r="K100" s="256">
        <f>8150+78800</f>
        <v>86950</v>
      </c>
      <c r="L100" s="255"/>
      <c r="M100" s="277">
        <f t="shared" si="5"/>
        <v>75.130000000004657</v>
      </c>
      <c r="N100" s="380"/>
      <c r="O100" s="62"/>
    </row>
    <row r="101" spans="1:15" s="77" customFormat="1" hidden="1">
      <c r="A101" s="249" t="s">
        <v>20</v>
      </c>
      <c r="B101" s="250" t="s">
        <v>805</v>
      </c>
      <c r="C101" s="251">
        <v>43026</v>
      </c>
      <c r="D101" s="252" t="s">
        <v>16</v>
      </c>
      <c r="E101" s="253">
        <v>98676.9</v>
      </c>
      <c r="F101" s="254">
        <f>+E101*2.89915</f>
        <v>286079.13463499997</v>
      </c>
      <c r="G101" s="770">
        <f t="shared" si="6"/>
        <v>43086</v>
      </c>
      <c r="H101" s="273"/>
      <c r="I101" s="252"/>
      <c r="J101" s="274"/>
      <c r="K101" s="256">
        <v>98600</v>
      </c>
      <c r="L101" s="255"/>
      <c r="M101" s="277">
        <f t="shared" si="5"/>
        <v>76.899999999994179</v>
      </c>
      <c r="N101" s="380"/>
      <c r="O101" s="62"/>
    </row>
    <row r="102" spans="1:15" s="77" customFormat="1">
      <c r="A102" s="67" t="s">
        <v>20</v>
      </c>
      <c r="B102" s="68" t="s">
        <v>806</v>
      </c>
      <c r="C102" s="69">
        <v>43031</v>
      </c>
      <c r="D102" s="73" t="s">
        <v>16</v>
      </c>
      <c r="E102" s="70">
        <v>90761.4</v>
      </c>
      <c r="F102" s="71">
        <f>+E102*2.9083</f>
        <v>263961.37962000002</v>
      </c>
      <c r="G102" s="72">
        <f t="shared" si="6"/>
        <v>43091</v>
      </c>
      <c r="H102" s="247"/>
      <c r="I102" s="73"/>
      <c r="J102" s="246"/>
      <c r="K102" s="75">
        <f>22600+60000</f>
        <v>82600</v>
      </c>
      <c r="L102" s="74"/>
      <c r="M102" s="349">
        <f t="shared" si="5"/>
        <v>8161.3999999999942</v>
      </c>
      <c r="N102" s="380"/>
      <c r="O102" s="62"/>
    </row>
    <row r="103" spans="1:15" s="77" customFormat="1">
      <c r="A103" s="67" t="s">
        <v>20</v>
      </c>
      <c r="B103" s="68" t="s">
        <v>855</v>
      </c>
      <c r="C103" s="69">
        <v>43035</v>
      </c>
      <c r="D103" s="73" t="s">
        <v>16</v>
      </c>
      <c r="E103" s="70">
        <v>101159.6</v>
      </c>
      <c r="F103" s="71">
        <f>+E103*2.9096</f>
        <v>294333.97216000006</v>
      </c>
      <c r="G103" s="72">
        <f t="shared" si="6"/>
        <v>43095</v>
      </c>
      <c r="H103" s="247"/>
      <c r="I103" s="73"/>
      <c r="J103" s="246"/>
      <c r="K103" s="75"/>
      <c r="L103" s="74"/>
      <c r="M103" s="349">
        <f t="shared" si="5"/>
        <v>101159.6</v>
      </c>
      <c r="N103" s="380"/>
      <c r="O103" s="62"/>
    </row>
    <row r="104" spans="1:15" s="77" customFormat="1">
      <c r="A104" s="67" t="s">
        <v>20</v>
      </c>
      <c r="B104" s="68" t="s">
        <v>857</v>
      </c>
      <c r="C104" s="69">
        <v>43041</v>
      </c>
      <c r="D104" s="73" t="s">
        <v>16</v>
      </c>
      <c r="E104" s="70">
        <v>101167.8</v>
      </c>
      <c r="F104" s="71">
        <f>+E104*2.8951</f>
        <v>292890.89778</v>
      </c>
      <c r="G104" s="72">
        <f t="shared" si="6"/>
        <v>43101</v>
      </c>
      <c r="H104" s="247"/>
      <c r="I104" s="73"/>
      <c r="J104" s="246"/>
      <c r="K104" s="75"/>
      <c r="L104" s="74"/>
      <c r="M104" s="349">
        <f t="shared" si="5"/>
        <v>101167.8</v>
      </c>
      <c r="N104" s="380"/>
      <c r="O104" s="62"/>
    </row>
    <row r="105" spans="1:15" s="77" customFormat="1">
      <c r="A105" s="67" t="s">
        <v>20</v>
      </c>
      <c r="B105" s="68" t="s">
        <v>893</v>
      </c>
      <c r="C105" s="69">
        <v>43048</v>
      </c>
      <c r="D105" s="73" t="s">
        <v>16</v>
      </c>
      <c r="E105" s="70">
        <v>96608.7</v>
      </c>
      <c r="F105" s="71">
        <f>+E105*2.8966</f>
        <v>279836.76041999995</v>
      </c>
      <c r="G105" s="72">
        <f t="shared" si="6"/>
        <v>43108</v>
      </c>
      <c r="H105" s="247"/>
      <c r="I105" s="73"/>
      <c r="J105" s="246"/>
      <c r="K105" s="75"/>
      <c r="L105" s="74"/>
      <c r="M105" s="349">
        <f t="shared" si="5"/>
        <v>96608.7</v>
      </c>
      <c r="N105" s="380"/>
      <c r="O105" s="62"/>
    </row>
    <row r="106" spans="1:15" s="77" customFormat="1">
      <c r="A106" s="67" t="s">
        <v>20</v>
      </c>
      <c r="B106" s="68" t="s">
        <v>962</v>
      </c>
      <c r="C106" s="69">
        <v>43055</v>
      </c>
      <c r="D106" s="73" t="s">
        <v>16</v>
      </c>
      <c r="E106" s="70">
        <v>97238.05</v>
      </c>
      <c r="F106" s="71">
        <f>+E106*2.9226</f>
        <v>284187.92493000004</v>
      </c>
      <c r="G106" s="72">
        <f t="shared" si="6"/>
        <v>43115</v>
      </c>
      <c r="H106" s="247"/>
      <c r="I106" s="73"/>
      <c r="J106" s="246"/>
      <c r="K106" s="75"/>
      <c r="L106" s="74"/>
      <c r="M106" s="349">
        <f t="shared" si="5"/>
        <v>97238.05</v>
      </c>
      <c r="N106" s="380"/>
      <c r="O106" s="62"/>
    </row>
    <row r="107" spans="1:15" s="77" customFormat="1">
      <c r="A107" s="67" t="s">
        <v>20</v>
      </c>
      <c r="B107" s="68" t="s">
        <v>982</v>
      </c>
      <c r="C107" s="69">
        <v>43060</v>
      </c>
      <c r="D107" s="73" t="s">
        <v>16</v>
      </c>
      <c r="E107" s="70">
        <v>98581.08</v>
      </c>
      <c r="F107" s="71">
        <f>+E107*2.9136</f>
        <v>287225.83468800003</v>
      </c>
      <c r="G107" s="72">
        <f t="shared" si="6"/>
        <v>43120</v>
      </c>
      <c r="H107" s="247"/>
      <c r="I107" s="73"/>
      <c r="J107" s="246"/>
      <c r="K107" s="75"/>
      <c r="L107" s="74"/>
      <c r="M107" s="349">
        <f t="shared" si="5"/>
        <v>98581.08</v>
      </c>
      <c r="N107" s="380"/>
      <c r="O107" s="62"/>
    </row>
    <row r="108" spans="1:15" s="77" customFormat="1">
      <c r="A108" s="67" t="s">
        <v>20</v>
      </c>
      <c r="B108" s="68" t="s">
        <v>1000</v>
      </c>
      <c r="C108" s="69">
        <v>43062</v>
      </c>
      <c r="D108" s="73" t="s">
        <v>16</v>
      </c>
      <c r="E108" s="70">
        <v>98946.8</v>
      </c>
      <c r="F108" s="71">
        <f>+E108*2.9144</f>
        <v>288370.55392000003</v>
      </c>
      <c r="G108" s="72">
        <f t="shared" si="6"/>
        <v>43122</v>
      </c>
      <c r="H108" s="247"/>
      <c r="I108" s="73"/>
      <c r="J108" s="246"/>
      <c r="K108" s="75"/>
      <c r="L108" s="74"/>
      <c r="M108" s="349">
        <f t="shared" si="5"/>
        <v>98946.8</v>
      </c>
      <c r="N108" s="380"/>
      <c r="O108" s="62"/>
    </row>
    <row r="109" spans="1:15" s="77" customFormat="1">
      <c r="A109" s="67" t="s">
        <v>20</v>
      </c>
      <c r="B109" s="68" t="s">
        <v>1102</v>
      </c>
      <c r="C109" s="69">
        <v>43075</v>
      </c>
      <c r="D109" s="73" t="s">
        <v>16</v>
      </c>
      <c r="E109" s="70">
        <v>185065.83</v>
      </c>
      <c r="F109" s="71">
        <f>+E109*2.9164</f>
        <v>539725.98661199992</v>
      </c>
      <c r="G109" s="72">
        <f t="shared" si="6"/>
        <v>43135</v>
      </c>
      <c r="H109" s="247"/>
      <c r="I109" s="73"/>
      <c r="J109" s="246"/>
      <c r="K109" s="75"/>
      <c r="L109" s="74"/>
      <c r="M109" s="349">
        <f t="shared" si="5"/>
        <v>185065.83</v>
      </c>
      <c r="N109" s="380"/>
      <c r="O109" s="62"/>
    </row>
    <row r="110" spans="1:15" s="77" customFormat="1">
      <c r="A110" s="67" t="s">
        <v>15</v>
      </c>
      <c r="B110" s="68" t="s">
        <v>1103</v>
      </c>
      <c r="C110" s="69">
        <v>43075</v>
      </c>
      <c r="D110" s="73" t="s">
        <v>16</v>
      </c>
      <c r="E110" s="70">
        <v>14634.52</v>
      </c>
      <c r="F110" s="71">
        <f>+E110*2.9164</f>
        <v>42680.114128000001</v>
      </c>
      <c r="G110" s="72">
        <f t="shared" si="6"/>
        <v>43135</v>
      </c>
      <c r="H110" s="247"/>
      <c r="I110" s="73"/>
      <c r="J110" s="246"/>
      <c r="K110" s="75"/>
      <c r="L110" s="74"/>
      <c r="M110" s="349">
        <f t="shared" si="5"/>
        <v>14634.52</v>
      </c>
      <c r="N110" s="380"/>
      <c r="O110" s="62"/>
    </row>
    <row r="111" spans="1:15" s="77" customFormat="1">
      <c r="A111" s="67" t="s">
        <v>20</v>
      </c>
      <c r="B111" s="68" t="s">
        <v>1126</v>
      </c>
      <c r="C111" s="69">
        <v>43082</v>
      </c>
      <c r="D111" s="73" t="s">
        <v>16</v>
      </c>
      <c r="E111" s="70">
        <v>168283.6</v>
      </c>
      <c r="F111" s="71">
        <f>+E111*2.9163</f>
        <v>490765.46268000006</v>
      </c>
      <c r="G111" s="72">
        <f t="shared" si="6"/>
        <v>43142</v>
      </c>
      <c r="H111" s="247"/>
      <c r="I111" s="73"/>
      <c r="J111" s="246"/>
      <c r="K111" s="75"/>
      <c r="L111" s="74"/>
      <c r="M111" s="349">
        <f t="shared" si="5"/>
        <v>168283.6</v>
      </c>
      <c r="N111" s="380"/>
      <c r="O111" s="62"/>
    </row>
    <row r="112" spans="1:15" s="77" customFormat="1">
      <c r="A112" s="67" t="s">
        <v>20</v>
      </c>
      <c r="B112" s="68" t="s">
        <v>1127</v>
      </c>
      <c r="C112" s="69">
        <v>43083</v>
      </c>
      <c r="D112" s="73" t="s">
        <v>16</v>
      </c>
      <c r="E112" s="70">
        <v>88099.11</v>
      </c>
      <c r="F112" s="71">
        <f>+E112*2.9163</f>
        <v>256923.43449300001</v>
      </c>
      <c r="G112" s="72">
        <f t="shared" si="6"/>
        <v>43143</v>
      </c>
      <c r="H112" s="247"/>
      <c r="I112" s="73"/>
      <c r="J112" s="246"/>
      <c r="K112" s="75"/>
      <c r="L112" s="74"/>
      <c r="M112" s="349">
        <f t="shared" si="5"/>
        <v>88099.11</v>
      </c>
      <c r="N112" s="380"/>
      <c r="O112" s="62"/>
    </row>
    <row r="113" spans="1:15" s="77" customFormat="1">
      <c r="A113" s="67" t="s">
        <v>20</v>
      </c>
      <c r="B113" s="68" t="s">
        <v>1350</v>
      </c>
      <c r="C113" s="69">
        <v>43091</v>
      </c>
      <c r="D113" s="73" t="s">
        <v>16</v>
      </c>
      <c r="E113" s="70">
        <v>97608.05</v>
      </c>
      <c r="F113" s="71">
        <f>+E113*2.92675</f>
        <v>285674.36033750005</v>
      </c>
      <c r="G113" s="72">
        <f t="shared" si="6"/>
        <v>43151</v>
      </c>
      <c r="H113" s="247"/>
      <c r="I113" s="73"/>
      <c r="J113" s="246"/>
      <c r="K113" s="75"/>
      <c r="L113" s="74"/>
      <c r="M113" s="349">
        <f t="shared" si="5"/>
        <v>97608.05</v>
      </c>
      <c r="N113" s="380"/>
      <c r="O113" s="62"/>
    </row>
    <row r="114" spans="1:15" s="77" customFormat="1">
      <c r="A114" s="67" t="s">
        <v>20</v>
      </c>
      <c r="B114" s="68" t="s">
        <v>1365</v>
      </c>
      <c r="C114" s="69">
        <v>43104</v>
      </c>
      <c r="D114" s="73" t="s">
        <v>16</v>
      </c>
      <c r="E114" s="70">
        <v>102081.42</v>
      </c>
      <c r="F114" s="71">
        <f>+E114*2.94</f>
        <v>300119.37479999999</v>
      </c>
      <c r="G114" s="72">
        <f t="shared" si="6"/>
        <v>43164</v>
      </c>
      <c r="H114" s="247"/>
      <c r="I114" s="73"/>
      <c r="J114" s="246"/>
      <c r="K114" s="75"/>
      <c r="L114" s="74"/>
      <c r="M114" s="349">
        <f t="shared" si="5"/>
        <v>102081.42</v>
      </c>
      <c r="N114" s="380"/>
      <c r="O114" s="62"/>
    </row>
    <row r="115" spans="1:15" s="77" customFormat="1">
      <c r="A115" s="67" t="s">
        <v>20</v>
      </c>
      <c r="B115" s="68" t="s">
        <v>1377</v>
      </c>
      <c r="C115" s="69">
        <v>43109</v>
      </c>
      <c r="D115" s="73" t="s">
        <v>16</v>
      </c>
      <c r="E115" s="70">
        <v>93737.67</v>
      </c>
      <c r="F115" s="71">
        <f>+E115*2.9394</f>
        <v>275532.50719799998</v>
      </c>
      <c r="G115" s="72">
        <f t="shared" si="6"/>
        <v>43169</v>
      </c>
      <c r="H115" s="247"/>
      <c r="I115" s="73"/>
      <c r="J115" s="246"/>
      <c r="K115" s="75"/>
      <c r="L115" s="74"/>
      <c r="M115" s="349">
        <f t="shared" si="5"/>
        <v>93737.67</v>
      </c>
      <c r="N115" s="380"/>
      <c r="O115" s="62"/>
    </row>
    <row r="116" spans="1:15" s="77" customFormat="1" ht="13.5" thickBot="1">
      <c r="A116" s="78"/>
      <c r="B116" s="79"/>
      <c r="C116" s="80"/>
      <c r="D116" s="80"/>
      <c r="E116" s="81"/>
      <c r="F116" s="82"/>
      <c r="G116" s="83"/>
      <c r="H116" s="84"/>
      <c r="I116" s="80"/>
      <c r="J116" s="85"/>
      <c r="K116" s="86"/>
      <c r="L116" s="85"/>
      <c r="M116" s="378"/>
      <c r="N116" s="380"/>
      <c r="O116" s="62"/>
    </row>
    <row r="117" spans="1:15" ht="13.5" thickBot="1">
      <c r="G117" s="296"/>
    </row>
    <row r="118" spans="1:15" ht="13.5" thickBot="1">
      <c r="A118" s="1051" t="s">
        <v>0</v>
      </c>
      <c r="B118" s="1049" t="s">
        <v>1</v>
      </c>
      <c r="C118" s="1049"/>
      <c r="D118" s="1049"/>
      <c r="E118" s="1049"/>
      <c r="F118" s="1049"/>
      <c r="G118" s="1049"/>
      <c r="H118" s="1050" t="s">
        <v>2</v>
      </c>
      <c r="I118" s="1050"/>
      <c r="J118" s="1050"/>
      <c r="K118" s="1050" t="s">
        <v>3</v>
      </c>
      <c r="L118" s="1050"/>
      <c r="M118" s="1051" t="s">
        <v>4</v>
      </c>
    </row>
    <row r="119" spans="1:15" ht="13.5" thickBot="1">
      <c r="A119" s="1051"/>
      <c r="B119" s="505" t="s">
        <v>5</v>
      </c>
      <c r="C119" s="505" t="s">
        <v>6</v>
      </c>
      <c r="D119" s="505" t="s">
        <v>7</v>
      </c>
      <c r="E119" s="31" t="s">
        <v>8</v>
      </c>
      <c r="F119" s="28" t="s">
        <v>9</v>
      </c>
      <c r="G119" s="506" t="s">
        <v>10</v>
      </c>
      <c r="H119" s="28" t="s">
        <v>11</v>
      </c>
      <c r="I119" s="505" t="s">
        <v>12</v>
      </c>
      <c r="J119" s="506" t="s">
        <v>13</v>
      </c>
      <c r="K119" s="31" t="s">
        <v>11</v>
      </c>
      <c r="L119" s="506" t="s">
        <v>14</v>
      </c>
      <c r="M119" s="1051"/>
    </row>
    <row r="120" spans="1:15" s="26" customFormat="1">
      <c r="A120" s="439" t="s">
        <v>575</v>
      </c>
      <c r="B120" s="440" t="s">
        <v>576</v>
      </c>
      <c r="C120" s="441">
        <v>42922</v>
      </c>
      <c r="D120" s="291" t="s">
        <v>16</v>
      </c>
      <c r="E120" s="442">
        <v>16500</v>
      </c>
      <c r="F120" s="443">
        <f>+E120*2.75975</f>
        <v>45535.875</v>
      </c>
      <c r="G120" s="292">
        <f t="shared" ref="G120:G137" si="7">+C120+60</f>
        <v>42982</v>
      </c>
      <c r="H120" s="290"/>
      <c r="I120" s="441"/>
      <c r="J120" s="292"/>
      <c r="K120" s="445">
        <v>16448</v>
      </c>
      <c r="L120" s="382"/>
      <c r="M120" s="446">
        <f>E120-K120</f>
        <v>52</v>
      </c>
      <c r="N120" s="432"/>
      <c r="O120" s="718"/>
    </row>
    <row r="121" spans="1:15" s="26" customFormat="1">
      <c r="A121" s="439" t="s">
        <v>575</v>
      </c>
      <c r="B121" s="440" t="s">
        <v>577</v>
      </c>
      <c r="C121" s="441">
        <v>42929</v>
      </c>
      <c r="D121" s="291" t="s">
        <v>16</v>
      </c>
      <c r="E121" s="442">
        <v>6020</v>
      </c>
      <c r="F121" s="443">
        <f>+E121*2.77865</f>
        <v>16727.472999999998</v>
      </c>
      <c r="G121" s="292">
        <f t="shared" si="7"/>
        <v>42989</v>
      </c>
      <c r="H121" s="290"/>
      <c r="I121" s="441"/>
      <c r="J121" s="292"/>
      <c r="K121" s="445">
        <v>6000</v>
      </c>
      <c r="L121" s="382"/>
      <c r="M121" s="446">
        <f t="shared" ref="M121:M137" si="8">E121-K121</f>
        <v>20</v>
      </c>
      <c r="N121" s="432"/>
      <c r="O121" s="508"/>
    </row>
    <row r="122" spans="1:15" s="26" customFormat="1">
      <c r="A122" s="509" t="s">
        <v>575</v>
      </c>
      <c r="B122" s="386" t="s">
        <v>578</v>
      </c>
      <c r="C122" s="510">
        <v>42936</v>
      </c>
      <c r="D122" s="511" t="s">
        <v>16</v>
      </c>
      <c r="E122" s="512">
        <v>16500</v>
      </c>
      <c r="F122" s="389">
        <f>+E122*2.78795</f>
        <v>46001.174999999996</v>
      </c>
      <c r="G122" s="513">
        <f t="shared" si="7"/>
        <v>42996</v>
      </c>
      <c r="H122" s="514"/>
      <c r="I122" s="510"/>
      <c r="J122" s="513"/>
      <c r="K122" s="515">
        <f>6500</f>
        <v>6500</v>
      </c>
      <c r="L122" s="516"/>
      <c r="M122" s="517">
        <f t="shared" si="8"/>
        <v>10000</v>
      </c>
      <c r="N122" s="432"/>
      <c r="O122" s="508"/>
    </row>
    <row r="123" spans="1:15" s="26" customFormat="1">
      <c r="A123" s="509" t="s">
        <v>575</v>
      </c>
      <c r="B123" s="386" t="s">
        <v>579</v>
      </c>
      <c r="C123" s="510">
        <v>42951</v>
      </c>
      <c r="D123" s="511" t="s">
        <v>16</v>
      </c>
      <c r="E123" s="512">
        <v>11215</v>
      </c>
      <c r="F123" s="389">
        <f>+E123*2.81145</f>
        <v>31530.411749999999</v>
      </c>
      <c r="G123" s="513">
        <f t="shared" si="7"/>
        <v>43011</v>
      </c>
      <c r="H123" s="514"/>
      <c r="I123" s="510"/>
      <c r="J123" s="513"/>
      <c r="K123" s="515"/>
      <c r="L123" s="516"/>
      <c r="M123" s="517">
        <f t="shared" si="8"/>
        <v>11215</v>
      </c>
      <c r="N123" s="432"/>
      <c r="O123" s="508"/>
    </row>
    <row r="124" spans="1:15" s="26" customFormat="1">
      <c r="A124" s="509" t="s">
        <v>575</v>
      </c>
      <c r="B124" s="386" t="s">
        <v>592</v>
      </c>
      <c r="C124" s="510">
        <v>42958</v>
      </c>
      <c r="D124" s="511" t="s">
        <v>16</v>
      </c>
      <c r="E124" s="512">
        <v>8140</v>
      </c>
      <c r="F124" s="389">
        <f>+E124*2.80365</f>
        <v>22821.711000000003</v>
      </c>
      <c r="G124" s="513">
        <f t="shared" si="7"/>
        <v>43018</v>
      </c>
      <c r="H124" s="514"/>
      <c r="I124" s="510"/>
      <c r="J124" s="513"/>
      <c r="K124" s="515"/>
      <c r="L124" s="516"/>
      <c r="M124" s="517">
        <f t="shared" si="8"/>
        <v>8140</v>
      </c>
      <c r="N124" s="432"/>
      <c r="O124" s="508"/>
    </row>
    <row r="125" spans="1:15" s="26" customFormat="1">
      <c r="A125" s="509" t="s">
        <v>575</v>
      </c>
      <c r="B125" s="386" t="s">
        <v>594</v>
      </c>
      <c r="C125" s="510">
        <v>42965</v>
      </c>
      <c r="D125" s="511" t="s">
        <v>16</v>
      </c>
      <c r="E125" s="512">
        <v>15050</v>
      </c>
      <c r="F125" s="389">
        <f>+E125*2.80865</f>
        <v>42270.182500000003</v>
      </c>
      <c r="G125" s="513">
        <f t="shared" si="7"/>
        <v>43025</v>
      </c>
      <c r="H125" s="514"/>
      <c r="I125" s="510"/>
      <c r="J125" s="513"/>
      <c r="K125" s="515"/>
      <c r="L125" s="516"/>
      <c r="M125" s="517">
        <f t="shared" si="8"/>
        <v>15050</v>
      </c>
      <c r="N125" s="432"/>
      <c r="O125" s="508"/>
    </row>
    <row r="126" spans="1:15" s="26" customFormat="1">
      <c r="A126" s="509" t="s">
        <v>575</v>
      </c>
      <c r="B126" s="386" t="s">
        <v>596</v>
      </c>
      <c r="C126" s="510">
        <v>42977</v>
      </c>
      <c r="D126" s="511" t="s">
        <v>16</v>
      </c>
      <c r="E126" s="512">
        <v>30250</v>
      </c>
      <c r="F126" s="389">
        <f>+E126*2.889</f>
        <v>87392.25</v>
      </c>
      <c r="G126" s="513">
        <f t="shared" si="7"/>
        <v>43037</v>
      </c>
      <c r="H126" s="514"/>
      <c r="I126" s="510"/>
      <c r="J126" s="513"/>
      <c r="K126" s="515"/>
      <c r="L126" s="516"/>
      <c r="M126" s="517">
        <f t="shared" si="8"/>
        <v>30250</v>
      </c>
      <c r="N126" s="432"/>
      <c r="O126" s="508"/>
    </row>
    <row r="127" spans="1:15" s="26" customFormat="1">
      <c r="A127" s="509" t="s">
        <v>575</v>
      </c>
      <c r="B127" s="386" t="s">
        <v>647</v>
      </c>
      <c r="C127" s="510">
        <v>42985</v>
      </c>
      <c r="D127" s="511" t="s">
        <v>16</v>
      </c>
      <c r="E127" s="512">
        <v>7200</v>
      </c>
      <c r="F127" s="389">
        <f>E127*2.893</f>
        <v>20829.599999999999</v>
      </c>
      <c r="G127" s="513">
        <f t="shared" si="7"/>
        <v>43045</v>
      </c>
      <c r="H127" s="514"/>
      <c r="I127" s="510"/>
      <c r="J127" s="513"/>
      <c r="K127" s="515"/>
      <c r="L127" s="516"/>
      <c r="M127" s="517">
        <f t="shared" si="8"/>
        <v>7200</v>
      </c>
      <c r="N127" s="432"/>
      <c r="O127" s="508"/>
    </row>
    <row r="128" spans="1:15" s="26" customFormat="1">
      <c r="A128" s="509" t="s">
        <v>575</v>
      </c>
      <c r="B128" s="386" t="s">
        <v>648</v>
      </c>
      <c r="C128" s="510">
        <v>42992</v>
      </c>
      <c r="D128" s="511" t="s">
        <v>16</v>
      </c>
      <c r="E128" s="512">
        <v>34946.269999999997</v>
      </c>
      <c r="F128" s="389">
        <f>+E128*2.899</f>
        <v>101309.23672999999</v>
      </c>
      <c r="G128" s="513">
        <f t="shared" si="7"/>
        <v>43052</v>
      </c>
      <c r="H128" s="514"/>
      <c r="I128" s="510"/>
      <c r="J128" s="513"/>
      <c r="K128" s="515"/>
      <c r="L128" s="516"/>
      <c r="M128" s="517">
        <f t="shared" si="8"/>
        <v>34946.269999999997</v>
      </c>
      <c r="N128" s="432"/>
      <c r="O128" s="508"/>
    </row>
    <row r="129" spans="1:15" s="26" customFormat="1">
      <c r="A129" s="509" t="s">
        <v>575</v>
      </c>
      <c r="B129" s="386" t="s">
        <v>761</v>
      </c>
      <c r="C129" s="510">
        <v>43006</v>
      </c>
      <c r="D129" s="511" t="s">
        <v>16</v>
      </c>
      <c r="E129" s="512">
        <v>44550</v>
      </c>
      <c r="F129" s="389">
        <f>+E129*2.893</f>
        <v>128883.15</v>
      </c>
      <c r="G129" s="513">
        <f t="shared" si="7"/>
        <v>43066</v>
      </c>
      <c r="H129" s="514"/>
      <c r="I129" s="510"/>
      <c r="J129" s="513"/>
      <c r="K129" s="515"/>
      <c r="L129" s="516"/>
      <c r="M129" s="517">
        <f t="shared" si="8"/>
        <v>44550</v>
      </c>
      <c r="N129" s="432"/>
      <c r="O129" s="508"/>
    </row>
    <row r="130" spans="1:15" s="26" customFormat="1">
      <c r="A130" s="509" t="s">
        <v>575</v>
      </c>
      <c r="B130" s="386" t="s">
        <v>771</v>
      </c>
      <c r="C130" s="510">
        <v>43019</v>
      </c>
      <c r="D130" s="511" t="s">
        <v>16</v>
      </c>
      <c r="E130" s="512">
        <v>27337.5</v>
      </c>
      <c r="F130" s="389">
        <f>+E130*2.9093</f>
        <v>79532.988750000004</v>
      </c>
      <c r="G130" s="513">
        <f t="shared" si="7"/>
        <v>43079</v>
      </c>
      <c r="H130" s="514"/>
      <c r="I130" s="510"/>
      <c r="J130" s="513"/>
      <c r="K130" s="515"/>
      <c r="L130" s="516"/>
      <c r="M130" s="517">
        <f t="shared" si="8"/>
        <v>27337.5</v>
      </c>
      <c r="N130" s="432"/>
      <c r="O130" s="508"/>
    </row>
    <row r="131" spans="1:15" s="26" customFormat="1">
      <c r="A131" s="509" t="s">
        <v>575</v>
      </c>
      <c r="B131" s="386" t="s">
        <v>854</v>
      </c>
      <c r="C131" s="510">
        <v>43034</v>
      </c>
      <c r="D131" s="511" t="s">
        <v>16</v>
      </c>
      <c r="E131" s="512">
        <v>15386.35</v>
      </c>
      <c r="F131" s="389">
        <f>+E131*2.9096</f>
        <v>44768.123960000004</v>
      </c>
      <c r="G131" s="513">
        <f t="shared" si="7"/>
        <v>43094</v>
      </c>
      <c r="H131" s="514"/>
      <c r="I131" s="510"/>
      <c r="J131" s="513"/>
      <c r="K131" s="515"/>
      <c r="L131" s="516"/>
      <c r="M131" s="517">
        <f t="shared" si="8"/>
        <v>15386.35</v>
      </c>
      <c r="N131" s="432"/>
      <c r="O131" s="508"/>
    </row>
    <row r="132" spans="1:15" s="26" customFormat="1">
      <c r="A132" s="439" t="s">
        <v>575</v>
      </c>
      <c r="B132" s="440" t="s">
        <v>963</v>
      </c>
      <c r="C132" s="441">
        <v>43054</v>
      </c>
      <c r="D132" s="291" t="s">
        <v>16</v>
      </c>
      <c r="E132" s="442">
        <v>13053.6</v>
      </c>
      <c r="F132" s="443">
        <f>+E132*2.9226</f>
        <v>38150.451359999999</v>
      </c>
      <c r="G132" s="292">
        <f t="shared" si="7"/>
        <v>43114</v>
      </c>
      <c r="H132" s="290"/>
      <c r="I132" s="441"/>
      <c r="J132" s="292"/>
      <c r="K132" s="445">
        <v>13053.6</v>
      </c>
      <c r="L132" s="382"/>
      <c r="M132" s="446">
        <f t="shared" si="8"/>
        <v>0</v>
      </c>
      <c r="N132" s="432"/>
      <c r="O132" s="508"/>
    </row>
    <row r="133" spans="1:15" s="47" customFormat="1">
      <c r="A133" s="439" t="s">
        <v>15</v>
      </c>
      <c r="B133" s="440" t="s">
        <v>1104</v>
      </c>
      <c r="C133" s="441">
        <v>43075</v>
      </c>
      <c r="D133" s="291" t="s">
        <v>16</v>
      </c>
      <c r="E133" s="442">
        <v>20473.650000000001</v>
      </c>
      <c r="F133" s="443">
        <f>+E133*2.9164</f>
        <v>59709.352859999999</v>
      </c>
      <c r="G133" s="292">
        <f t="shared" si="7"/>
        <v>43135</v>
      </c>
      <c r="H133" s="290"/>
      <c r="I133" s="441"/>
      <c r="J133" s="292"/>
      <c r="K133" s="445">
        <v>20423.650000000001</v>
      </c>
      <c r="L133" s="382"/>
      <c r="M133" s="446">
        <f t="shared" si="8"/>
        <v>50</v>
      </c>
      <c r="N133" s="299"/>
      <c r="O133" s="846"/>
    </row>
    <row r="134" spans="1:15" s="47" customFormat="1">
      <c r="A134" s="439" t="s">
        <v>575</v>
      </c>
      <c r="B134" s="440" t="s">
        <v>1105</v>
      </c>
      <c r="C134" s="441">
        <v>43075</v>
      </c>
      <c r="D134" s="291" t="s">
        <v>16</v>
      </c>
      <c r="E134" s="442">
        <v>21698.71</v>
      </c>
      <c r="F134" s="443">
        <f>+E134*2.9164</f>
        <v>63282.117843999993</v>
      </c>
      <c r="G134" s="292">
        <f t="shared" si="7"/>
        <v>43135</v>
      </c>
      <c r="H134" s="290"/>
      <c r="I134" s="441"/>
      <c r="J134" s="292"/>
      <c r="K134" s="445">
        <v>21642.81</v>
      </c>
      <c r="L134" s="292">
        <v>43098</v>
      </c>
      <c r="M134" s="446">
        <f t="shared" si="8"/>
        <v>55.899999999997817</v>
      </c>
      <c r="N134" s="299"/>
      <c r="O134" s="846"/>
    </row>
    <row r="135" spans="1:15" s="47" customFormat="1">
      <c r="A135" s="439" t="s">
        <v>575</v>
      </c>
      <c r="B135" s="440" t="s">
        <v>1129</v>
      </c>
      <c r="C135" s="441">
        <v>43084</v>
      </c>
      <c r="D135" s="291" t="s">
        <v>16</v>
      </c>
      <c r="E135" s="442">
        <v>10090</v>
      </c>
      <c r="F135" s="443">
        <f>+E135*2.9214</f>
        <v>29476.926000000003</v>
      </c>
      <c r="G135" s="292">
        <f t="shared" si="7"/>
        <v>43144</v>
      </c>
      <c r="H135" s="290"/>
      <c r="I135" s="441"/>
      <c r="J135" s="292"/>
      <c r="K135" s="445">
        <v>10047.5</v>
      </c>
      <c r="L135" s="382"/>
      <c r="M135" s="446">
        <f t="shared" si="8"/>
        <v>42.5</v>
      </c>
      <c r="N135" s="299"/>
      <c r="O135" s="846"/>
    </row>
    <row r="136" spans="1:15" s="47" customFormat="1">
      <c r="A136" s="439" t="s">
        <v>575</v>
      </c>
      <c r="B136" s="440" t="s">
        <v>1360</v>
      </c>
      <c r="C136" s="441">
        <v>43096</v>
      </c>
      <c r="D136" s="291" t="s">
        <v>16</v>
      </c>
      <c r="E136" s="442">
        <v>22074.959999999999</v>
      </c>
      <c r="F136" s="443">
        <f>+E136*2.9288</f>
        <v>64653.142847999996</v>
      </c>
      <c r="G136" s="292">
        <f t="shared" si="7"/>
        <v>43156</v>
      </c>
      <c r="H136" s="290"/>
      <c r="I136" s="441"/>
      <c r="J136" s="292"/>
      <c r="K136" s="445">
        <v>22018.31</v>
      </c>
      <c r="L136" s="382"/>
      <c r="M136" s="446">
        <f t="shared" si="8"/>
        <v>56.649999999997817</v>
      </c>
      <c r="N136" s="299"/>
      <c r="O136" s="846"/>
    </row>
    <row r="137" spans="1:15" s="47" customFormat="1">
      <c r="A137" s="509" t="s">
        <v>575</v>
      </c>
      <c r="B137" s="386" t="s">
        <v>1378</v>
      </c>
      <c r="C137" s="510">
        <v>43111</v>
      </c>
      <c r="D137" s="511" t="s">
        <v>16</v>
      </c>
      <c r="E137" s="512">
        <v>28798.14</v>
      </c>
      <c r="F137" s="389">
        <f>+E137*2.9312</f>
        <v>84413.107967999997</v>
      </c>
      <c r="G137" s="513">
        <f t="shared" si="7"/>
        <v>43171</v>
      </c>
      <c r="H137" s="514"/>
      <c r="I137" s="510"/>
      <c r="J137" s="513"/>
      <c r="K137" s="515"/>
      <c r="L137" s="516"/>
      <c r="M137" s="517">
        <f t="shared" si="8"/>
        <v>28798.14</v>
      </c>
      <c r="N137" s="299"/>
      <c r="O137" s="846"/>
    </row>
    <row r="138" spans="1:15" ht="13.5" thickBot="1">
      <c r="A138" s="9"/>
      <c r="B138" s="10"/>
      <c r="C138" s="11"/>
      <c r="D138" s="12"/>
      <c r="E138" s="13"/>
      <c r="F138" s="14"/>
      <c r="G138" s="15"/>
      <c r="H138" s="16"/>
      <c r="I138" s="11"/>
      <c r="J138" s="15"/>
      <c r="K138" s="17"/>
      <c r="L138" s="18"/>
      <c r="M138" s="19"/>
    </row>
    <row r="139" spans="1:15" ht="13.5" thickBot="1">
      <c r="G139" s="295"/>
    </row>
    <row r="140" spans="1:15" ht="13.5" thickBot="1">
      <c r="B140" s="269" t="s">
        <v>47</v>
      </c>
      <c r="C140" s="507" t="s">
        <v>48</v>
      </c>
      <c r="D140" s="1041" t="s">
        <v>9</v>
      </c>
      <c r="E140" s="1042"/>
    </row>
    <row r="141" spans="1:15">
      <c r="A141" s="262" t="s">
        <v>20</v>
      </c>
      <c r="B141" s="267"/>
      <c r="C141" s="268"/>
      <c r="D141" s="1045"/>
      <c r="E141" s="1046"/>
    </row>
    <row r="142" spans="1:15">
      <c r="A142" s="263">
        <v>2016</v>
      </c>
      <c r="B142" s="257">
        <v>0</v>
      </c>
      <c r="C142" s="258"/>
      <c r="D142" s="1035"/>
      <c r="E142" s="1036"/>
    </row>
    <row r="143" spans="1:15">
      <c r="A143" s="264">
        <v>2017</v>
      </c>
      <c r="B143" s="257">
        <f>M100+M101+M102+M103+M104+M105+M106+M107+M108+M109+M111+M112+M113+M114+M115</f>
        <v>1336891.1399999999</v>
      </c>
      <c r="C143" s="258"/>
      <c r="D143" s="1043">
        <v>0</v>
      </c>
      <c r="E143" s="1044"/>
    </row>
    <row r="144" spans="1:15">
      <c r="A144" s="8" t="s">
        <v>15</v>
      </c>
      <c r="B144" s="257">
        <f>M92+M95+M110</f>
        <v>87003.24</v>
      </c>
      <c r="C144" s="259">
        <v>0</v>
      </c>
      <c r="D144" s="1035"/>
      <c r="E144" s="1036"/>
    </row>
    <row r="145" spans="1:13">
      <c r="A145" s="8" t="s">
        <v>17</v>
      </c>
      <c r="B145" s="260"/>
      <c r="C145" s="261">
        <f>M26+M28</f>
        <v>143222.40000000002</v>
      </c>
      <c r="D145" s="1035"/>
      <c r="E145" s="1036"/>
    </row>
    <row r="146" spans="1:13">
      <c r="A146" s="435" t="s">
        <v>497</v>
      </c>
      <c r="B146" s="437">
        <f>M122+M123+M124+M125+M126+M127+M128+M129+M130+M131+M137</f>
        <v>232873.26</v>
      </c>
      <c r="C146" s="436"/>
      <c r="D146" s="1035"/>
      <c r="E146" s="1036"/>
    </row>
    <row r="147" spans="1:13" ht="13.5" thickBot="1">
      <c r="A147" s="9" t="s">
        <v>324</v>
      </c>
      <c r="B147" s="10"/>
      <c r="C147" s="13">
        <f>+M82</f>
        <v>60082</v>
      </c>
      <c r="D147" s="1037"/>
      <c r="E147" s="1038"/>
    </row>
    <row r="148" spans="1:13" ht="13.5" thickBot="1">
      <c r="B148" s="265">
        <f>SUM(B141:B147)</f>
        <v>1656767.64</v>
      </c>
      <c r="C148" s="266">
        <f>SUM(C141:C147)</f>
        <v>203304.40000000002</v>
      </c>
      <c r="D148" s="1039">
        <f>SUM(D141:D147)</f>
        <v>0</v>
      </c>
      <c r="E148" s="1040"/>
    </row>
    <row r="150" spans="1:13">
      <c r="B150" s="3"/>
      <c r="C150" s="3"/>
    </row>
    <row r="151" spans="1:13">
      <c r="B151" s="2"/>
    </row>
    <row r="156" spans="1:13">
      <c r="M156" s="723"/>
    </row>
  </sheetData>
  <autoFilter ref="A1:A148"/>
  <mergeCells count="24">
    <mergeCell ref="A118:A119"/>
    <mergeCell ref="B118:G118"/>
    <mergeCell ref="H118:J118"/>
    <mergeCell ref="K118:L118"/>
    <mergeCell ref="M118:M119"/>
    <mergeCell ref="A2:A3"/>
    <mergeCell ref="B2:G2"/>
    <mergeCell ref="H2:J2"/>
    <mergeCell ref="K2:L2"/>
    <mergeCell ref="M2:M3"/>
    <mergeCell ref="A31:A32"/>
    <mergeCell ref="B31:G31"/>
    <mergeCell ref="H31:J31"/>
    <mergeCell ref="K31:L31"/>
    <mergeCell ref="M31:M32"/>
    <mergeCell ref="D145:E145"/>
    <mergeCell ref="D147:E147"/>
    <mergeCell ref="D148:E148"/>
    <mergeCell ref="D140:E140"/>
    <mergeCell ref="D143:E143"/>
    <mergeCell ref="D141:E141"/>
    <mergeCell ref="D142:E142"/>
    <mergeCell ref="D144:E144"/>
    <mergeCell ref="D146:E146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  <ignoredErrors>
    <ignoredError sqref="F42 G46 G71 G74:G76 G78 G85 G88:G90 G19 F27:G27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3:L26"/>
  <sheetViews>
    <sheetView workbookViewId="0">
      <selection activeCell="C7" sqref="C7"/>
    </sheetView>
  </sheetViews>
  <sheetFormatPr baseColWidth="10" defaultRowHeight="15"/>
  <cols>
    <col min="1" max="1" width="10.5703125" bestFit="1" customWidth="1"/>
    <col min="2" max="2" width="12.5703125" bestFit="1" customWidth="1"/>
    <col min="3" max="3" width="17.85546875" bestFit="1" customWidth="1"/>
    <col min="4" max="4" width="11.5703125" bestFit="1" customWidth="1"/>
    <col min="5" max="5" width="17.42578125" bestFit="1" customWidth="1"/>
    <col min="6" max="7" width="10.7109375" bestFit="1" customWidth="1"/>
    <col min="8" max="8" width="43.28515625" bestFit="1" customWidth="1"/>
  </cols>
  <sheetData>
    <row r="3" spans="1:9" ht="18.75">
      <c r="A3" s="1052" t="s">
        <v>122</v>
      </c>
      <c r="B3" s="1052"/>
      <c r="C3" s="1052"/>
      <c r="D3" s="1052"/>
      <c r="E3" s="1052"/>
      <c r="F3" s="1052"/>
      <c r="G3" s="1052"/>
      <c r="H3" s="1052"/>
    </row>
    <row r="4" spans="1:9" ht="15.75">
      <c r="A4" s="1053" t="s">
        <v>362</v>
      </c>
      <c r="B4" s="1053"/>
      <c r="C4" s="1053"/>
      <c r="D4" s="1053"/>
      <c r="E4" s="1053"/>
      <c r="F4" s="1053"/>
      <c r="G4" s="1053"/>
      <c r="H4" s="1053"/>
    </row>
    <row r="5" spans="1:9" ht="15.75" thickBot="1"/>
    <row r="6" spans="1:9" ht="15.75" thickBot="1">
      <c r="B6" s="129" t="s">
        <v>121</v>
      </c>
      <c r="C6" s="128" t="s">
        <v>120</v>
      </c>
      <c r="D6" s="127" t="s">
        <v>119</v>
      </c>
      <c r="E6" s="126" t="s">
        <v>118</v>
      </c>
      <c r="F6" s="125" t="s">
        <v>117</v>
      </c>
      <c r="G6" s="125" t="s">
        <v>10</v>
      </c>
      <c r="H6" s="124" t="s">
        <v>116</v>
      </c>
    </row>
    <row r="7" spans="1:9" s="114" customFormat="1" ht="15.75" thickBot="1">
      <c r="A7" s="536" t="s">
        <v>115</v>
      </c>
      <c r="B7" s="537" t="s">
        <v>59</v>
      </c>
      <c r="C7" s="538">
        <v>108049.32</v>
      </c>
      <c r="D7" s="539">
        <v>2.84</v>
      </c>
      <c r="E7" s="540">
        <f>+C7*D7</f>
        <v>306860.06880000001</v>
      </c>
      <c r="F7" s="541">
        <v>42702</v>
      </c>
      <c r="G7" s="542">
        <v>42974</v>
      </c>
      <c r="H7" s="543" t="s">
        <v>451</v>
      </c>
    </row>
    <row r="8" spans="1:9" ht="15.75" thickBot="1">
      <c r="A8" s="1054" t="s">
        <v>109</v>
      </c>
      <c r="B8" s="1055"/>
      <c r="C8" s="1055"/>
      <c r="D8" s="1056"/>
      <c r="E8" s="123">
        <f>SUM(E7)</f>
        <v>306860.06880000001</v>
      </c>
      <c r="G8" s="109"/>
    </row>
    <row r="9" spans="1:9" ht="15.75" thickBot="1">
      <c r="C9" s="112"/>
    </row>
    <row r="10" spans="1:9" s="114" customFormat="1" ht="15.75" thickBot="1">
      <c r="A10" s="130" t="s">
        <v>45</v>
      </c>
      <c r="B10" s="122" t="s">
        <v>59</v>
      </c>
      <c r="C10" s="121">
        <v>199857.91</v>
      </c>
      <c r="D10" s="120">
        <v>2.84</v>
      </c>
      <c r="E10" s="119">
        <f>C10*D10</f>
        <v>567596.46439999994</v>
      </c>
      <c r="F10" s="118">
        <v>42726</v>
      </c>
      <c r="G10" s="117">
        <v>42998</v>
      </c>
      <c r="H10" s="116" t="s">
        <v>451</v>
      </c>
      <c r="I10" s="115"/>
    </row>
    <row r="11" spans="1:9" ht="15.75" thickBot="1">
      <c r="A11" s="1054" t="s">
        <v>109</v>
      </c>
      <c r="B11" s="1055"/>
      <c r="C11" s="1055"/>
      <c r="D11" s="1056"/>
      <c r="E11" s="113">
        <f>SUM(E10:E10)</f>
        <v>567596.46439999994</v>
      </c>
      <c r="G11" s="109"/>
    </row>
    <row r="12" spans="1:9">
      <c r="G12" s="109"/>
    </row>
    <row r="13" spans="1:9">
      <c r="B13" s="112"/>
      <c r="C13" s="112"/>
      <c r="E13" s="110"/>
      <c r="F13" s="109"/>
      <c r="G13" s="109"/>
    </row>
    <row r="14" spans="1:9">
      <c r="C14" s="110"/>
      <c r="D14" s="49"/>
      <c r="F14" s="109"/>
      <c r="G14" s="428"/>
    </row>
    <row r="15" spans="1:9">
      <c r="B15" s="110"/>
      <c r="C15" s="110"/>
      <c r="D15" s="49"/>
      <c r="E15" s="49"/>
      <c r="F15" s="109"/>
      <c r="G15" s="109"/>
    </row>
    <row r="16" spans="1:9">
      <c r="C16" s="110"/>
      <c r="F16" s="344"/>
      <c r="G16" s="111"/>
      <c r="H16" s="111"/>
    </row>
    <row r="17" spans="1:12">
      <c r="C17" s="49"/>
      <c r="E17" s="111"/>
      <c r="F17" s="344"/>
      <c r="G17" s="111"/>
      <c r="H17" s="111"/>
    </row>
    <row r="18" spans="1:12">
      <c r="C18" s="110"/>
      <c r="F18" s="109"/>
    </row>
    <row r="19" spans="1:12">
      <c r="A19" s="110"/>
      <c r="C19" s="278"/>
    </row>
    <row r="20" spans="1:12">
      <c r="C20" s="278"/>
      <c r="L20" s="109"/>
    </row>
    <row r="21" spans="1:12">
      <c r="C21" s="293"/>
      <c r="F21" s="109"/>
      <c r="L21" s="109"/>
    </row>
    <row r="22" spans="1:12">
      <c r="C22" s="110"/>
      <c r="F22" s="109"/>
    </row>
    <row r="23" spans="1:12">
      <c r="C23" s="49"/>
      <c r="D23" s="281"/>
      <c r="F23" s="109"/>
    </row>
    <row r="24" spans="1:12">
      <c r="F24" s="109"/>
    </row>
    <row r="25" spans="1:12">
      <c r="F25" s="109"/>
    </row>
    <row r="26" spans="1:12">
      <c r="C26" s="49"/>
      <c r="F26" s="109"/>
    </row>
  </sheetData>
  <mergeCells count="4">
    <mergeCell ref="A3:H3"/>
    <mergeCell ref="A4:H4"/>
    <mergeCell ref="A8:D8"/>
    <mergeCell ref="A11:D11"/>
  </mergeCells>
  <pageMargins left="0.70866141732283472" right="0.70866141732283472" top="0.74803149606299213" bottom="0.74803149606299213" header="0.31496062992125984" footer="0.31496062992125984"/>
  <pageSetup paperSize="9" scale="99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325"/>
  <sheetViews>
    <sheetView topLeftCell="A159" zoomScaleNormal="100" workbookViewId="0">
      <selection activeCell="D132" sqref="D132:D301"/>
    </sheetView>
  </sheetViews>
  <sheetFormatPr baseColWidth="10" defaultRowHeight="15"/>
  <cols>
    <col min="1" max="1" width="8.140625" style="26" bestFit="1" customWidth="1"/>
    <col min="2" max="2" width="34.85546875" style="26" bestFit="1" customWidth="1"/>
    <col min="3" max="3" width="10.7109375" style="26" bestFit="1" customWidth="1"/>
    <col min="4" max="4" width="12.42578125" style="576" bestFit="1" customWidth="1"/>
    <col min="5" max="16384" width="11.42578125" style="708"/>
  </cols>
  <sheetData>
    <row r="1" spans="1:4" s="716" customFormat="1" ht="15.75" thickBot="1">
      <c r="A1" s="713" t="s">
        <v>144</v>
      </c>
      <c r="B1" s="714" t="s">
        <v>143</v>
      </c>
      <c r="C1" s="714" t="s">
        <v>10</v>
      </c>
      <c r="D1" s="715" t="s">
        <v>11</v>
      </c>
    </row>
    <row r="2" spans="1:4" customFormat="1">
      <c r="A2" s="903" t="s">
        <v>1228</v>
      </c>
      <c r="B2" s="904" t="s">
        <v>1227</v>
      </c>
      <c r="C2" s="905">
        <v>43084</v>
      </c>
      <c r="D2" s="906">
        <v>686.45500000000004</v>
      </c>
    </row>
    <row r="3" spans="1:4" customFormat="1">
      <c r="A3" s="907" t="s">
        <v>1250</v>
      </c>
      <c r="B3" s="908" t="s">
        <v>1249</v>
      </c>
      <c r="C3" s="909">
        <v>43085</v>
      </c>
      <c r="D3" s="910">
        <v>866.5</v>
      </c>
    </row>
    <row r="4" spans="1:4" customFormat="1">
      <c r="A4" s="907" t="s">
        <v>1182</v>
      </c>
      <c r="B4" s="908" t="s">
        <v>1181</v>
      </c>
      <c r="C4" s="909">
        <v>43087</v>
      </c>
      <c r="D4" s="910">
        <v>396.214</v>
      </c>
    </row>
    <row r="5" spans="1:4" customFormat="1">
      <c r="A5" s="915" t="s">
        <v>720</v>
      </c>
      <c r="B5" s="916" t="s">
        <v>269</v>
      </c>
      <c r="C5" s="917">
        <v>43089</v>
      </c>
      <c r="D5" s="918">
        <v>2110.25</v>
      </c>
    </row>
    <row r="6" spans="1:4" customFormat="1">
      <c r="A6" s="915" t="s">
        <v>654</v>
      </c>
      <c r="B6" s="916" t="s">
        <v>145</v>
      </c>
      <c r="C6" s="917">
        <v>43089</v>
      </c>
      <c r="D6" s="918">
        <v>1674</v>
      </c>
    </row>
    <row r="7" spans="1:4" customFormat="1">
      <c r="A7" s="915" t="s">
        <v>270</v>
      </c>
      <c r="B7" s="916" t="s">
        <v>460</v>
      </c>
      <c r="C7" s="917">
        <v>43089</v>
      </c>
      <c r="D7" s="918">
        <v>2000</v>
      </c>
    </row>
    <row r="8" spans="1:4" customFormat="1">
      <c r="A8" s="915" t="s">
        <v>273</v>
      </c>
      <c r="B8" s="916" t="s">
        <v>272</v>
      </c>
      <c r="C8" s="917">
        <v>43089</v>
      </c>
      <c r="D8" s="918">
        <v>600</v>
      </c>
    </row>
    <row r="9" spans="1:4" customFormat="1">
      <c r="A9" s="915" t="s">
        <v>273</v>
      </c>
      <c r="B9" s="916" t="s">
        <v>272</v>
      </c>
      <c r="C9" s="917">
        <v>43089</v>
      </c>
      <c r="D9" s="918">
        <v>600</v>
      </c>
    </row>
    <row r="10" spans="1:4" customFormat="1">
      <c r="A10" s="915" t="s">
        <v>277</v>
      </c>
      <c r="B10" s="916" t="s">
        <v>276</v>
      </c>
      <c r="C10" s="917">
        <v>43089</v>
      </c>
      <c r="D10" s="918">
        <v>1140.1099999999999</v>
      </c>
    </row>
    <row r="11" spans="1:4" customFormat="1">
      <c r="A11" s="915" t="s">
        <v>275</v>
      </c>
      <c r="B11" s="916" t="s">
        <v>274</v>
      </c>
      <c r="C11" s="917">
        <v>43089</v>
      </c>
      <c r="D11" s="918">
        <v>400</v>
      </c>
    </row>
    <row r="12" spans="1:4" customFormat="1">
      <c r="A12" s="915" t="s">
        <v>275</v>
      </c>
      <c r="B12" s="916" t="s">
        <v>274</v>
      </c>
      <c r="C12" s="917">
        <v>43089</v>
      </c>
      <c r="D12" s="918">
        <v>345</v>
      </c>
    </row>
    <row r="13" spans="1:4" customFormat="1">
      <c r="A13" s="915" t="s">
        <v>597</v>
      </c>
      <c r="B13" s="916" t="s">
        <v>572</v>
      </c>
      <c r="C13" s="917">
        <v>43089</v>
      </c>
      <c r="D13" s="918">
        <v>260</v>
      </c>
    </row>
    <row r="14" spans="1:4" customFormat="1">
      <c r="A14" s="915" t="s">
        <v>597</v>
      </c>
      <c r="B14" s="916" t="s">
        <v>572</v>
      </c>
      <c r="C14" s="917">
        <v>43089</v>
      </c>
      <c r="D14" s="918">
        <v>1000</v>
      </c>
    </row>
    <row r="15" spans="1:4" customFormat="1">
      <c r="A15" s="915" t="s">
        <v>597</v>
      </c>
      <c r="B15" s="916" t="s">
        <v>572</v>
      </c>
      <c r="C15" s="917">
        <v>43089</v>
      </c>
      <c r="D15" s="918">
        <v>150</v>
      </c>
    </row>
    <row r="16" spans="1:4" customFormat="1">
      <c r="A16" s="915" t="s">
        <v>636</v>
      </c>
      <c r="B16" s="916" t="s">
        <v>637</v>
      </c>
      <c r="C16" s="917">
        <v>43089</v>
      </c>
      <c r="D16" s="918">
        <v>1173.24</v>
      </c>
    </row>
    <row r="17" spans="1:4" customFormat="1">
      <c r="A17" s="915" t="s">
        <v>907</v>
      </c>
      <c r="B17" s="916" t="s">
        <v>906</v>
      </c>
      <c r="C17" s="917">
        <v>43089</v>
      </c>
      <c r="D17" s="918">
        <v>280</v>
      </c>
    </row>
    <row r="18" spans="1:4" customFormat="1">
      <c r="A18" s="915" t="s">
        <v>369</v>
      </c>
      <c r="B18" s="916" t="s">
        <v>370</v>
      </c>
      <c r="C18" s="917">
        <v>43089</v>
      </c>
      <c r="D18" s="918">
        <v>3298.75</v>
      </c>
    </row>
    <row r="19" spans="1:4" customFormat="1">
      <c r="A19" s="915" t="s">
        <v>531</v>
      </c>
      <c r="B19" s="916" t="s">
        <v>530</v>
      </c>
      <c r="C19" s="917">
        <v>43089</v>
      </c>
      <c r="D19" s="918">
        <v>2164</v>
      </c>
    </row>
    <row r="20" spans="1:4" customFormat="1">
      <c r="A20" s="915" t="s">
        <v>313</v>
      </c>
      <c r="B20" s="916" t="s">
        <v>314</v>
      </c>
      <c r="C20" s="917">
        <v>43089</v>
      </c>
      <c r="D20" s="918">
        <v>2000</v>
      </c>
    </row>
    <row r="21" spans="1:4" customFormat="1">
      <c r="A21" s="915" t="s">
        <v>1020</v>
      </c>
      <c r="B21" s="916" t="s">
        <v>1019</v>
      </c>
      <c r="C21" s="917">
        <v>43089</v>
      </c>
      <c r="D21" s="918">
        <v>400</v>
      </c>
    </row>
    <row r="22" spans="1:4" customFormat="1">
      <c r="A22" s="915" t="s">
        <v>258</v>
      </c>
      <c r="B22" s="916" t="s">
        <v>257</v>
      </c>
      <c r="C22" s="917">
        <v>43089</v>
      </c>
      <c r="D22" s="918">
        <v>1369.93</v>
      </c>
    </row>
    <row r="23" spans="1:4" customFormat="1">
      <c r="A23" s="915" t="s">
        <v>228</v>
      </c>
      <c r="B23" s="916" t="s">
        <v>227</v>
      </c>
      <c r="C23" s="917">
        <v>43089</v>
      </c>
      <c r="D23" s="918">
        <v>440</v>
      </c>
    </row>
    <row r="24" spans="1:4" customFormat="1">
      <c r="A24" s="915" t="s">
        <v>609</v>
      </c>
      <c r="B24" s="916" t="s">
        <v>610</v>
      </c>
      <c r="C24" s="917">
        <v>43089</v>
      </c>
      <c r="D24" s="918">
        <v>2048.79</v>
      </c>
    </row>
    <row r="25" spans="1:4" customFormat="1">
      <c r="A25" s="915" t="s">
        <v>307</v>
      </c>
      <c r="B25" s="916" t="s">
        <v>308</v>
      </c>
      <c r="C25" s="917">
        <v>43089</v>
      </c>
      <c r="D25" s="918">
        <v>570</v>
      </c>
    </row>
    <row r="26" spans="1:4" customFormat="1">
      <c r="A26" s="915" t="s">
        <v>743</v>
      </c>
      <c r="B26" s="916" t="s">
        <v>329</v>
      </c>
      <c r="C26" s="917">
        <v>43089</v>
      </c>
      <c r="D26" s="918">
        <v>1135.25</v>
      </c>
    </row>
    <row r="27" spans="1:4" customFormat="1">
      <c r="A27" s="915" t="s">
        <v>567</v>
      </c>
      <c r="B27" s="916" t="s">
        <v>415</v>
      </c>
      <c r="C27" s="917">
        <v>43089</v>
      </c>
      <c r="D27" s="918">
        <v>15800</v>
      </c>
    </row>
    <row r="28" spans="1:4" customFormat="1">
      <c r="A28" s="915" t="s">
        <v>383</v>
      </c>
      <c r="B28" s="916" t="s">
        <v>185</v>
      </c>
      <c r="C28" s="917">
        <v>43089</v>
      </c>
      <c r="D28" s="918">
        <v>2000</v>
      </c>
    </row>
    <row r="29" spans="1:4" customFormat="1">
      <c r="A29" s="915" t="s">
        <v>135</v>
      </c>
      <c r="B29" s="916" t="s">
        <v>134</v>
      </c>
      <c r="C29" s="917">
        <v>43089</v>
      </c>
      <c r="D29" s="918">
        <v>1000</v>
      </c>
    </row>
    <row r="30" spans="1:4" customFormat="1">
      <c r="A30" s="915" t="s">
        <v>811</v>
      </c>
      <c r="B30" s="916" t="s">
        <v>603</v>
      </c>
      <c r="C30" s="917">
        <v>43089</v>
      </c>
      <c r="D30" s="918">
        <v>1196.8800000000001</v>
      </c>
    </row>
    <row r="31" spans="1:4" customFormat="1">
      <c r="A31" s="915" t="s">
        <v>569</v>
      </c>
      <c r="B31" s="916" t="s">
        <v>186</v>
      </c>
      <c r="C31" s="917">
        <v>43089</v>
      </c>
      <c r="D31" s="918">
        <v>1400</v>
      </c>
    </row>
    <row r="32" spans="1:4" customFormat="1">
      <c r="A32" s="915" t="s">
        <v>364</v>
      </c>
      <c r="B32" s="916" t="s">
        <v>186</v>
      </c>
      <c r="C32" s="917">
        <v>43089</v>
      </c>
      <c r="D32" s="918">
        <v>700</v>
      </c>
    </row>
    <row r="33" spans="1:4" customFormat="1">
      <c r="A33" s="915" t="s">
        <v>693</v>
      </c>
      <c r="B33" s="916" t="s">
        <v>244</v>
      </c>
      <c r="C33" s="917">
        <v>43089</v>
      </c>
      <c r="D33" s="918">
        <v>2048.77</v>
      </c>
    </row>
    <row r="34" spans="1:4" customFormat="1">
      <c r="A34" s="915" t="s">
        <v>655</v>
      </c>
      <c r="B34" s="916" t="s">
        <v>187</v>
      </c>
      <c r="C34" s="917">
        <v>43089</v>
      </c>
      <c r="D34" s="918">
        <v>1925.71</v>
      </c>
    </row>
    <row r="35" spans="1:4" customFormat="1">
      <c r="A35" s="915" t="s">
        <v>744</v>
      </c>
      <c r="B35" s="916" t="s">
        <v>745</v>
      </c>
      <c r="C35" s="917">
        <v>43089</v>
      </c>
      <c r="D35" s="918">
        <v>2937.58</v>
      </c>
    </row>
    <row r="36" spans="1:4" customFormat="1">
      <c r="A36" s="915" t="s">
        <v>440</v>
      </c>
      <c r="B36" s="916" t="s">
        <v>763</v>
      </c>
      <c r="C36" s="917">
        <v>43089</v>
      </c>
      <c r="D36" s="918">
        <v>1100</v>
      </c>
    </row>
    <row r="37" spans="1:4" customFormat="1">
      <c r="A37" s="915" t="s">
        <v>1068</v>
      </c>
      <c r="B37" s="916" t="s">
        <v>1170</v>
      </c>
      <c r="C37" s="917">
        <v>43090</v>
      </c>
      <c r="D37" s="918">
        <v>720.93</v>
      </c>
    </row>
    <row r="38" spans="1:4" customFormat="1">
      <c r="A38" s="915" t="s">
        <v>256</v>
      </c>
      <c r="B38" s="916" t="s">
        <v>255</v>
      </c>
      <c r="C38" s="917">
        <v>43090</v>
      </c>
      <c r="D38" s="918">
        <v>1230</v>
      </c>
    </row>
    <row r="39" spans="1:4" customFormat="1">
      <c r="A39" s="915" t="s">
        <v>508</v>
      </c>
      <c r="B39" s="916" t="s">
        <v>507</v>
      </c>
      <c r="C39" s="917">
        <v>43090</v>
      </c>
      <c r="D39" s="918">
        <v>1773</v>
      </c>
    </row>
    <row r="40" spans="1:4" customFormat="1">
      <c r="A40" s="915" t="s">
        <v>550</v>
      </c>
      <c r="B40" s="916" t="s">
        <v>174</v>
      </c>
      <c r="C40" s="917">
        <v>43090</v>
      </c>
      <c r="D40" s="918">
        <v>3463.98</v>
      </c>
    </row>
    <row r="41" spans="1:4" customFormat="1">
      <c r="A41" s="915" t="s">
        <v>382</v>
      </c>
      <c r="B41" s="916" t="s">
        <v>168</v>
      </c>
      <c r="C41" s="917">
        <v>43090</v>
      </c>
      <c r="D41" s="918">
        <v>878.72</v>
      </c>
    </row>
    <row r="42" spans="1:4" customFormat="1">
      <c r="A42" s="915" t="s">
        <v>812</v>
      </c>
      <c r="B42" s="916" t="s">
        <v>813</v>
      </c>
      <c r="C42" s="917">
        <v>43090</v>
      </c>
      <c r="D42" s="918">
        <v>1121.28</v>
      </c>
    </row>
    <row r="43" spans="1:4" customFormat="1">
      <c r="A43" s="915" t="s">
        <v>900</v>
      </c>
      <c r="B43" s="916" t="s">
        <v>448</v>
      </c>
      <c r="C43" s="917">
        <v>43091</v>
      </c>
      <c r="D43" s="918">
        <v>595</v>
      </c>
    </row>
    <row r="44" spans="1:4" customFormat="1">
      <c r="A44" s="915" t="s">
        <v>620</v>
      </c>
      <c r="B44" s="916" t="s">
        <v>365</v>
      </c>
      <c r="C44" s="917">
        <v>43091</v>
      </c>
      <c r="D44" s="918">
        <v>1494.76</v>
      </c>
    </row>
    <row r="45" spans="1:4" customFormat="1">
      <c r="A45" s="915" t="s">
        <v>1068</v>
      </c>
      <c r="B45" s="916" t="s">
        <v>1170</v>
      </c>
      <c r="C45" s="917">
        <v>43091</v>
      </c>
      <c r="D45" s="918">
        <v>730.98</v>
      </c>
    </row>
    <row r="46" spans="1:4" customFormat="1">
      <c r="A46" s="915" t="s">
        <v>516</v>
      </c>
      <c r="B46" s="916" t="s">
        <v>319</v>
      </c>
      <c r="C46" s="917">
        <v>43091</v>
      </c>
      <c r="D46" s="918">
        <v>1868.42</v>
      </c>
    </row>
    <row r="47" spans="1:4" customFormat="1">
      <c r="A47" s="915" t="s">
        <v>410</v>
      </c>
      <c r="B47" s="916" t="s">
        <v>292</v>
      </c>
      <c r="C47" s="917">
        <v>43091</v>
      </c>
      <c r="D47" s="918">
        <v>1212.3699999999999</v>
      </c>
    </row>
    <row r="48" spans="1:4" customFormat="1">
      <c r="A48" s="915" t="s">
        <v>660</v>
      </c>
      <c r="B48" s="916" t="s">
        <v>659</v>
      </c>
      <c r="C48" s="917">
        <v>43091</v>
      </c>
      <c r="D48" s="918">
        <v>1676.54</v>
      </c>
    </row>
    <row r="49" spans="1:4" customFormat="1">
      <c r="A49" s="915" t="s">
        <v>514</v>
      </c>
      <c r="B49" s="916" t="s">
        <v>155</v>
      </c>
      <c r="C49" s="917">
        <v>43091</v>
      </c>
      <c r="D49" s="918">
        <v>850</v>
      </c>
    </row>
    <row r="50" spans="1:4" customFormat="1">
      <c r="A50" s="915" t="s">
        <v>135</v>
      </c>
      <c r="B50" s="916" t="s">
        <v>134</v>
      </c>
      <c r="C50" s="917">
        <v>43091</v>
      </c>
      <c r="D50" s="918">
        <v>1000</v>
      </c>
    </row>
    <row r="51" spans="1:4" customFormat="1">
      <c r="A51" s="915" t="s">
        <v>1140</v>
      </c>
      <c r="B51" s="916" t="s">
        <v>1139</v>
      </c>
      <c r="C51" s="917">
        <v>43091</v>
      </c>
      <c r="D51" s="918">
        <v>599.55999999999995</v>
      </c>
    </row>
    <row r="52" spans="1:4" customFormat="1">
      <c r="A52" s="915" t="s">
        <v>635</v>
      </c>
      <c r="B52" s="916" t="s">
        <v>189</v>
      </c>
      <c r="C52" s="917">
        <v>43091</v>
      </c>
      <c r="D52" s="918">
        <v>635</v>
      </c>
    </row>
    <row r="53" spans="1:4" customFormat="1">
      <c r="A53" s="915" t="s">
        <v>402</v>
      </c>
      <c r="B53" s="916" t="s">
        <v>192</v>
      </c>
      <c r="C53" s="917">
        <v>43092</v>
      </c>
      <c r="D53" s="918">
        <v>927.44</v>
      </c>
    </row>
    <row r="54" spans="1:4" customFormat="1">
      <c r="A54" s="915" t="s">
        <v>543</v>
      </c>
      <c r="B54" s="916" t="s">
        <v>542</v>
      </c>
      <c r="C54" s="917">
        <v>43092</v>
      </c>
      <c r="D54" s="918">
        <v>339</v>
      </c>
    </row>
    <row r="55" spans="1:4" customFormat="1">
      <c r="A55" s="915" t="s">
        <v>1068</v>
      </c>
      <c r="B55" s="916" t="s">
        <v>1170</v>
      </c>
      <c r="C55" s="917">
        <v>43092</v>
      </c>
      <c r="D55" s="918">
        <v>720.93</v>
      </c>
    </row>
    <row r="56" spans="1:4" customFormat="1">
      <c r="A56" s="915" t="s">
        <v>240</v>
      </c>
      <c r="B56" s="916" t="s">
        <v>239</v>
      </c>
      <c r="C56" s="917">
        <v>43092</v>
      </c>
      <c r="D56" s="918">
        <v>621.11</v>
      </c>
    </row>
    <row r="57" spans="1:4" customFormat="1">
      <c r="A57" s="915" t="s">
        <v>240</v>
      </c>
      <c r="B57" s="916" t="s">
        <v>239</v>
      </c>
      <c r="C57" s="917">
        <v>43092</v>
      </c>
      <c r="D57" s="918">
        <v>753.5</v>
      </c>
    </row>
    <row r="58" spans="1:4" customFormat="1">
      <c r="A58" s="915" t="s">
        <v>645</v>
      </c>
      <c r="B58" s="916" t="s">
        <v>646</v>
      </c>
      <c r="C58" s="917">
        <v>43092</v>
      </c>
      <c r="D58" s="918">
        <v>1160</v>
      </c>
    </row>
    <row r="59" spans="1:4" customFormat="1">
      <c r="A59" s="915" t="s">
        <v>475</v>
      </c>
      <c r="B59" s="916" t="s">
        <v>476</v>
      </c>
      <c r="C59" s="917">
        <v>43092</v>
      </c>
      <c r="D59" s="918">
        <v>680</v>
      </c>
    </row>
    <row r="60" spans="1:4" customFormat="1">
      <c r="A60" s="915" t="s">
        <v>478</v>
      </c>
      <c r="B60" s="916" t="s">
        <v>479</v>
      </c>
      <c r="C60" s="917">
        <v>43092</v>
      </c>
      <c r="D60" s="918">
        <v>2500</v>
      </c>
    </row>
    <row r="61" spans="1:4" customFormat="1">
      <c r="A61" s="915" t="s">
        <v>860</v>
      </c>
      <c r="B61" s="916" t="s">
        <v>598</v>
      </c>
      <c r="C61" s="917">
        <v>43093</v>
      </c>
      <c r="D61" s="918">
        <v>650</v>
      </c>
    </row>
    <row r="62" spans="1:4" customFormat="1">
      <c r="A62" s="915" t="s">
        <v>135</v>
      </c>
      <c r="B62" s="916" t="s">
        <v>134</v>
      </c>
      <c r="C62" s="917">
        <v>43093</v>
      </c>
      <c r="D62" s="918">
        <v>1000</v>
      </c>
    </row>
    <row r="63" spans="1:4" customFormat="1">
      <c r="A63" s="915" t="s">
        <v>724</v>
      </c>
      <c r="B63" s="916" t="s">
        <v>767</v>
      </c>
      <c r="C63" s="917">
        <v>43093</v>
      </c>
      <c r="D63" s="918">
        <v>552.59</v>
      </c>
    </row>
    <row r="64" spans="1:4" customFormat="1">
      <c r="A64" s="907" t="s">
        <v>710</v>
      </c>
      <c r="B64" s="908" t="s">
        <v>1334</v>
      </c>
      <c r="C64" s="909">
        <v>43094</v>
      </c>
      <c r="D64" s="910">
        <v>2000</v>
      </c>
    </row>
    <row r="65" spans="1:4" customFormat="1">
      <c r="A65" s="907" t="s">
        <v>866</v>
      </c>
      <c r="B65" s="908" t="s">
        <v>1281</v>
      </c>
      <c r="C65" s="909">
        <v>43094</v>
      </c>
      <c r="D65" s="910">
        <v>1999</v>
      </c>
    </row>
    <row r="66" spans="1:4" customFormat="1">
      <c r="A66" s="907" t="s">
        <v>1254</v>
      </c>
      <c r="B66" s="908" t="s">
        <v>1253</v>
      </c>
      <c r="C66" s="909">
        <v>43094</v>
      </c>
      <c r="D66" s="910">
        <v>1474.8510000000001</v>
      </c>
    </row>
    <row r="67" spans="1:4" customFormat="1">
      <c r="A67" s="915" t="s">
        <v>537</v>
      </c>
      <c r="B67" s="916" t="s">
        <v>271</v>
      </c>
      <c r="C67" s="917">
        <v>43094</v>
      </c>
      <c r="D67" s="918">
        <v>4147.8999999999996</v>
      </c>
    </row>
    <row r="68" spans="1:4" customFormat="1">
      <c r="A68" s="915" t="s">
        <v>191</v>
      </c>
      <c r="B68" s="916" t="s">
        <v>190</v>
      </c>
      <c r="C68" s="917">
        <v>43094</v>
      </c>
      <c r="D68" s="918">
        <v>5000</v>
      </c>
    </row>
    <row r="69" spans="1:4" customFormat="1">
      <c r="A69" s="915" t="s">
        <v>254</v>
      </c>
      <c r="B69" s="916" t="s">
        <v>253</v>
      </c>
      <c r="C69" s="917">
        <v>43094</v>
      </c>
      <c r="D69" s="918">
        <v>583.16999999999996</v>
      </c>
    </row>
    <row r="70" spans="1:4" customFormat="1">
      <c r="A70" s="915" t="s">
        <v>629</v>
      </c>
      <c r="B70" s="916" t="s">
        <v>320</v>
      </c>
      <c r="C70" s="917">
        <v>43094</v>
      </c>
      <c r="D70" s="918">
        <v>843.02</v>
      </c>
    </row>
    <row r="71" spans="1:4" customFormat="1">
      <c r="A71" s="915" t="s">
        <v>179</v>
      </c>
      <c r="B71" s="916" t="s">
        <v>178</v>
      </c>
      <c r="C71" s="917">
        <v>43094</v>
      </c>
      <c r="D71" s="918">
        <v>2700</v>
      </c>
    </row>
    <row r="72" spans="1:4" customFormat="1">
      <c r="A72" s="915" t="s">
        <v>270</v>
      </c>
      <c r="B72" s="916" t="s">
        <v>460</v>
      </c>
      <c r="C72" s="917">
        <v>43094</v>
      </c>
      <c r="D72" s="918">
        <v>1207.8699999999999</v>
      </c>
    </row>
    <row r="73" spans="1:4" customFormat="1">
      <c r="A73" s="915" t="s">
        <v>607</v>
      </c>
      <c r="B73" s="916" t="s">
        <v>608</v>
      </c>
      <c r="C73" s="917">
        <v>43094</v>
      </c>
      <c r="D73" s="918">
        <v>297.57</v>
      </c>
    </row>
    <row r="74" spans="1:4" customFormat="1">
      <c r="A74" s="915" t="s">
        <v>157</v>
      </c>
      <c r="B74" s="916" t="s">
        <v>156</v>
      </c>
      <c r="C74" s="917">
        <v>43094</v>
      </c>
      <c r="D74" s="918">
        <v>1000</v>
      </c>
    </row>
    <row r="75" spans="1:4" customFormat="1">
      <c r="A75" s="915" t="s">
        <v>905</v>
      </c>
      <c r="B75" s="916" t="s">
        <v>904</v>
      </c>
      <c r="C75" s="917">
        <v>43094</v>
      </c>
      <c r="D75" s="918">
        <v>1400</v>
      </c>
    </row>
    <row r="76" spans="1:4" customFormat="1">
      <c r="A76" s="915" t="s">
        <v>1068</v>
      </c>
      <c r="B76" s="916" t="s">
        <v>1170</v>
      </c>
      <c r="C76" s="917">
        <v>43094</v>
      </c>
      <c r="D76" s="918">
        <v>730.98</v>
      </c>
    </row>
    <row r="77" spans="1:4" customFormat="1">
      <c r="A77" s="915" t="s">
        <v>313</v>
      </c>
      <c r="B77" s="916" t="s">
        <v>314</v>
      </c>
      <c r="C77" s="917">
        <v>43094</v>
      </c>
      <c r="D77" s="918">
        <v>2000</v>
      </c>
    </row>
    <row r="78" spans="1:4" customFormat="1">
      <c r="A78" s="915" t="s">
        <v>133</v>
      </c>
      <c r="B78" s="916" t="s">
        <v>132</v>
      </c>
      <c r="C78" s="917">
        <v>43094</v>
      </c>
      <c r="D78" s="918">
        <v>3000</v>
      </c>
    </row>
    <row r="79" spans="1:4" customFormat="1">
      <c r="A79" s="915" t="s">
        <v>165</v>
      </c>
      <c r="B79" s="916" t="s">
        <v>164</v>
      </c>
      <c r="C79" s="917">
        <v>43094</v>
      </c>
      <c r="D79" s="918">
        <v>7000</v>
      </c>
    </row>
    <row r="80" spans="1:4" customFormat="1">
      <c r="A80" s="915" t="s">
        <v>700</v>
      </c>
      <c r="B80" s="916" t="s">
        <v>699</v>
      </c>
      <c r="C80" s="917">
        <v>43094</v>
      </c>
      <c r="D80" s="918">
        <v>2883.25</v>
      </c>
    </row>
    <row r="81" spans="1:4" customFormat="1">
      <c r="A81" s="915" t="s">
        <v>486</v>
      </c>
      <c r="B81" s="916" t="s">
        <v>487</v>
      </c>
      <c r="C81" s="917">
        <v>43094</v>
      </c>
      <c r="D81" s="918">
        <v>601.25</v>
      </c>
    </row>
    <row r="82" spans="1:4" customFormat="1">
      <c r="A82" s="915" t="s">
        <v>486</v>
      </c>
      <c r="B82" s="916" t="s">
        <v>487</v>
      </c>
      <c r="C82" s="917">
        <v>43094</v>
      </c>
      <c r="D82" s="918">
        <v>353.28</v>
      </c>
    </row>
    <row r="83" spans="1:4" customFormat="1">
      <c r="A83" s="915" t="s">
        <v>486</v>
      </c>
      <c r="B83" s="916" t="s">
        <v>487</v>
      </c>
      <c r="C83" s="917">
        <v>43094</v>
      </c>
      <c r="D83" s="918">
        <v>589.14</v>
      </c>
    </row>
    <row r="84" spans="1:4" customFormat="1">
      <c r="A84" s="915" t="s">
        <v>623</v>
      </c>
      <c r="B84" s="916" t="s">
        <v>624</v>
      </c>
      <c r="C84" s="917">
        <v>43094</v>
      </c>
      <c r="D84" s="918">
        <v>1200</v>
      </c>
    </row>
    <row r="85" spans="1:4" customFormat="1">
      <c r="A85" s="915" t="s">
        <v>632</v>
      </c>
      <c r="B85" s="916" t="s">
        <v>466</v>
      </c>
      <c r="C85" s="917">
        <v>43094</v>
      </c>
      <c r="D85" s="918">
        <v>3305.03</v>
      </c>
    </row>
    <row r="86" spans="1:4" customFormat="1">
      <c r="A86" s="915" t="s">
        <v>307</v>
      </c>
      <c r="B86" s="916" t="s">
        <v>308</v>
      </c>
      <c r="C86" s="917">
        <v>43094</v>
      </c>
      <c r="D86" s="918">
        <v>750</v>
      </c>
    </row>
    <row r="87" spans="1:4" customFormat="1">
      <c r="A87" s="915" t="s">
        <v>950</v>
      </c>
      <c r="B87" s="916" t="s">
        <v>308</v>
      </c>
      <c r="C87" s="917">
        <v>43094</v>
      </c>
      <c r="D87" s="918">
        <v>500</v>
      </c>
    </row>
    <row r="88" spans="1:4" customFormat="1">
      <c r="A88" s="915" t="s">
        <v>368</v>
      </c>
      <c r="B88" s="916" t="s">
        <v>230</v>
      </c>
      <c r="C88" s="917">
        <v>43094</v>
      </c>
      <c r="D88" s="918">
        <v>1160.8</v>
      </c>
    </row>
    <row r="89" spans="1:4" customFormat="1">
      <c r="A89" s="915" t="s">
        <v>471</v>
      </c>
      <c r="B89" s="916" t="s">
        <v>472</v>
      </c>
      <c r="C89" s="917">
        <v>43094</v>
      </c>
      <c r="D89" s="918">
        <v>800</v>
      </c>
    </row>
    <row r="90" spans="1:4" customFormat="1">
      <c r="A90" s="915" t="s">
        <v>641</v>
      </c>
      <c r="B90" s="916" t="s">
        <v>250</v>
      </c>
      <c r="C90" s="917">
        <v>43094</v>
      </c>
      <c r="D90" s="918">
        <v>1818.09</v>
      </c>
    </row>
    <row r="91" spans="1:4" customFormat="1">
      <c r="A91" s="915" t="s">
        <v>379</v>
      </c>
      <c r="B91" s="916" t="s">
        <v>291</v>
      </c>
      <c r="C91" s="917">
        <v>43094</v>
      </c>
      <c r="D91" s="918">
        <v>3061.28</v>
      </c>
    </row>
    <row r="92" spans="1:4" customFormat="1">
      <c r="A92" s="915" t="s">
        <v>604</v>
      </c>
      <c r="B92" s="916" t="s">
        <v>291</v>
      </c>
      <c r="C92" s="917">
        <v>43094</v>
      </c>
      <c r="D92" s="918">
        <v>3571.5</v>
      </c>
    </row>
    <row r="93" spans="1:4" customFormat="1">
      <c r="A93" s="915" t="s">
        <v>139</v>
      </c>
      <c r="B93" s="916" t="s">
        <v>138</v>
      </c>
      <c r="C93" s="917">
        <v>43094</v>
      </c>
      <c r="D93" s="918">
        <v>1397.9</v>
      </c>
    </row>
    <row r="94" spans="1:4" customFormat="1">
      <c r="A94" s="915" t="s">
        <v>364</v>
      </c>
      <c r="B94" s="916" t="s">
        <v>186</v>
      </c>
      <c r="C94" s="917">
        <v>43094</v>
      </c>
      <c r="D94" s="918">
        <v>998.49</v>
      </c>
    </row>
    <row r="95" spans="1:4" customFormat="1">
      <c r="A95" s="915" t="s">
        <v>1018</v>
      </c>
      <c r="B95" s="916" t="s">
        <v>484</v>
      </c>
      <c r="C95" s="917">
        <v>43094</v>
      </c>
      <c r="D95" s="918">
        <v>3219.04</v>
      </c>
    </row>
    <row r="96" spans="1:4" customFormat="1">
      <c r="A96" s="915" t="s">
        <v>678</v>
      </c>
      <c r="B96" s="916" t="s">
        <v>177</v>
      </c>
      <c r="C96" s="917">
        <v>43094</v>
      </c>
      <c r="D96" s="918">
        <v>1404.07</v>
      </c>
    </row>
    <row r="97" spans="1:4" customFormat="1">
      <c r="A97" s="915" t="s">
        <v>536</v>
      </c>
      <c r="B97" s="916" t="s">
        <v>194</v>
      </c>
      <c r="C97" s="917">
        <v>43095</v>
      </c>
      <c r="D97" s="918">
        <v>780</v>
      </c>
    </row>
    <row r="98" spans="1:4" customFormat="1">
      <c r="A98" s="915" t="s">
        <v>775</v>
      </c>
      <c r="B98" s="916" t="s">
        <v>214</v>
      </c>
      <c r="C98" s="917">
        <v>43095</v>
      </c>
      <c r="D98" s="918">
        <v>2000</v>
      </c>
    </row>
    <row r="99" spans="1:4" customFormat="1">
      <c r="A99" s="915" t="s">
        <v>135</v>
      </c>
      <c r="B99" s="916" t="s">
        <v>134</v>
      </c>
      <c r="C99" s="917">
        <v>43095</v>
      </c>
      <c r="D99" s="918">
        <v>1000</v>
      </c>
    </row>
    <row r="100" spans="1:4" customFormat="1">
      <c r="A100" s="915" t="s">
        <v>740</v>
      </c>
      <c r="B100" s="916" t="s">
        <v>442</v>
      </c>
      <c r="C100" s="917">
        <v>43095</v>
      </c>
      <c r="D100" s="918">
        <v>2799.04</v>
      </c>
    </row>
    <row r="101" spans="1:4" customFormat="1">
      <c r="A101" s="907" t="s">
        <v>1250</v>
      </c>
      <c r="B101" s="908" t="s">
        <v>1249</v>
      </c>
      <c r="C101" s="909">
        <v>43096</v>
      </c>
      <c r="D101" s="910">
        <v>866.78300000000002</v>
      </c>
    </row>
    <row r="102" spans="1:4" customFormat="1">
      <c r="A102" s="915" t="s">
        <v>725</v>
      </c>
      <c r="B102" s="916" t="s">
        <v>1017</v>
      </c>
      <c r="C102" s="917">
        <v>43096</v>
      </c>
      <c r="D102" s="918">
        <v>683.9</v>
      </c>
    </row>
    <row r="103" spans="1:4" customFormat="1">
      <c r="A103" s="915" t="s">
        <v>137</v>
      </c>
      <c r="B103" s="916" t="s">
        <v>136</v>
      </c>
      <c r="C103" s="917">
        <v>43096</v>
      </c>
      <c r="D103" s="918">
        <v>11772.89</v>
      </c>
    </row>
    <row r="104" spans="1:4" customFormat="1">
      <c r="A104" s="915" t="s">
        <v>387</v>
      </c>
      <c r="B104" s="916" t="s">
        <v>154</v>
      </c>
      <c r="C104" s="917">
        <v>43096</v>
      </c>
      <c r="D104" s="918">
        <v>2731.71</v>
      </c>
    </row>
    <row r="105" spans="1:4" customFormat="1">
      <c r="A105" s="915" t="s">
        <v>535</v>
      </c>
      <c r="B105" s="916" t="s">
        <v>534</v>
      </c>
      <c r="C105" s="917">
        <v>43096</v>
      </c>
      <c r="D105" s="918">
        <v>4988.5</v>
      </c>
    </row>
    <row r="106" spans="1:4" customFormat="1">
      <c r="A106" s="915" t="s">
        <v>410</v>
      </c>
      <c r="B106" s="916" t="s">
        <v>292</v>
      </c>
      <c r="C106" s="917">
        <v>43096</v>
      </c>
      <c r="D106" s="918">
        <v>1212.3699999999999</v>
      </c>
    </row>
    <row r="107" spans="1:4" customFormat="1">
      <c r="A107" s="907" t="s">
        <v>866</v>
      </c>
      <c r="B107" s="908" t="s">
        <v>1281</v>
      </c>
      <c r="C107" s="909">
        <v>43097</v>
      </c>
      <c r="D107" s="910">
        <v>1999</v>
      </c>
    </row>
    <row r="108" spans="1:4" customFormat="1">
      <c r="A108" s="907" t="s">
        <v>719</v>
      </c>
      <c r="B108" s="908" t="s">
        <v>1177</v>
      </c>
      <c r="C108" s="909">
        <v>43097</v>
      </c>
      <c r="D108" s="910">
        <v>1994.6510000000001</v>
      </c>
    </row>
    <row r="109" spans="1:4" customFormat="1">
      <c r="A109" s="915" t="s">
        <v>900</v>
      </c>
      <c r="B109" s="916" t="s">
        <v>448</v>
      </c>
      <c r="C109" s="917">
        <v>43097</v>
      </c>
      <c r="D109" s="918">
        <v>595</v>
      </c>
    </row>
    <row r="110" spans="1:4" customFormat="1">
      <c r="A110" s="915" t="s">
        <v>940</v>
      </c>
      <c r="B110" s="916" t="s">
        <v>1135</v>
      </c>
      <c r="C110" s="917">
        <v>43097</v>
      </c>
      <c r="D110" s="918">
        <v>499.99</v>
      </c>
    </row>
    <row r="111" spans="1:4" customFormat="1">
      <c r="A111" s="915" t="s">
        <v>685</v>
      </c>
      <c r="B111" s="916" t="s">
        <v>684</v>
      </c>
      <c r="C111" s="917">
        <v>43097</v>
      </c>
      <c r="D111" s="918">
        <v>1000</v>
      </c>
    </row>
    <row r="112" spans="1:4" customFormat="1">
      <c r="A112" s="915" t="s">
        <v>212</v>
      </c>
      <c r="B112" s="916" t="s">
        <v>211</v>
      </c>
      <c r="C112" s="917">
        <v>43097</v>
      </c>
      <c r="D112" s="918">
        <v>1962.08</v>
      </c>
    </row>
    <row r="113" spans="1:4" customFormat="1">
      <c r="A113" s="915" t="s">
        <v>860</v>
      </c>
      <c r="B113" s="916" t="s">
        <v>598</v>
      </c>
      <c r="C113" s="917">
        <v>43097</v>
      </c>
      <c r="D113" s="918">
        <v>800</v>
      </c>
    </row>
    <row r="114" spans="1:4" customFormat="1">
      <c r="A114" s="915" t="s">
        <v>471</v>
      </c>
      <c r="B114" s="916" t="s">
        <v>472</v>
      </c>
      <c r="C114" s="917">
        <v>43097</v>
      </c>
      <c r="D114" s="918">
        <v>786.2</v>
      </c>
    </row>
    <row r="115" spans="1:4" customFormat="1">
      <c r="A115" s="915" t="s">
        <v>746</v>
      </c>
      <c r="B115" s="916" t="s">
        <v>155</v>
      </c>
      <c r="C115" s="917">
        <v>43097</v>
      </c>
      <c r="D115" s="918">
        <v>894.3</v>
      </c>
    </row>
    <row r="116" spans="1:4" customFormat="1">
      <c r="A116" s="915" t="s">
        <v>135</v>
      </c>
      <c r="B116" s="916" t="s">
        <v>134</v>
      </c>
      <c r="C116" s="917">
        <v>43097</v>
      </c>
      <c r="D116" s="918">
        <v>633.85</v>
      </c>
    </row>
    <row r="117" spans="1:4" customFormat="1">
      <c r="A117" s="915" t="s">
        <v>254</v>
      </c>
      <c r="B117" s="916" t="s">
        <v>253</v>
      </c>
      <c r="C117" s="917">
        <v>43098</v>
      </c>
      <c r="D117" s="918">
        <v>698.14</v>
      </c>
    </row>
    <row r="118" spans="1:4" customFormat="1">
      <c r="A118" s="915" t="s">
        <v>543</v>
      </c>
      <c r="B118" s="916" t="s">
        <v>542</v>
      </c>
      <c r="C118" s="917">
        <v>43098</v>
      </c>
      <c r="D118" s="918">
        <v>339</v>
      </c>
    </row>
    <row r="119" spans="1:4" customFormat="1">
      <c r="A119" s="915" t="s">
        <v>727</v>
      </c>
      <c r="B119" s="916" t="s">
        <v>728</v>
      </c>
      <c r="C119" s="917">
        <v>43098</v>
      </c>
      <c r="D119" s="918">
        <v>1477.11</v>
      </c>
    </row>
    <row r="120" spans="1:4" customFormat="1">
      <c r="A120" s="915" t="s">
        <v>677</v>
      </c>
      <c r="B120" s="916" t="s">
        <v>676</v>
      </c>
      <c r="C120" s="917">
        <v>43098</v>
      </c>
      <c r="D120" s="918">
        <v>755.49</v>
      </c>
    </row>
    <row r="121" spans="1:4" customFormat="1">
      <c r="A121" s="915" t="s">
        <v>256</v>
      </c>
      <c r="B121" s="916" t="s">
        <v>255</v>
      </c>
      <c r="C121" s="917">
        <v>43098</v>
      </c>
      <c r="D121" s="918">
        <v>1240</v>
      </c>
    </row>
    <row r="122" spans="1:4" customFormat="1">
      <c r="A122" s="915" t="s">
        <v>867</v>
      </c>
      <c r="B122" s="916" t="s">
        <v>779</v>
      </c>
      <c r="C122" s="917">
        <v>43098</v>
      </c>
      <c r="D122" s="918">
        <v>467.28</v>
      </c>
    </row>
    <row r="123" spans="1:4" customFormat="1">
      <c r="A123" s="915" t="s">
        <v>373</v>
      </c>
      <c r="B123" s="916" t="s">
        <v>280</v>
      </c>
      <c r="C123" s="917">
        <v>43098</v>
      </c>
      <c r="D123" s="918">
        <v>1500</v>
      </c>
    </row>
    <row r="124" spans="1:4" customFormat="1">
      <c r="A124" s="915" t="s">
        <v>612</v>
      </c>
      <c r="B124" s="916" t="s">
        <v>613</v>
      </c>
      <c r="C124" s="917">
        <v>43098</v>
      </c>
      <c r="D124" s="918">
        <v>550.79999999999995</v>
      </c>
    </row>
    <row r="125" spans="1:4" customFormat="1">
      <c r="A125" s="915" t="s">
        <v>814</v>
      </c>
      <c r="B125" s="916" t="s">
        <v>679</v>
      </c>
      <c r="C125" s="917">
        <v>43098</v>
      </c>
      <c r="D125" s="918">
        <v>493.18</v>
      </c>
    </row>
    <row r="126" spans="1:4" customFormat="1">
      <c r="A126" s="915" t="s">
        <v>529</v>
      </c>
      <c r="B126" s="916" t="s">
        <v>528</v>
      </c>
      <c r="C126" s="917">
        <v>43098</v>
      </c>
      <c r="D126" s="918">
        <v>515.73</v>
      </c>
    </row>
    <row r="127" spans="1:4" customFormat="1">
      <c r="A127" s="915" t="s">
        <v>139</v>
      </c>
      <c r="B127" s="916" t="s">
        <v>138</v>
      </c>
      <c r="C127" s="917">
        <v>43098</v>
      </c>
      <c r="D127" s="918">
        <v>1397.9</v>
      </c>
    </row>
    <row r="128" spans="1:4" customFormat="1">
      <c r="A128" s="915" t="s">
        <v>1140</v>
      </c>
      <c r="B128" s="916" t="s">
        <v>1139</v>
      </c>
      <c r="C128" s="917">
        <v>43098</v>
      </c>
      <c r="D128" s="918">
        <v>448.28</v>
      </c>
    </row>
    <row r="129" spans="1:4" customFormat="1">
      <c r="A129" s="915" t="s">
        <v>692</v>
      </c>
      <c r="B129" s="916" t="s">
        <v>691</v>
      </c>
      <c r="C129" s="917">
        <v>43098</v>
      </c>
      <c r="D129" s="918">
        <v>1345.4</v>
      </c>
    </row>
    <row r="130" spans="1:4" customFormat="1">
      <c r="A130" s="915" t="s">
        <v>945</v>
      </c>
      <c r="B130" s="916" t="s">
        <v>1016</v>
      </c>
      <c r="C130" s="917">
        <v>43098</v>
      </c>
      <c r="D130" s="918">
        <v>3258.06</v>
      </c>
    </row>
    <row r="131" spans="1:4" customFormat="1">
      <c r="A131" s="915" t="s">
        <v>565</v>
      </c>
      <c r="B131" s="916" t="s">
        <v>769</v>
      </c>
      <c r="C131" s="917">
        <v>43098</v>
      </c>
      <c r="D131" s="918">
        <v>1569.71</v>
      </c>
    </row>
    <row r="132" spans="1:4" customFormat="1">
      <c r="A132" s="907" t="s">
        <v>1329</v>
      </c>
      <c r="B132" s="908" t="s">
        <v>1328</v>
      </c>
      <c r="C132" s="909">
        <v>43099</v>
      </c>
      <c r="D132" s="910">
        <v>215</v>
      </c>
    </row>
    <row r="133" spans="1:4" customFormat="1">
      <c r="A133" s="907" t="s">
        <v>597</v>
      </c>
      <c r="B133" s="908" t="s">
        <v>572</v>
      </c>
      <c r="C133" s="909">
        <v>43099</v>
      </c>
      <c r="D133" s="910">
        <v>140</v>
      </c>
    </row>
    <row r="134" spans="1:4" customFormat="1">
      <c r="A134" s="907" t="s">
        <v>1222</v>
      </c>
      <c r="B134" s="908" t="s">
        <v>1221</v>
      </c>
      <c r="C134" s="909">
        <v>43099</v>
      </c>
      <c r="D134" s="910">
        <v>1971.078</v>
      </c>
    </row>
    <row r="135" spans="1:4" customFormat="1">
      <c r="A135" s="915" t="s">
        <v>787</v>
      </c>
      <c r="B135" s="916" t="s">
        <v>698</v>
      </c>
      <c r="C135" s="917">
        <v>43099</v>
      </c>
      <c r="D135" s="918">
        <v>1660.98</v>
      </c>
    </row>
    <row r="136" spans="1:4" customFormat="1">
      <c r="A136" s="915" t="s">
        <v>267</v>
      </c>
      <c r="B136" s="916" t="s">
        <v>266</v>
      </c>
      <c r="C136" s="917">
        <v>43099</v>
      </c>
      <c r="D136" s="918">
        <v>681.58</v>
      </c>
    </row>
    <row r="137" spans="1:4" customFormat="1">
      <c r="A137" s="915" t="s">
        <v>462</v>
      </c>
      <c r="B137" s="916" t="s">
        <v>320</v>
      </c>
      <c r="C137" s="917">
        <v>43099</v>
      </c>
      <c r="D137" s="918">
        <v>843.02</v>
      </c>
    </row>
    <row r="138" spans="1:4" customFormat="1">
      <c r="A138" s="915" t="s">
        <v>438</v>
      </c>
      <c r="B138" s="916" t="s">
        <v>439</v>
      </c>
      <c r="C138" s="917">
        <v>43099</v>
      </c>
      <c r="D138" s="918">
        <v>2088.09</v>
      </c>
    </row>
    <row r="139" spans="1:4" customFormat="1">
      <c r="A139" s="915" t="s">
        <v>668</v>
      </c>
      <c r="B139" s="916" t="s">
        <v>237</v>
      </c>
      <c r="C139" s="917">
        <v>43099</v>
      </c>
      <c r="D139" s="918">
        <v>5304.42</v>
      </c>
    </row>
    <row r="140" spans="1:4" customFormat="1">
      <c r="A140" s="915" t="s">
        <v>1013</v>
      </c>
      <c r="B140" s="916" t="s">
        <v>1012</v>
      </c>
      <c r="C140" s="917">
        <v>43099</v>
      </c>
      <c r="D140" s="918">
        <v>956.93</v>
      </c>
    </row>
    <row r="141" spans="1:4" customFormat="1">
      <c r="A141" s="915" t="s">
        <v>564</v>
      </c>
      <c r="B141" s="916" t="s">
        <v>615</v>
      </c>
      <c r="C141" s="917">
        <v>43099</v>
      </c>
      <c r="D141" s="918">
        <v>2496</v>
      </c>
    </row>
    <row r="142" spans="1:4" customFormat="1">
      <c r="A142" s="915" t="s">
        <v>411</v>
      </c>
      <c r="B142" s="916" t="s">
        <v>403</v>
      </c>
      <c r="C142" s="917">
        <v>43099</v>
      </c>
      <c r="D142" s="918">
        <v>600</v>
      </c>
    </row>
    <row r="143" spans="1:4" customFormat="1">
      <c r="A143" s="915" t="s">
        <v>273</v>
      </c>
      <c r="B143" s="916" t="s">
        <v>272</v>
      </c>
      <c r="C143" s="917">
        <v>43099</v>
      </c>
      <c r="D143" s="918">
        <v>753.29</v>
      </c>
    </row>
    <row r="144" spans="1:4" customFormat="1">
      <c r="A144" s="915" t="s">
        <v>309</v>
      </c>
      <c r="B144" s="916" t="s">
        <v>310</v>
      </c>
      <c r="C144" s="917">
        <v>43099</v>
      </c>
      <c r="D144" s="918">
        <v>5389.36</v>
      </c>
    </row>
    <row r="145" spans="1:4" customFormat="1">
      <c r="A145" s="915" t="s">
        <v>275</v>
      </c>
      <c r="B145" s="916" t="s">
        <v>274</v>
      </c>
      <c r="C145" s="917">
        <v>43099</v>
      </c>
      <c r="D145" s="918">
        <v>1000</v>
      </c>
    </row>
    <row r="146" spans="1:4" customFormat="1">
      <c r="A146" s="915" t="s">
        <v>597</v>
      </c>
      <c r="B146" s="916" t="s">
        <v>572</v>
      </c>
      <c r="C146" s="917">
        <v>43099</v>
      </c>
      <c r="D146" s="918">
        <v>275</v>
      </c>
    </row>
    <row r="147" spans="1:4" customFormat="1">
      <c r="A147" s="915" t="s">
        <v>909</v>
      </c>
      <c r="B147" s="916" t="s">
        <v>908</v>
      </c>
      <c r="C147" s="917">
        <v>43099</v>
      </c>
      <c r="D147" s="918">
        <v>967.7</v>
      </c>
    </row>
    <row r="148" spans="1:4" customFormat="1">
      <c r="A148" s="915" t="s">
        <v>207</v>
      </c>
      <c r="B148" s="916" t="s">
        <v>206</v>
      </c>
      <c r="C148" s="917">
        <v>43099</v>
      </c>
      <c r="D148" s="918">
        <v>2000</v>
      </c>
    </row>
    <row r="149" spans="1:4" customFormat="1">
      <c r="A149" s="915" t="s">
        <v>907</v>
      </c>
      <c r="B149" s="916" t="s">
        <v>906</v>
      </c>
      <c r="C149" s="917">
        <v>43099</v>
      </c>
      <c r="D149" s="918">
        <v>1200</v>
      </c>
    </row>
    <row r="150" spans="1:4" customFormat="1">
      <c r="A150" s="915" t="s">
        <v>907</v>
      </c>
      <c r="B150" s="916" t="s">
        <v>906</v>
      </c>
      <c r="C150" s="917">
        <v>43099</v>
      </c>
      <c r="D150" s="918">
        <v>350</v>
      </c>
    </row>
    <row r="151" spans="1:4" customFormat="1">
      <c r="A151" s="915" t="s">
        <v>780</v>
      </c>
      <c r="B151" s="916" t="s">
        <v>781</v>
      </c>
      <c r="C151" s="917">
        <v>43099</v>
      </c>
      <c r="D151" s="918">
        <v>12932.82</v>
      </c>
    </row>
    <row r="152" spans="1:4" customFormat="1">
      <c r="A152" s="915" t="s">
        <v>869</v>
      </c>
      <c r="B152" s="916" t="s">
        <v>870</v>
      </c>
      <c r="C152" s="917">
        <v>43099</v>
      </c>
      <c r="D152" s="918">
        <v>1448.14</v>
      </c>
    </row>
    <row r="153" spans="1:4" customFormat="1">
      <c r="A153" s="915" t="s">
        <v>1068</v>
      </c>
      <c r="B153" s="916" t="s">
        <v>1170</v>
      </c>
      <c r="C153" s="917">
        <v>43099</v>
      </c>
      <c r="D153" s="918">
        <v>730.98</v>
      </c>
    </row>
    <row r="154" spans="1:4" customFormat="1">
      <c r="A154" s="915" t="s">
        <v>697</v>
      </c>
      <c r="B154" s="916" t="s">
        <v>541</v>
      </c>
      <c r="C154" s="917">
        <v>43099</v>
      </c>
      <c r="D154" s="918">
        <v>3000</v>
      </c>
    </row>
    <row r="155" spans="1:4" customFormat="1">
      <c r="A155" s="915" t="s">
        <v>513</v>
      </c>
      <c r="B155" s="916" t="s">
        <v>512</v>
      </c>
      <c r="C155" s="917">
        <v>43099</v>
      </c>
      <c r="D155" s="918">
        <v>6465.16</v>
      </c>
    </row>
    <row r="156" spans="1:4" customFormat="1">
      <c r="A156" s="915" t="s">
        <v>313</v>
      </c>
      <c r="B156" s="916" t="s">
        <v>314</v>
      </c>
      <c r="C156" s="917">
        <v>43099</v>
      </c>
      <c r="D156" s="918">
        <v>2090.12</v>
      </c>
    </row>
    <row r="157" spans="1:4" customFormat="1">
      <c r="A157" s="915" t="s">
        <v>599</v>
      </c>
      <c r="B157" s="916" t="s">
        <v>600</v>
      </c>
      <c r="C157" s="917">
        <v>43099</v>
      </c>
      <c r="D157" s="918">
        <v>748.99</v>
      </c>
    </row>
    <row r="158" spans="1:4" customFormat="1">
      <c r="A158" s="915" t="s">
        <v>540</v>
      </c>
      <c r="B158" s="916" t="s">
        <v>539</v>
      </c>
      <c r="C158" s="917">
        <v>43099</v>
      </c>
      <c r="D158" s="918">
        <v>1494.24</v>
      </c>
    </row>
    <row r="159" spans="1:4" customFormat="1">
      <c r="A159" s="915" t="s">
        <v>815</v>
      </c>
      <c r="B159" s="916" t="s">
        <v>816</v>
      </c>
      <c r="C159" s="917">
        <v>43099</v>
      </c>
      <c r="D159" s="918">
        <v>202.52</v>
      </c>
    </row>
    <row r="160" spans="1:4" customFormat="1">
      <c r="A160" s="915" t="s">
        <v>226</v>
      </c>
      <c r="B160" s="916" t="s">
        <v>225</v>
      </c>
      <c r="C160" s="917">
        <v>43099</v>
      </c>
      <c r="D160" s="918">
        <v>1350.45</v>
      </c>
    </row>
    <row r="161" spans="1:4" customFormat="1">
      <c r="A161" s="915" t="s">
        <v>488</v>
      </c>
      <c r="B161" s="916" t="s">
        <v>489</v>
      </c>
      <c r="C161" s="917">
        <v>43099</v>
      </c>
      <c r="D161" s="918">
        <v>5805.75</v>
      </c>
    </row>
    <row r="162" spans="1:4" customFormat="1">
      <c r="A162" s="915" t="s">
        <v>729</v>
      </c>
      <c r="B162" s="916" t="s">
        <v>730</v>
      </c>
      <c r="C162" s="917">
        <v>43099</v>
      </c>
      <c r="D162" s="918">
        <v>462.71</v>
      </c>
    </row>
    <row r="163" spans="1:4" customFormat="1">
      <c r="A163" s="915" t="s">
        <v>1015</v>
      </c>
      <c r="B163" s="916" t="s">
        <v>1014</v>
      </c>
      <c r="C163" s="917">
        <v>43099</v>
      </c>
      <c r="D163" s="918">
        <v>198.36</v>
      </c>
    </row>
    <row r="164" spans="1:4" customFormat="1">
      <c r="A164" s="915" t="s">
        <v>732</v>
      </c>
      <c r="B164" s="916" t="s">
        <v>259</v>
      </c>
      <c r="C164" s="917">
        <v>43099</v>
      </c>
      <c r="D164" s="918">
        <v>727.89</v>
      </c>
    </row>
    <row r="165" spans="1:4" customFormat="1">
      <c r="A165" s="915" t="s">
        <v>788</v>
      </c>
      <c r="B165" s="916" t="s">
        <v>248</v>
      </c>
      <c r="C165" s="917">
        <v>43099</v>
      </c>
      <c r="D165" s="918">
        <v>1297.33</v>
      </c>
    </row>
    <row r="166" spans="1:4" customFormat="1">
      <c r="A166" s="915" t="s">
        <v>625</v>
      </c>
      <c r="B166" s="916" t="s">
        <v>246</v>
      </c>
      <c r="C166" s="917">
        <v>43099</v>
      </c>
      <c r="D166" s="918">
        <v>2997.78</v>
      </c>
    </row>
    <row r="167" spans="1:4" customFormat="1">
      <c r="A167" s="915" t="s">
        <v>734</v>
      </c>
      <c r="B167" s="916" t="s">
        <v>182</v>
      </c>
      <c r="C167" s="917">
        <v>43099</v>
      </c>
      <c r="D167" s="918">
        <v>839.91</v>
      </c>
    </row>
    <row r="168" spans="1:4" customFormat="1">
      <c r="A168" s="915" t="s">
        <v>741</v>
      </c>
      <c r="B168" s="916" t="s">
        <v>153</v>
      </c>
      <c r="C168" s="917">
        <v>43099</v>
      </c>
      <c r="D168" s="918">
        <v>5000</v>
      </c>
    </row>
    <row r="169" spans="1:4" customFormat="1">
      <c r="A169" s="915" t="s">
        <v>390</v>
      </c>
      <c r="B169" s="916" t="s">
        <v>153</v>
      </c>
      <c r="C169" s="917">
        <v>43099</v>
      </c>
      <c r="D169" s="918">
        <v>6182.07</v>
      </c>
    </row>
    <row r="170" spans="1:4" customFormat="1">
      <c r="A170" s="915" t="s">
        <v>712</v>
      </c>
      <c r="B170" s="916" t="s">
        <v>764</v>
      </c>
      <c r="C170" s="917">
        <v>43099</v>
      </c>
      <c r="D170" s="918">
        <v>262.48</v>
      </c>
    </row>
    <row r="171" spans="1:4" customFormat="1">
      <c r="A171" s="915" t="s">
        <v>749</v>
      </c>
      <c r="B171" s="916" t="s">
        <v>281</v>
      </c>
      <c r="C171" s="917">
        <v>43099</v>
      </c>
      <c r="D171" s="918">
        <v>1621.13</v>
      </c>
    </row>
    <row r="172" spans="1:4" customFormat="1">
      <c r="A172" s="915" t="s">
        <v>520</v>
      </c>
      <c r="B172" s="916" t="s">
        <v>519</v>
      </c>
      <c r="C172" s="917">
        <v>43099</v>
      </c>
      <c r="D172" s="918">
        <v>1942.1</v>
      </c>
    </row>
    <row r="173" spans="1:4" customFormat="1">
      <c r="A173" s="915" t="s">
        <v>747</v>
      </c>
      <c r="B173" s="916" t="s">
        <v>748</v>
      </c>
      <c r="C173" s="917">
        <v>43099</v>
      </c>
      <c r="D173" s="918">
        <v>628.26</v>
      </c>
    </row>
    <row r="174" spans="1:4" customFormat="1">
      <c r="A174" s="915" t="s">
        <v>371</v>
      </c>
      <c r="B174" s="916" t="s">
        <v>245</v>
      </c>
      <c r="C174" s="917">
        <v>43099</v>
      </c>
      <c r="D174" s="918">
        <v>2551.88</v>
      </c>
    </row>
    <row r="175" spans="1:4" customFormat="1">
      <c r="A175" s="915" t="s">
        <v>445</v>
      </c>
      <c r="B175" s="916" t="s">
        <v>341</v>
      </c>
      <c r="C175" s="917">
        <v>43099</v>
      </c>
      <c r="D175" s="918">
        <v>329.6</v>
      </c>
    </row>
    <row r="176" spans="1:4" customFormat="1">
      <c r="A176" s="915" t="s">
        <v>871</v>
      </c>
      <c r="B176" s="916" t="s">
        <v>686</v>
      </c>
      <c r="C176" s="917">
        <v>43099</v>
      </c>
      <c r="D176" s="918">
        <v>221</v>
      </c>
    </row>
    <row r="177" spans="1:4" customFormat="1">
      <c r="A177" s="915" t="s">
        <v>364</v>
      </c>
      <c r="B177" s="916" t="s">
        <v>186</v>
      </c>
      <c r="C177" s="917">
        <v>43099</v>
      </c>
      <c r="D177" s="918">
        <v>700</v>
      </c>
    </row>
    <row r="178" spans="1:4" customFormat="1">
      <c r="A178" s="915" t="s">
        <v>364</v>
      </c>
      <c r="B178" s="916" t="s">
        <v>186</v>
      </c>
      <c r="C178" s="917">
        <v>43099</v>
      </c>
      <c r="D178" s="918">
        <v>500</v>
      </c>
    </row>
    <row r="179" spans="1:4" customFormat="1">
      <c r="A179" s="915" t="s">
        <v>937</v>
      </c>
      <c r="B179" s="916" t="s">
        <v>936</v>
      </c>
      <c r="C179" s="917">
        <v>43099</v>
      </c>
      <c r="D179" s="918">
        <v>500.47</v>
      </c>
    </row>
    <row r="180" spans="1:4" customFormat="1">
      <c r="A180" s="915" t="s">
        <v>404</v>
      </c>
      <c r="B180" s="916" t="s">
        <v>236</v>
      </c>
      <c r="C180" s="917">
        <v>43099</v>
      </c>
      <c r="D180" s="918">
        <v>1385.86</v>
      </c>
    </row>
    <row r="181" spans="1:4" customFormat="1">
      <c r="A181" s="915" t="s">
        <v>440</v>
      </c>
      <c r="B181" s="916" t="s">
        <v>763</v>
      </c>
      <c r="C181" s="917">
        <v>43099</v>
      </c>
      <c r="D181" s="918">
        <v>1100</v>
      </c>
    </row>
    <row r="182" spans="1:4" customFormat="1">
      <c r="A182" s="915" t="s">
        <v>868</v>
      </c>
      <c r="B182" s="916" t="s">
        <v>766</v>
      </c>
      <c r="C182" s="917">
        <v>43099</v>
      </c>
      <c r="D182" s="918">
        <v>6188.65</v>
      </c>
    </row>
    <row r="183" spans="1:4" customFormat="1">
      <c r="A183" s="915" t="s">
        <v>554</v>
      </c>
      <c r="B183" s="916" t="s">
        <v>553</v>
      </c>
      <c r="C183" s="917">
        <v>43099</v>
      </c>
      <c r="D183" s="918">
        <v>1737.35</v>
      </c>
    </row>
    <row r="184" spans="1:4" customFormat="1">
      <c r="A184" s="915" t="s">
        <v>605</v>
      </c>
      <c r="B184" s="916" t="s">
        <v>606</v>
      </c>
      <c r="C184" s="917">
        <v>43099</v>
      </c>
      <c r="D184" s="918">
        <v>1494.04</v>
      </c>
    </row>
    <row r="185" spans="1:4" customFormat="1">
      <c r="A185" s="915" t="s">
        <v>377</v>
      </c>
      <c r="B185" s="916" t="s">
        <v>263</v>
      </c>
      <c r="C185" s="917">
        <v>43099</v>
      </c>
      <c r="D185" s="918">
        <v>1371.03</v>
      </c>
    </row>
    <row r="186" spans="1:4" customFormat="1">
      <c r="A186" s="907" t="s">
        <v>1332</v>
      </c>
      <c r="B186" s="908" t="s">
        <v>1331</v>
      </c>
      <c r="C186" s="909">
        <v>43100</v>
      </c>
      <c r="D186" s="910">
        <v>1350.9280000000001</v>
      </c>
    </row>
    <row r="187" spans="1:4" customFormat="1">
      <c r="A187" s="907" t="s">
        <v>935</v>
      </c>
      <c r="B187" s="908" t="s">
        <v>1297</v>
      </c>
      <c r="C187" s="909">
        <v>43100</v>
      </c>
      <c r="D187" s="910">
        <v>1424.0730000000001</v>
      </c>
    </row>
    <row r="188" spans="1:4" customFormat="1">
      <c r="A188" s="907" t="s">
        <v>1289</v>
      </c>
      <c r="B188" s="908" t="s">
        <v>1042</v>
      </c>
      <c r="C188" s="909">
        <v>43100</v>
      </c>
      <c r="D188" s="910">
        <v>1608.799</v>
      </c>
    </row>
    <row r="189" spans="1:4" customFormat="1">
      <c r="A189" s="907" t="s">
        <v>597</v>
      </c>
      <c r="B189" s="908" t="s">
        <v>572</v>
      </c>
      <c r="C189" s="909">
        <v>43100</v>
      </c>
      <c r="D189" s="910">
        <v>600</v>
      </c>
    </row>
    <row r="190" spans="1:4" customFormat="1">
      <c r="A190" s="907" t="s">
        <v>1215</v>
      </c>
      <c r="B190" s="908" t="s">
        <v>1214</v>
      </c>
      <c r="C190" s="909">
        <v>43100</v>
      </c>
      <c r="D190" s="910">
        <v>4218.8040000000001</v>
      </c>
    </row>
    <row r="191" spans="1:4" customFormat="1">
      <c r="A191" s="907" t="s">
        <v>1219</v>
      </c>
      <c r="B191" s="908" t="s">
        <v>1216</v>
      </c>
      <c r="C191" s="909">
        <v>43100</v>
      </c>
      <c r="D191" s="910">
        <v>1594.3579999999999</v>
      </c>
    </row>
    <row r="192" spans="1:4" customFormat="1">
      <c r="A192" s="907" t="s">
        <v>900</v>
      </c>
      <c r="B192" s="908" t="s">
        <v>1198</v>
      </c>
      <c r="C192" s="909">
        <v>43100</v>
      </c>
      <c r="D192" s="910">
        <v>819.63599999999997</v>
      </c>
    </row>
    <row r="193" spans="1:4" customFormat="1">
      <c r="A193" s="915" t="s">
        <v>717</v>
      </c>
      <c r="B193" s="916" t="s">
        <v>901</v>
      </c>
      <c r="C193" s="917">
        <v>43100</v>
      </c>
      <c r="D193" s="918">
        <v>379.06</v>
      </c>
    </row>
    <row r="194" spans="1:4" customFormat="1">
      <c r="A194" s="915" t="s">
        <v>731</v>
      </c>
      <c r="B194" s="916" t="s">
        <v>547</v>
      </c>
      <c r="C194" s="917">
        <v>43100</v>
      </c>
      <c r="D194" s="918">
        <v>1100.92</v>
      </c>
    </row>
    <row r="195" spans="1:4" customFormat="1">
      <c r="A195" s="915" t="s">
        <v>825</v>
      </c>
      <c r="B195" s="916" t="s">
        <v>690</v>
      </c>
      <c r="C195" s="917">
        <v>43100</v>
      </c>
      <c r="D195" s="918">
        <v>870.51</v>
      </c>
    </row>
    <row r="196" spans="1:4" customFormat="1">
      <c r="A196" s="915" t="s">
        <v>789</v>
      </c>
      <c r="B196" s="916" t="s">
        <v>190</v>
      </c>
      <c r="C196" s="917">
        <v>43100</v>
      </c>
      <c r="D196" s="918">
        <v>5315.27</v>
      </c>
    </row>
    <row r="197" spans="1:4" customFormat="1">
      <c r="A197" s="915" t="s">
        <v>461</v>
      </c>
      <c r="B197" s="916" t="s">
        <v>220</v>
      </c>
      <c r="C197" s="917">
        <v>43100</v>
      </c>
      <c r="D197" s="918">
        <v>3582.72</v>
      </c>
    </row>
    <row r="198" spans="1:4" customFormat="1">
      <c r="A198" s="915" t="s">
        <v>657</v>
      </c>
      <c r="B198" s="916" t="s">
        <v>656</v>
      </c>
      <c r="C198" s="917">
        <v>43100</v>
      </c>
      <c r="D198" s="918">
        <v>916.9</v>
      </c>
    </row>
    <row r="199" spans="1:4" customFormat="1">
      <c r="A199" s="915" t="s">
        <v>562</v>
      </c>
      <c r="B199" s="916" t="s">
        <v>563</v>
      </c>
      <c r="C199" s="917">
        <v>43100</v>
      </c>
      <c r="D199" s="918">
        <v>1463.67</v>
      </c>
    </row>
    <row r="200" spans="1:4" customFormat="1">
      <c r="A200" s="915" t="s">
        <v>562</v>
      </c>
      <c r="B200" s="916" t="s">
        <v>563</v>
      </c>
      <c r="C200" s="917">
        <v>43100</v>
      </c>
      <c r="D200" s="918">
        <v>2351.15</v>
      </c>
    </row>
    <row r="201" spans="1:4" customFormat="1">
      <c r="A201" s="915" t="s">
        <v>667</v>
      </c>
      <c r="B201" s="916" t="s">
        <v>666</v>
      </c>
      <c r="C201" s="917">
        <v>43100</v>
      </c>
      <c r="D201" s="918">
        <v>3068.51</v>
      </c>
    </row>
    <row r="202" spans="1:4" customFormat="1">
      <c r="A202" s="915" t="s">
        <v>179</v>
      </c>
      <c r="B202" s="916" t="s">
        <v>178</v>
      </c>
      <c r="C202" s="917">
        <v>43100</v>
      </c>
      <c r="D202" s="918">
        <v>2843.94</v>
      </c>
    </row>
    <row r="203" spans="1:4" customFormat="1">
      <c r="A203" s="915" t="s">
        <v>665</v>
      </c>
      <c r="B203" s="916" t="s">
        <v>527</v>
      </c>
      <c r="C203" s="917">
        <v>43100</v>
      </c>
      <c r="D203" s="918">
        <v>3754.14</v>
      </c>
    </row>
    <row r="204" spans="1:4" customFormat="1">
      <c r="A204" s="915" t="s">
        <v>898</v>
      </c>
      <c r="B204" s="916" t="s">
        <v>897</v>
      </c>
      <c r="C204" s="917">
        <v>43100</v>
      </c>
      <c r="D204" s="918">
        <v>3601.32</v>
      </c>
    </row>
    <row r="205" spans="1:4" customFormat="1">
      <c r="A205" s="915" t="s">
        <v>409</v>
      </c>
      <c r="B205" s="916" t="s">
        <v>145</v>
      </c>
      <c r="C205" s="917">
        <v>43100</v>
      </c>
      <c r="D205" s="918">
        <v>1674</v>
      </c>
    </row>
    <row r="206" spans="1:4" customFormat="1">
      <c r="A206" s="915" t="s">
        <v>872</v>
      </c>
      <c r="B206" s="916" t="s">
        <v>873</v>
      </c>
      <c r="C206" s="917">
        <v>43100</v>
      </c>
      <c r="D206" s="918">
        <v>2427.16</v>
      </c>
    </row>
    <row r="207" spans="1:4" customFormat="1">
      <c r="A207" s="915" t="s">
        <v>321</v>
      </c>
      <c r="B207" s="916" t="s">
        <v>322</v>
      </c>
      <c r="C207" s="917">
        <v>43100</v>
      </c>
      <c r="D207" s="918">
        <v>4324.45</v>
      </c>
    </row>
    <row r="208" spans="1:4" customFormat="1">
      <c r="A208" s="915" t="s">
        <v>270</v>
      </c>
      <c r="B208" s="916" t="s">
        <v>460</v>
      </c>
      <c r="C208" s="917">
        <v>43100</v>
      </c>
      <c r="D208" s="918">
        <v>1500</v>
      </c>
    </row>
    <row r="209" spans="1:4" customFormat="1">
      <c r="A209" s="915" t="s">
        <v>277</v>
      </c>
      <c r="B209" s="916" t="s">
        <v>276</v>
      </c>
      <c r="C209" s="917">
        <v>43100</v>
      </c>
      <c r="D209" s="918">
        <v>1140.1099999999999</v>
      </c>
    </row>
    <row r="210" spans="1:4" customFormat="1">
      <c r="A210" s="915" t="s">
        <v>755</v>
      </c>
      <c r="B210" s="916" t="s">
        <v>756</v>
      </c>
      <c r="C210" s="917">
        <v>43100</v>
      </c>
      <c r="D210" s="918">
        <v>1335.71</v>
      </c>
    </row>
    <row r="211" spans="1:4" customFormat="1">
      <c r="A211" s="915" t="s">
        <v>757</v>
      </c>
      <c r="B211" s="916" t="s">
        <v>758</v>
      </c>
      <c r="C211" s="917">
        <v>43100</v>
      </c>
      <c r="D211" s="918">
        <v>2984.75</v>
      </c>
    </row>
    <row r="212" spans="1:4" customFormat="1">
      <c r="A212" s="915" t="s">
        <v>607</v>
      </c>
      <c r="B212" s="916" t="s">
        <v>608</v>
      </c>
      <c r="C212" s="917">
        <v>43100</v>
      </c>
      <c r="D212" s="918">
        <v>1420.36</v>
      </c>
    </row>
    <row r="213" spans="1:4" customFormat="1">
      <c r="A213" s="915" t="s">
        <v>721</v>
      </c>
      <c r="B213" s="916" t="s">
        <v>722</v>
      </c>
      <c r="C213" s="917">
        <v>43100</v>
      </c>
      <c r="D213" s="918">
        <v>642.16</v>
      </c>
    </row>
    <row r="214" spans="1:4" customFormat="1">
      <c r="A214" s="915" t="s">
        <v>721</v>
      </c>
      <c r="B214" s="916" t="s">
        <v>722</v>
      </c>
      <c r="C214" s="917">
        <v>43100</v>
      </c>
      <c r="D214" s="918">
        <v>6000</v>
      </c>
    </row>
    <row r="215" spans="1:4" customFormat="1">
      <c r="A215" s="915" t="s">
        <v>630</v>
      </c>
      <c r="B215" s="916" t="s">
        <v>631</v>
      </c>
      <c r="C215" s="917">
        <v>43100</v>
      </c>
      <c r="D215" s="918">
        <v>1081.26</v>
      </c>
    </row>
    <row r="216" spans="1:4" customFormat="1">
      <c r="A216" s="915" t="s">
        <v>490</v>
      </c>
      <c r="B216" s="916" t="s">
        <v>491</v>
      </c>
      <c r="C216" s="917">
        <v>43100</v>
      </c>
      <c r="D216" s="918">
        <v>1293.33</v>
      </c>
    </row>
    <row r="217" spans="1:4" customFormat="1">
      <c r="A217" s="915" t="s">
        <v>718</v>
      </c>
      <c r="B217" s="916" t="s">
        <v>548</v>
      </c>
      <c r="C217" s="917">
        <v>43100</v>
      </c>
      <c r="D217" s="918">
        <v>2939.64</v>
      </c>
    </row>
    <row r="218" spans="1:4" customFormat="1">
      <c r="A218" s="915" t="s">
        <v>366</v>
      </c>
      <c r="B218" s="916" t="s">
        <v>367</v>
      </c>
      <c r="C218" s="917">
        <v>43100</v>
      </c>
      <c r="D218" s="918">
        <v>965.68</v>
      </c>
    </row>
    <row r="219" spans="1:4" customFormat="1">
      <c r="A219" s="915" t="s">
        <v>817</v>
      </c>
      <c r="B219" s="916" t="s">
        <v>818</v>
      </c>
      <c r="C219" s="917">
        <v>43100</v>
      </c>
      <c r="D219" s="918">
        <v>1678.01</v>
      </c>
    </row>
    <row r="220" spans="1:4" customFormat="1">
      <c r="A220" s="915" t="s">
        <v>715</v>
      </c>
      <c r="B220" s="916" t="s">
        <v>716</v>
      </c>
      <c r="C220" s="917">
        <v>43100</v>
      </c>
      <c r="D220" s="918">
        <v>1645.3</v>
      </c>
    </row>
    <row r="221" spans="1:4" customFormat="1">
      <c r="A221" s="915" t="s">
        <v>203</v>
      </c>
      <c r="B221" s="916" t="s">
        <v>202</v>
      </c>
      <c r="C221" s="917">
        <v>43100</v>
      </c>
      <c r="D221" s="918">
        <v>19243.3</v>
      </c>
    </row>
    <row r="222" spans="1:4" customFormat="1">
      <c r="A222" s="915" t="s">
        <v>642</v>
      </c>
      <c r="B222" s="916" t="s">
        <v>643</v>
      </c>
      <c r="C222" s="917">
        <v>43100</v>
      </c>
      <c r="D222" s="918">
        <v>1821.81</v>
      </c>
    </row>
    <row r="223" spans="1:4" customFormat="1">
      <c r="A223" s="915" t="s">
        <v>240</v>
      </c>
      <c r="B223" s="916" t="s">
        <v>239</v>
      </c>
      <c r="C223" s="917">
        <v>43100</v>
      </c>
      <c r="D223" s="918">
        <v>754.06</v>
      </c>
    </row>
    <row r="224" spans="1:4" customFormat="1">
      <c r="A224" s="915" t="s">
        <v>696</v>
      </c>
      <c r="B224" s="916" t="s">
        <v>695</v>
      </c>
      <c r="C224" s="917">
        <v>43100</v>
      </c>
      <c r="D224" s="918">
        <v>1439.58</v>
      </c>
    </row>
    <row r="225" spans="1:4" customFormat="1">
      <c r="A225" s="915" t="s">
        <v>791</v>
      </c>
      <c r="B225" s="916" t="s">
        <v>792</v>
      </c>
      <c r="C225" s="917">
        <v>43100</v>
      </c>
      <c r="D225" s="918">
        <v>3875.12</v>
      </c>
    </row>
    <row r="226" spans="1:4" customFormat="1">
      <c r="A226" s="915" t="s">
        <v>133</v>
      </c>
      <c r="B226" s="916" t="s">
        <v>132</v>
      </c>
      <c r="C226" s="917">
        <v>43100</v>
      </c>
      <c r="D226" s="918">
        <v>3164.56</v>
      </c>
    </row>
    <row r="227" spans="1:4" customFormat="1">
      <c r="A227" s="915" t="s">
        <v>224</v>
      </c>
      <c r="B227" s="916" t="s">
        <v>223</v>
      </c>
      <c r="C227" s="917">
        <v>43100</v>
      </c>
      <c r="D227" s="918">
        <v>1420.93</v>
      </c>
    </row>
    <row r="228" spans="1:4" customFormat="1">
      <c r="A228" s="915" t="s">
        <v>170</v>
      </c>
      <c r="B228" s="916" t="s">
        <v>169</v>
      </c>
      <c r="C228" s="917">
        <v>43100</v>
      </c>
      <c r="D228" s="918">
        <v>2244.0700000000002</v>
      </c>
    </row>
    <row r="229" spans="1:4" customFormat="1">
      <c r="A229" s="915" t="s">
        <v>645</v>
      </c>
      <c r="B229" s="916" t="s">
        <v>646</v>
      </c>
      <c r="C229" s="917">
        <v>43100</v>
      </c>
      <c r="D229" s="918">
        <v>1159.83</v>
      </c>
    </row>
    <row r="230" spans="1:4" customFormat="1">
      <c r="A230" s="915" t="s">
        <v>198</v>
      </c>
      <c r="B230" s="916" t="s">
        <v>197</v>
      </c>
      <c r="C230" s="917">
        <v>43100</v>
      </c>
      <c r="D230" s="918">
        <v>1854.13</v>
      </c>
    </row>
    <row r="231" spans="1:4" customFormat="1">
      <c r="A231" s="915" t="s">
        <v>228</v>
      </c>
      <c r="B231" s="916" t="s">
        <v>227</v>
      </c>
      <c r="C231" s="917">
        <v>43100</v>
      </c>
      <c r="D231" s="918">
        <v>450.5</v>
      </c>
    </row>
    <row r="232" spans="1:4" customFormat="1">
      <c r="A232" s="915" t="s">
        <v>700</v>
      </c>
      <c r="B232" s="916" t="s">
        <v>699</v>
      </c>
      <c r="C232" s="917">
        <v>43100</v>
      </c>
      <c r="D232" s="918">
        <v>761.68</v>
      </c>
    </row>
    <row r="233" spans="1:4" customFormat="1">
      <c r="A233" s="915" t="s">
        <v>482</v>
      </c>
      <c r="B233" s="916" t="s">
        <v>483</v>
      </c>
      <c r="C233" s="917">
        <v>43100</v>
      </c>
      <c r="D233" s="918">
        <v>1450</v>
      </c>
    </row>
    <row r="234" spans="1:4" customFormat="1">
      <c r="A234" s="915" t="s">
        <v>172</v>
      </c>
      <c r="B234" s="916" t="s">
        <v>171</v>
      </c>
      <c r="C234" s="917">
        <v>43100</v>
      </c>
      <c r="D234" s="918">
        <v>3844.63</v>
      </c>
    </row>
    <row r="235" spans="1:4" customFormat="1">
      <c r="A235" s="915" t="s">
        <v>675</v>
      </c>
      <c r="B235" s="916" t="s">
        <v>674</v>
      </c>
      <c r="C235" s="917">
        <v>43100</v>
      </c>
      <c r="D235" s="918">
        <v>1773.58</v>
      </c>
    </row>
    <row r="236" spans="1:4" customFormat="1">
      <c r="A236" s="915" t="s">
        <v>222</v>
      </c>
      <c r="B236" s="916" t="s">
        <v>221</v>
      </c>
      <c r="C236" s="917">
        <v>43100</v>
      </c>
      <c r="D236" s="918">
        <v>265.06</v>
      </c>
    </row>
    <row r="237" spans="1:4" customFormat="1">
      <c r="A237" s="915" t="s">
        <v>159</v>
      </c>
      <c r="B237" s="916" t="s">
        <v>158</v>
      </c>
      <c r="C237" s="917">
        <v>43100</v>
      </c>
      <c r="D237" s="918">
        <v>1000</v>
      </c>
    </row>
    <row r="238" spans="1:4" customFormat="1">
      <c r="A238" s="915" t="s">
        <v>212</v>
      </c>
      <c r="B238" s="916" t="s">
        <v>211</v>
      </c>
      <c r="C238" s="917">
        <v>43100</v>
      </c>
      <c r="D238" s="918">
        <v>2543.0300000000002</v>
      </c>
    </row>
    <row r="239" spans="1:4" customFormat="1">
      <c r="A239" s="915" t="s">
        <v>508</v>
      </c>
      <c r="B239" s="916" t="s">
        <v>507</v>
      </c>
      <c r="C239" s="917">
        <v>43100</v>
      </c>
      <c r="D239" s="918">
        <v>1775.56</v>
      </c>
    </row>
    <row r="240" spans="1:4" customFormat="1">
      <c r="A240" s="915" t="s">
        <v>242</v>
      </c>
      <c r="B240" s="916" t="s">
        <v>241</v>
      </c>
      <c r="C240" s="917">
        <v>43100</v>
      </c>
      <c r="D240" s="918">
        <v>1024.07</v>
      </c>
    </row>
    <row r="241" spans="1:4" customFormat="1">
      <c r="A241" s="915" t="s">
        <v>405</v>
      </c>
      <c r="B241" s="916" t="s">
        <v>173</v>
      </c>
      <c r="C241" s="917">
        <v>43100</v>
      </c>
      <c r="D241" s="918">
        <v>1276.9000000000001</v>
      </c>
    </row>
    <row r="242" spans="1:4" customFormat="1">
      <c r="A242" s="915" t="s">
        <v>475</v>
      </c>
      <c r="B242" s="916" t="s">
        <v>476</v>
      </c>
      <c r="C242" s="917">
        <v>43100</v>
      </c>
      <c r="D242" s="918">
        <v>680.95</v>
      </c>
    </row>
    <row r="243" spans="1:4" customFormat="1">
      <c r="A243" s="915" t="s">
        <v>653</v>
      </c>
      <c r="B243" s="916" t="s">
        <v>175</v>
      </c>
      <c r="C243" s="917">
        <v>43100</v>
      </c>
      <c r="D243" s="918">
        <v>7435.67</v>
      </c>
    </row>
    <row r="244" spans="1:4" customFormat="1">
      <c r="A244" s="915" t="s">
        <v>652</v>
      </c>
      <c r="B244" s="916" t="s">
        <v>651</v>
      </c>
      <c r="C244" s="917">
        <v>43100</v>
      </c>
      <c r="D244" s="918">
        <v>1112.78</v>
      </c>
    </row>
    <row r="245" spans="1:4" customFormat="1">
      <c r="A245" s="915" t="s">
        <v>551</v>
      </c>
      <c r="B245" s="916" t="s">
        <v>249</v>
      </c>
      <c r="C245" s="917">
        <v>43100</v>
      </c>
      <c r="D245" s="918">
        <v>1433.14</v>
      </c>
    </row>
    <row r="246" spans="1:4" customFormat="1">
      <c r="A246" s="915" t="s">
        <v>738</v>
      </c>
      <c r="B246" s="916" t="s">
        <v>739</v>
      </c>
      <c r="C246" s="917">
        <v>43100</v>
      </c>
      <c r="D246" s="918">
        <v>2357.79</v>
      </c>
    </row>
    <row r="247" spans="1:4" customFormat="1">
      <c r="A247" s="915" t="s">
        <v>935</v>
      </c>
      <c r="B247" s="916" t="s">
        <v>934</v>
      </c>
      <c r="C247" s="917">
        <v>43100</v>
      </c>
      <c r="D247" s="918">
        <v>2374.8000000000002</v>
      </c>
    </row>
    <row r="248" spans="1:4" customFormat="1">
      <c r="A248" s="915" t="s">
        <v>820</v>
      </c>
      <c r="B248" s="916" t="s">
        <v>821</v>
      </c>
      <c r="C248" s="917">
        <v>43100</v>
      </c>
      <c r="D248" s="918">
        <v>2063.0300000000002</v>
      </c>
    </row>
    <row r="249" spans="1:4" customFormat="1">
      <c r="A249" s="915" t="s">
        <v>793</v>
      </c>
      <c r="B249" s="916" t="s">
        <v>524</v>
      </c>
      <c r="C249" s="917">
        <v>43100</v>
      </c>
      <c r="D249" s="918">
        <v>2276.64</v>
      </c>
    </row>
    <row r="250" spans="1:4" customFormat="1">
      <c r="A250" s="915" t="s">
        <v>953</v>
      </c>
      <c r="B250" s="916" t="s">
        <v>611</v>
      </c>
      <c r="C250" s="917">
        <v>43100</v>
      </c>
      <c r="D250" s="918">
        <v>613.17999999999995</v>
      </c>
    </row>
    <row r="251" spans="1:4" customFormat="1">
      <c r="A251" s="915" t="s">
        <v>368</v>
      </c>
      <c r="B251" s="916" t="s">
        <v>230</v>
      </c>
      <c r="C251" s="917">
        <v>43100</v>
      </c>
      <c r="D251" s="918">
        <v>1155.5999999999999</v>
      </c>
    </row>
    <row r="252" spans="1:4" customFormat="1">
      <c r="A252" s="915" t="s">
        <v>567</v>
      </c>
      <c r="B252" s="916" t="s">
        <v>415</v>
      </c>
      <c r="C252" s="917">
        <v>43100</v>
      </c>
      <c r="D252" s="918">
        <v>15800</v>
      </c>
    </row>
    <row r="253" spans="1:4" customFormat="1">
      <c r="A253" s="915" t="s">
        <v>1011</v>
      </c>
      <c r="B253" s="916" t="s">
        <v>778</v>
      </c>
      <c r="C253" s="917">
        <v>43100</v>
      </c>
      <c r="D253" s="918">
        <v>575.24</v>
      </c>
    </row>
    <row r="254" spans="1:4" customFormat="1">
      <c r="A254" s="915" t="s">
        <v>874</v>
      </c>
      <c r="B254" s="916" t="s">
        <v>141</v>
      </c>
      <c r="C254" s="917">
        <v>43100</v>
      </c>
      <c r="D254" s="918">
        <v>250</v>
      </c>
    </row>
    <row r="255" spans="1:4" customFormat="1">
      <c r="A255" s="915" t="s">
        <v>506</v>
      </c>
      <c r="B255" s="916" t="s">
        <v>141</v>
      </c>
      <c r="C255" s="917">
        <v>43100</v>
      </c>
      <c r="D255" s="918">
        <v>545.51</v>
      </c>
    </row>
    <row r="256" spans="1:4" customFormat="1">
      <c r="A256" s="915" t="s">
        <v>471</v>
      </c>
      <c r="B256" s="916" t="s">
        <v>472</v>
      </c>
      <c r="C256" s="917">
        <v>43100</v>
      </c>
      <c r="D256" s="918">
        <v>800</v>
      </c>
    </row>
    <row r="257" spans="1:4" customFormat="1">
      <c r="A257" s="915" t="s">
        <v>682</v>
      </c>
      <c r="B257" s="916" t="s">
        <v>340</v>
      </c>
      <c r="C257" s="917">
        <v>43100</v>
      </c>
      <c r="D257" s="918">
        <v>6102.95</v>
      </c>
    </row>
    <row r="258" spans="1:4" customFormat="1">
      <c r="A258" s="915" t="s">
        <v>694</v>
      </c>
      <c r="B258" s="916" t="s">
        <v>251</v>
      </c>
      <c r="C258" s="917">
        <v>43100</v>
      </c>
      <c r="D258" s="918">
        <v>1250.06</v>
      </c>
    </row>
    <row r="259" spans="1:4" customFormat="1">
      <c r="A259" s="915" t="s">
        <v>473</v>
      </c>
      <c r="B259" s="916" t="s">
        <v>231</v>
      </c>
      <c r="C259" s="917">
        <v>43100</v>
      </c>
      <c r="D259" s="918">
        <v>1554.92</v>
      </c>
    </row>
    <row r="260" spans="1:4" customFormat="1">
      <c r="A260" s="915" t="s">
        <v>386</v>
      </c>
      <c r="B260" s="916" t="s">
        <v>315</v>
      </c>
      <c r="C260" s="917">
        <v>43100</v>
      </c>
      <c r="D260" s="918">
        <v>1449.38</v>
      </c>
    </row>
    <row r="261" spans="1:4" customFormat="1">
      <c r="A261" s="915" t="s">
        <v>790</v>
      </c>
      <c r="B261" s="916" t="s">
        <v>234</v>
      </c>
      <c r="C261" s="917">
        <v>43100</v>
      </c>
      <c r="D261" s="918">
        <v>1768.77</v>
      </c>
    </row>
    <row r="262" spans="1:4" customFormat="1">
      <c r="A262" s="915" t="s">
        <v>933</v>
      </c>
      <c r="B262" s="916" t="s">
        <v>932</v>
      </c>
      <c r="C262" s="917">
        <v>43100</v>
      </c>
      <c r="D262" s="918">
        <v>446.95</v>
      </c>
    </row>
    <row r="263" spans="1:4" customFormat="1">
      <c r="A263" s="915" t="s">
        <v>689</v>
      </c>
      <c r="B263" s="916" t="s">
        <v>688</v>
      </c>
      <c r="C263" s="917">
        <v>43100</v>
      </c>
      <c r="D263" s="918">
        <v>1206.1500000000001</v>
      </c>
    </row>
    <row r="264" spans="1:4" customFormat="1">
      <c r="A264" s="915" t="s">
        <v>931</v>
      </c>
      <c r="B264" s="916" t="s">
        <v>930</v>
      </c>
      <c r="C264" s="917">
        <v>43100</v>
      </c>
      <c r="D264" s="918">
        <v>706.95</v>
      </c>
    </row>
    <row r="265" spans="1:4" customFormat="1">
      <c r="A265" s="915" t="s">
        <v>407</v>
      </c>
      <c r="B265" s="916" t="s">
        <v>252</v>
      </c>
      <c r="C265" s="917">
        <v>43100</v>
      </c>
      <c r="D265" s="918">
        <v>3072.71</v>
      </c>
    </row>
    <row r="266" spans="1:4" customFormat="1">
      <c r="A266" s="915" t="s">
        <v>955</v>
      </c>
      <c r="B266" s="916" t="s">
        <v>452</v>
      </c>
      <c r="C266" s="917">
        <v>43100</v>
      </c>
      <c r="D266" s="918">
        <v>1376.52</v>
      </c>
    </row>
    <row r="267" spans="1:4" customFormat="1">
      <c r="A267" s="915" t="s">
        <v>671</v>
      </c>
      <c r="B267" s="916" t="s">
        <v>670</v>
      </c>
      <c r="C267" s="917">
        <v>43100</v>
      </c>
      <c r="D267" s="918">
        <v>1443</v>
      </c>
    </row>
    <row r="268" spans="1:4" customFormat="1">
      <c r="A268" s="915" t="s">
        <v>614</v>
      </c>
      <c r="B268" s="916" t="s">
        <v>464</v>
      </c>
      <c r="C268" s="917">
        <v>43100</v>
      </c>
      <c r="D268" s="918">
        <v>1247.28</v>
      </c>
    </row>
    <row r="269" spans="1:4" customFormat="1">
      <c r="A269" s="915" t="s">
        <v>372</v>
      </c>
      <c r="B269" s="916" t="s">
        <v>339</v>
      </c>
      <c r="C269" s="917">
        <v>43100</v>
      </c>
      <c r="D269" s="918">
        <v>1508.4</v>
      </c>
    </row>
    <row r="270" spans="1:4" customFormat="1">
      <c r="A270" s="915" t="s">
        <v>687</v>
      </c>
      <c r="B270" s="916" t="s">
        <v>465</v>
      </c>
      <c r="C270" s="917">
        <v>43100</v>
      </c>
      <c r="D270" s="918">
        <v>1131.92</v>
      </c>
    </row>
    <row r="271" spans="1:4" customFormat="1">
      <c r="A271" s="915" t="s">
        <v>504</v>
      </c>
      <c r="B271" s="916" t="s">
        <v>184</v>
      </c>
      <c r="C271" s="917">
        <v>43100</v>
      </c>
      <c r="D271" s="918">
        <v>2109.37</v>
      </c>
    </row>
    <row r="272" spans="1:4" customFormat="1">
      <c r="A272" s="915" t="s">
        <v>1147</v>
      </c>
      <c r="B272" s="916" t="s">
        <v>1146</v>
      </c>
      <c r="C272" s="917">
        <v>43100</v>
      </c>
      <c r="D272" s="918">
        <v>704.07</v>
      </c>
    </row>
    <row r="273" spans="1:4" customFormat="1">
      <c r="A273" s="915" t="s">
        <v>713</v>
      </c>
      <c r="B273" s="916" t="s">
        <v>278</v>
      </c>
      <c r="C273" s="917">
        <v>43100</v>
      </c>
      <c r="D273" s="918">
        <v>3178.67</v>
      </c>
    </row>
    <row r="274" spans="1:4" customFormat="1">
      <c r="A274" s="915" t="s">
        <v>752</v>
      </c>
      <c r="B274" s="916" t="s">
        <v>753</v>
      </c>
      <c r="C274" s="917">
        <v>43100</v>
      </c>
      <c r="D274" s="918">
        <v>6385.57</v>
      </c>
    </row>
    <row r="275" spans="1:4" customFormat="1">
      <c r="A275" s="915" t="s">
        <v>634</v>
      </c>
      <c r="B275" s="916" t="s">
        <v>279</v>
      </c>
      <c r="C275" s="917">
        <v>43100</v>
      </c>
      <c r="D275" s="918">
        <v>1407.14</v>
      </c>
    </row>
    <row r="276" spans="1:4" customFormat="1">
      <c r="A276" s="915" t="s">
        <v>571</v>
      </c>
      <c r="B276" s="916" t="s">
        <v>232</v>
      </c>
      <c r="C276" s="917">
        <v>43100</v>
      </c>
      <c r="D276" s="918">
        <v>539.37</v>
      </c>
    </row>
    <row r="277" spans="1:4" customFormat="1">
      <c r="A277" s="915" t="s">
        <v>929</v>
      </c>
      <c r="B277" s="916" t="s">
        <v>928</v>
      </c>
      <c r="C277" s="917">
        <v>43100</v>
      </c>
      <c r="D277" s="918">
        <v>1796.5</v>
      </c>
    </row>
    <row r="278" spans="1:4" customFormat="1">
      <c r="A278" s="915" t="s">
        <v>927</v>
      </c>
      <c r="B278" s="916" t="s">
        <v>247</v>
      </c>
      <c r="C278" s="917">
        <v>43100</v>
      </c>
      <c r="D278" s="918">
        <v>1453.99</v>
      </c>
    </row>
    <row r="279" spans="1:4" customFormat="1">
      <c r="A279" s="915" t="s">
        <v>822</v>
      </c>
      <c r="B279" s="916" t="s">
        <v>681</v>
      </c>
      <c r="C279" s="917">
        <v>43100</v>
      </c>
      <c r="D279" s="918">
        <v>881.61</v>
      </c>
    </row>
    <row r="280" spans="1:4" customFormat="1">
      <c r="A280" s="915" t="s">
        <v>515</v>
      </c>
      <c r="B280" s="916" t="s">
        <v>481</v>
      </c>
      <c r="C280" s="917">
        <v>43100</v>
      </c>
      <c r="D280" s="918">
        <v>2214.9</v>
      </c>
    </row>
    <row r="281" spans="1:4" customFormat="1">
      <c r="A281" s="915" t="s">
        <v>823</v>
      </c>
      <c r="B281" s="916" t="s">
        <v>824</v>
      </c>
      <c r="C281" s="917">
        <v>43100</v>
      </c>
      <c r="D281" s="918">
        <v>491.26</v>
      </c>
    </row>
    <row r="282" spans="1:4" customFormat="1">
      <c r="A282" s="915" t="s">
        <v>569</v>
      </c>
      <c r="B282" s="916" t="s">
        <v>186</v>
      </c>
      <c r="C282" s="917">
        <v>43100</v>
      </c>
      <c r="D282" s="918">
        <v>700</v>
      </c>
    </row>
    <row r="283" spans="1:4" customFormat="1">
      <c r="A283" s="915" t="s">
        <v>406</v>
      </c>
      <c r="B283" s="916" t="s">
        <v>181</v>
      </c>
      <c r="C283" s="917">
        <v>43100</v>
      </c>
      <c r="D283" s="918">
        <v>2904.7</v>
      </c>
    </row>
    <row r="284" spans="1:4" customFormat="1">
      <c r="A284" s="915" t="s">
        <v>640</v>
      </c>
      <c r="B284" s="916" t="s">
        <v>150</v>
      </c>
      <c r="C284" s="917">
        <v>43100</v>
      </c>
      <c r="D284" s="918">
        <v>8387.7199999999993</v>
      </c>
    </row>
    <row r="285" spans="1:4" customFormat="1">
      <c r="A285" s="915" t="s">
        <v>449</v>
      </c>
      <c r="B285" s="916" t="s">
        <v>316</v>
      </c>
      <c r="C285" s="917">
        <v>43100</v>
      </c>
      <c r="D285" s="918">
        <v>843.66</v>
      </c>
    </row>
    <row r="286" spans="1:4" customFormat="1">
      <c r="A286" s="915" t="s">
        <v>494</v>
      </c>
      <c r="B286" s="916" t="s">
        <v>152</v>
      </c>
      <c r="C286" s="917">
        <v>43100</v>
      </c>
      <c r="D286" s="918">
        <v>1571.91</v>
      </c>
    </row>
    <row r="287" spans="1:4" customFormat="1">
      <c r="A287" s="915" t="s">
        <v>754</v>
      </c>
      <c r="B287" s="916" t="s">
        <v>538</v>
      </c>
      <c r="C287" s="917">
        <v>43100</v>
      </c>
      <c r="D287" s="918">
        <v>2435.9699999999998</v>
      </c>
    </row>
    <row r="288" spans="1:4" customFormat="1">
      <c r="A288" s="915" t="s">
        <v>810</v>
      </c>
      <c r="B288" s="916" t="s">
        <v>601</v>
      </c>
      <c r="C288" s="917">
        <v>43100</v>
      </c>
      <c r="D288" s="918">
        <v>3263.92</v>
      </c>
    </row>
    <row r="289" spans="1:9" customFormat="1">
      <c r="A289" s="915" t="s">
        <v>455</v>
      </c>
      <c r="B289" s="916" t="s">
        <v>187</v>
      </c>
      <c r="C289" s="917">
        <v>43100</v>
      </c>
      <c r="D289" s="918">
        <v>2750</v>
      </c>
    </row>
    <row r="290" spans="1:9" customFormat="1">
      <c r="A290" s="915" t="s">
        <v>455</v>
      </c>
      <c r="B290" s="916" t="s">
        <v>187</v>
      </c>
      <c r="C290" s="917">
        <v>43100</v>
      </c>
      <c r="D290" s="918">
        <v>1339.6</v>
      </c>
    </row>
    <row r="291" spans="1:9" customFormat="1">
      <c r="A291" s="915" t="s">
        <v>862</v>
      </c>
      <c r="B291" s="916" t="s">
        <v>549</v>
      </c>
      <c r="C291" s="917">
        <v>43100</v>
      </c>
      <c r="D291" s="918">
        <v>758.41</v>
      </c>
    </row>
    <row r="292" spans="1:9" customFormat="1">
      <c r="A292" s="915" t="s">
        <v>926</v>
      </c>
      <c r="B292" s="916" t="s">
        <v>233</v>
      </c>
      <c r="C292" s="917">
        <v>43100</v>
      </c>
      <c r="D292" s="918">
        <v>791.03</v>
      </c>
    </row>
    <row r="293" spans="1:9" customFormat="1">
      <c r="A293" s="915" t="s">
        <v>412</v>
      </c>
      <c r="B293" s="916" t="s">
        <v>219</v>
      </c>
      <c r="C293" s="917">
        <v>43100</v>
      </c>
      <c r="D293" s="918">
        <v>4687.21</v>
      </c>
    </row>
    <row r="294" spans="1:9" customFormat="1">
      <c r="A294" s="915" t="s">
        <v>669</v>
      </c>
      <c r="B294" s="916" t="s">
        <v>863</v>
      </c>
      <c r="C294" s="917">
        <v>43100</v>
      </c>
      <c r="D294" s="918">
        <v>3124.21</v>
      </c>
    </row>
    <row r="295" spans="1:9" customFormat="1">
      <c r="A295" s="915" t="s">
        <v>819</v>
      </c>
      <c r="B295" s="916" t="s">
        <v>235</v>
      </c>
      <c r="C295" s="917">
        <v>43100</v>
      </c>
      <c r="D295" s="918">
        <v>1874.1</v>
      </c>
    </row>
    <row r="296" spans="1:9" customFormat="1">
      <c r="A296" s="915" t="s">
        <v>635</v>
      </c>
      <c r="B296" s="916" t="s">
        <v>189</v>
      </c>
      <c r="C296" s="917">
        <v>43100</v>
      </c>
      <c r="D296" s="918">
        <v>640</v>
      </c>
    </row>
    <row r="297" spans="1:9" customFormat="1">
      <c r="A297" s="915" t="s">
        <v>750</v>
      </c>
      <c r="B297" s="916" t="s">
        <v>751</v>
      </c>
      <c r="C297" s="917">
        <v>43100</v>
      </c>
      <c r="D297" s="918">
        <v>1703.99</v>
      </c>
    </row>
    <row r="298" spans="1:9" customFormat="1">
      <c r="A298" s="915" t="s">
        <v>384</v>
      </c>
      <c r="B298" s="916" t="s">
        <v>176</v>
      </c>
      <c r="C298" s="917">
        <v>43100</v>
      </c>
      <c r="D298" s="918">
        <v>1282.7</v>
      </c>
    </row>
    <row r="299" spans="1:9" customFormat="1">
      <c r="A299" s="915" t="s">
        <v>633</v>
      </c>
      <c r="B299" s="916" t="s">
        <v>526</v>
      </c>
      <c r="C299" s="917">
        <v>43100</v>
      </c>
      <c r="D299" s="918">
        <v>4679.6899999999996</v>
      </c>
    </row>
    <row r="300" spans="1:9" customFormat="1">
      <c r="A300" s="915" t="s">
        <v>861</v>
      </c>
      <c r="B300" s="916" t="s">
        <v>1138</v>
      </c>
      <c r="C300" s="917">
        <v>43100</v>
      </c>
      <c r="D300" s="918">
        <v>376.19</v>
      </c>
    </row>
    <row r="301" spans="1:9" customFormat="1" ht="15.75" thickBot="1">
      <c r="A301" s="923" t="s">
        <v>552</v>
      </c>
      <c r="B301" s="924" t="s">
        <v>910</v>
      </c>
      <c r="C301" s="925">
        <v>43100</v>
      </c>
      <c r="D301" s="926">
        <v>1240.78</v>
      </c>
    </row>
    <row r="302" spans="1:9" customFormat="1" ht="15.75" thickBot="1">
      <c r="A302" s="1057" t="s">
        <v>964</v>
      </c>
      <c r="B302" s="1058"/>
      <c r="C302" s="1058"/>
      <c r="D302" s="730">
        <f>SUM(D2:D301)</f>
        <v>568745.44000000006</v>
      </c>
    </row>
    <row r="303" spans="1:9" customFormat="1">
      <c r="A303" s="903" t="s">
        <v>597</v>
      </c>
      <c r="B303" s="904" t="s">
        <v>572</v>
      </c>
      <c r="C303" s="905">
        <v>43101</v>
      </c>
      <c r="D303" s="906">
        <v>500</v>
      </c>
      <c r="F303" s="708"/>
      <c r="G303" s="708"/>
      <c r="H303" s="708"/>
      <c r="I303" s="708"/>
    </row>
    <row r="304" spans="1:9" customFormat="1">
      <c r="A304" s="915" t="s">
        <v>597</v>
      </c>
      <c r="B304" s="916" t="s">
        <v>572</v>
      </c>
      <c r="C304" s="917">
        <v>43101</v>
      </c>
      <c r="D304" s="918">
        <v>160</v>
      </c>
      <c r="F304" s="708"/>
      <c r="G304" s="708"/>
      <c r="H304" s="708"/>
      <c r="I304" s="708"/>
    </row>
    <row r="305" spans="1:9" customFormat="1">
      <c r="A305" s="915" t="s">
        <v>1068</v>
      </c>
      <c r="B305" s="916" t="s">
        <v>1170</v>
      </c>
      <c r="C305" s="917">
        <v>43101</v>
      </c>
      <c r="D305" s="918">
        <v>720.93</v>
      </c>
      <c r="F305" s="708"/>
      <c r="G305" s="708"/>
      <c r="H305" s="708"/>
      <c r="I305" s="708"/>
    </row>
    <row r="306" spans="1:9" customFormat="1">
      <c r="A306" s="915" t="s">
        <v>240</v>
      </c>
      <c r="B306" s="916" t="s">
        <v>239</v>
      </c>
      <c r="C306" s="917">
        <v>43101</v>
      </c>
      <c r="D306" s="918">
        <v>621.11</v>
      </c>
      <c r="F306" s="708"/>
      <c r="G306" s="708"/>
      <c r="H306" s="708"/>
      <c r="I306" s="708"/>
    </row>
    <row r="307" spans="1:9" customFormat="1">
      <c r="A307" s="915" t="s">
        <v>616</v>
      </c>
      <c r="B307" s="916" t="s">
        <v>617</v>
      </c>
      <c r="C307" s="917">
        <v>43101</v>
      </c>
      <c r="D307" s="918">
        <v>9719.59</v>
      </c>
      <c r="F307" s="708"/>
      <c r="G307" s="708"/>
      <c r="H307" s="708"/>
      <c r="I307" s="708"/>
    </row>
    <row r="308" spans="1:9" customFormat="1">
      <c r="A308" s="915" t="s">
        <v>1068</v>
      </c>
      <c r="B308" s="916" t="s">
        <v>1170</v>
      </c>
      <c r="C308" s="917">
        <v>43102</v>
      </c>
      <c r="D308" s="918">
        <v>730.98</v>
      </c>
      <c r="F308" s="708"/>
      <c r="G308" s="708"/>
      <c r="H308" s="708"/>
      <c r="I308" s="708"/>
    </row>
    <row r="309" spans="1:9" customFormat="1">
      <c r="A309" s="915" t="s">
        <v>860</v>
      </c>
      <c r="B309" s="916" t="s">
        <v>598</v>
      </c>
      <c r="C309" s="917">
        <v>43102</v>
      </c>
      <c r="D309" s="918">
        <v>650</v>
      </c>
      <c r="F309" s="708"/>
      <c r="G309" s="708"/>
      <c r="H309" s="708"/>
      <c r="I309" s="708"/>
    </row>
    <row r="310" spans="1:9" customFormat="1">
      <c r="A310" s="915" t="s">
        <v>794</v>
      </c>
      <c r="B310" s="916" t="s">
        <v>795</v>
      </c>
      <c r="C310" s="917">
        <v>43102</v>
      </c>
      <c r="D310" s="918">
        <v>2166.27</v>
      </c>
      <c r="F310" s="708"/>
      <c r="G310" s="708"/>
      <c r="H310" s="708"/>
      <c r="I310" s="708"/>
    </row>
    <row r="311" spans="1:9" customFormat="1">
      <c r="A311" s="915" t="s">
        <v>796</v>
      </c>
      <c r="B311" s="916" t="s">
        <v>733</v>
      </c>
      <c r="C311" s="917">
        <v>43103</v>
      </c>
      <c r="D311" s="918">
        <v>1032.83</v>
      </c>
      <c r="F311" s="708"/>
      <c r="G311" s="708"/>
      <c r="H311" s="708"/>
      <c r="I311" s="708"/>
    </row>
    <row r="312" spans="1:9" customFormat="1">
      <c r="A312" s="907" t="s">
        <v>597</v>
      </c>
      <c r="B312" s="908" t="s">
        <v>572</v>
      </c>
      <c r="C312" s="909">
        <v>43105</v>
      </c>
      <c r="D312" s="910">
        <v>250</v>
      </c>
      <c r="F312" s="708"/>
      <c r="G312" s="708"/>
      <c r="H312" s="708"/>
      <c r="I312" s="708"/>
    </row>
    <row r="313" spans="1:9" customFormat="1">
      <c r="A313" s="907" t="s">
        <v>941</v>
      </c>
      <c r="B313" s="908" t="s">
        <v>1192</v>
      </c>
      <c r="C313" s="909">
        <v>43105</v>
      </c>
      <c r="D313" s="910">
        <v>501.02800000000002</v>
      </c>
      <c r="F313" s="708"/>
      <c r="G313" s="708"/>
      <c r="H313" s="708"/>
      <c r="I313" s="708"/>
    </row>
    <row r="314" spans="1:9" customFormat="1">
      <c r="A314" s="907" t="s">
        <v>1180</v>
      </c>
      <c r="B314" s="908" t="s">
        <v>1179</v>
      </c>
      <c r="C314" s="909">
        <v>43105</v>
      </c>
      <c r="D314" s="910">
        <v>745.85299999999995</v>
      </c>
      <c r="F314" s="708"/>
      <c r="G314" s="708"/>
      <c r="H314" s="708"/>
      <c r="I314" s="708"/>
    </row>
    <row r="315" spans="1:9" customFormat="1">
      <c r="A315" s="915" t="s">
        <v>536</v>
      </c>
      <c r="B315" s="916" t="s">
        <v>194</v>
      </c>
      <c r="C315" s="917">
        <v>43105</v>
      </c>
      <c r="D315" s="918">
        <v>780</v>
      </c>
      <c r="F315" s="708"/>
      <c r="G315" s="708"/>
      <c r="H315" s="708"/>
      <c r="I315" s="708"/>
    </row>
    <row r="316" spans="1:9" customFormat="1">
      <c r="A316" s="915" t="s">
        <v>940</v>
      </c>
      <c r="B316" s="916" t="s">
        <v>1135</v>
      </c>
      <c r="C316" s="917">
        <v>43105</v>
      </c>
      <c r="D316" s="918">
        <v>499.99</v>
      </c>
      <c r="F316" s="708"/>
      <c r="G316" s="708"/>
      <c r="H316" s="708"/>
      <c r="I316" s="708"/>
    </row>
    <row r="317" spans="1:9" customFormat="1">
      <c r="A317" s="915" t="s">
        <v>254</v>
      </c>
      <c r="B317" s="916" t="s">
        <v>253</v>
      </c>
      <c r="C317" s="917">
        <v>43105</v>
      </c>
      <c r="D317" s="918">
        <v>697</v>
      </c>
      <c r="F317" s="708"/>
      <c r="G317" s="708"/>
      <c r="H317" s="708"/>
      <c r="I317" s="708"/>
    </row>
    <row r="318" spans="1:9" customFormat="1">
      <c r="A318" s="915" t="s">
        <v>275</v>
      </c>
      <c r="B318" s="916" t="s">
        <v>274</v>
      </c>
      <c r="C318" s="917">
        <v>43105</v>
      </c>
      <c r="D318" s="918">
        <v>600</v>
      </c>
      <c r="F318" s="708"/>
      <c r="G318" s="708"/>
      <c r="H318" s="708"/>
      <c r="I318" s="708"/>
    </row>
    <row r="319" spans="1:9" customFormat="1">
      <c r="A319" s="915" t="s">
        <v>275</v>
      </c>
      <c r="B319" s="916" t="s">
        <v>274</v>
      </c>
      <c r="C319" s="917">
        <v>43105</v>
      </c>
      <c r="D319" s="918">
        <v>600</v>
      </c>
      <c r="F319" s="708"/>
      <c r="G319" s="708"/>
      <c r="H319" s="708"/>
      <c r="I319" s="708"/>
    </row>
    <row r="320" spans="1:9" customFormat="1">
      <c r="A320" s="915" t="s">
        <v>711</v>
      </c>
      <c r="B320" s="916" t="s">
        <v>765</v>
      </c>
      <c r="C320" s="917">
        <v>43105</v>
      </c>
      <c r="D320" s="918">
        <v>2010.74</v>
      </c>
      <c r="F320" s="708"/>
      <c r="G320" s="708"/>
      <c r="H320" s="708"/>
      <c r="I320" s="708"/>
    </row>
    <row r="321" spans="1:9" customFormat="1">
      <c r="A321" s="915" t="s">
        <v>510</v>
      </c>
      <c r="B321" s="916" t="s">
        <v>509</v>
      </c>
      <c r="C321" s="917">
        <v>43105</v>
      </c>
      <c r="D321" s="918">
        <v>16119.39</v>
      </c>
      <c r="F321" s="708"/>
      <c r="G321" s="708"/>
      <c r="H321" s="708"/>
      <c r="I321" s="708"/>
    </row>
    <row r="322" spans="1:9" customFormat="1">
      <c r="A322" s="915" t="s">
        <v>157</v>
      </c>
      <c r="B322" s="916" t="s">
        <v>156</v>
      </c>
      <c r="C322" s="917">
        <v>43105</v>
      </c>
      <c r="D322" s="918">
        <v>922.97</v>
      </c>
      <c r="F322" s="708"/>
      <c r="G322" s="708"/>
      <c r="H322" s="708"/>
      <c r="I322" s="708"/>
    </row>
    <row r="323" spans="1:9" customFormat="1">
      <c r="A323" s="915" t="s">
        <v>400</v>
      </c>
      <c r="B323" s="916" t="s">
        <v>401</v>
      </c>
      <c r="C323" s="917">
        <v>43105</v>
      </c>
      <c r="D323" s="918">
        <v>2500</v>
      </c>
      <c r="F323" s="708"/>
      <c r="G323" s="708"/>
      <c r="H323" s="708"/>
      <c r="I323" s="708"/>
    </row>
    <row r="324" spans="1:9" customFormat="1">
      <c r="A324" s="915" t="s">
        <v>1068</v>
      </c>
      <c r="B324" s="916" t="s">
        <v>1170</v>
      </c>
      <c r="C324" s="917">
        <v>43105</v>
      </c>
      <c r="D324" s="918">
        <v>720.93</v>
      </c>
      <c r="F324" s="708"/>
      <c r="G324" s="708"/>
      <c r="H324" s="708"/>
      <c r="I324" s="708"/>
    </row>
    <row r="325" spans="1:9" customFormat="1">
      <c r="A325" s="915" t="s">
        <v>313</v>
      </c>
      <c r="B325" s="916" t="s">
        <v>314</v>
      </c>
      <c r="C325" s="917">
        <v>43105</v>
      </c>
      <c r="D325" s="918">
        <v>2440</v>
      </c>
      <c r="F325" s="708"/>
      <c r="G325" s="708"/>
      <c r="H325" s="708"/>
      <c r="I325" s="708"/>
    </row>
    <row r="326" spans="1:9" customFormat="1">
      <c r="A326" s="915" t="s">
        <v>826</v>
      </c>
      <c r="B326" s="916" t="s">
        <v>827</v>
      </c>
      <c r="C326" s="917">
        <v>43105</v>
      </c>
      <c r="D326" s="918">
        <v>184.57</v>
      </c>
      <c r="F326" s="708"/>
      <c r="G326" s="708"/>
      <c r="H326" s="708"/>
      <c r="I326" s="708"/>
    </row>
    <row r="327" spans="1:9" customFormat="1">
      <c r="A327" s="915" t="s">
        <v>828</v>
      </c>
      <c r="B327" s="916" t="s">
        <v>829</v>
      </c>
      <c r="C327" s="917">
        <v>43105</v>
      </c>
      <c r="D327" s="918">
        <v>1228.5</v>
      </c>
      <c r="F327" s="708"/>
      <c r="G327" s="708"/>
      <c r="H327" s="708"/>
      <c r="I327" s="708"/>
    </row>
    <row r="328" spans="1:9" customFormat="1">
      <c r="A328" s="915" t="s">
        <v>673</v>
      </c>
      <c r="B328" s="916" t="s">
        <v>454</v>
      </c>
      <c r="C328" s="917">
        <v>43105</v>
      </c>
      <c r="D328" s="918">
        <v>814.27</v>
      </c>
      <c r="F328" s="708"/>
      <c r="G328" s="708"/>
      <c r="H328" s="708"/>
      <c r="I328" s="708"/>
    </row>
    <row r="329" spans="1:9" customFormat="1">
      <c r="A329" s="915" t="s">
        <v>782</v>
      </c>
      <c r="B329" s="916" t="s">
        <v>783</v>
      </c>
      <c r="C329" s="917">
        <v>43105</v>
      </c>
      <c r="D329" s="918">
        <v>544.86</v>
      </c>
      <c r="F329" s="708"/>
      <c r="G329" s="708"/>
      <c r="H329" s="708"/>
      <c r="I329" s="708"/>
    </row>
    <row r="330" spans="1:9" customFormat="1">
      <c r="A330" s="915" t="s">
        <v>470</v>
      </c>
      <c r="B330" s="916" t="s">
        <v>342</v>
      </c>
      <c r="C330" s="917">
        <v>43105</v>
      </c>
      <c r="D330" s="918">
        <v>4510.7</v>
      </c>
      <c r="F330" s="708"/>
      <c r="G330" s="708"/>
      <c r="H330" s="708"/>
      <c r="I330" s="708"/>
    </row>
    <row r="331" spans="1:9" customFormat="1">
      <c r="A331" s="915" t="s">
        <v>368</v>
      </c>
      <c r="B331" s="916" t="s">
        <v>230</v>
      </c>
      <c r="C331" s="917">
        <v>43105</v>
      </c>
      <c r="D331" s="918">
        <v>1162.25</v>
      </c>
      <c r="F331" s="708"/>
      <c r="G331" s="708"/>
      <c r="H331" s="708"/>
      <c r="I331" s="708"/>
    </row>
    <row r="332" spans="1:9" customFormat="1">
      <c r="A332" s="915" t="s">
        <v>506</v>
      </c>
      <c r="B332" s="916" t="s">
        <v>141</v>
      </c>
      <c r="C332" s="917">
        <v>43105</v>
      </c>
      <c r="D332" s="918">
        <v>571</v>
      </c>
      <c r="F332" s="708"/>
      <c r="G332" s="708"/>
      <c r="H332" s="708"/>
      <c r="I332" s="708"/>
    </row>
    <row r="333" spans="1:9" customFormat="1">
      <c r="A333" s="915" t="s">
        <v>1159</v>
      </c>
      <c r="B333" s="916" t="s">
        <v>1158</v>
      </c>
      <c r="C333" s="917">
        <v>43105</v>
      </c>
      <c r="D333" s="918">
        <v>1973.23</v>
      </c>
      <c r="F333" s="708"/>
      <c r="G333" s="708"/>
      <c r="H333" s="708"/>
      <c r="I333" s="708"/>
    </row>
    <row r="334" spans="1:9" customFormat="1">
      <c r="A334" s="915" t="s">
        <v>518</v>
      </c>
      <c r="B334" s="916" t="s">
        <v>166</v>
      </c>
      <c r="C334" s="917">
        <v>43105</v>
      </c>
      <c r="D334" s="918">
        <v>511.34</v>
      </c>
      <c r="F334" s="708"/>
      <c r="G334" s="708"/>
      <c r="H334" s="708"/>
      <c r="I334" s="708"/>
    </row>
    <row r="335" spans="1:9" customFormat="1">
      <c r="A335" s="915" t="s">
        <v>521</v>
      </c>
      <c r="B335" s="916" t="s">
        <v>208</v>
      </c>
      <c r="C335" s="917">
        <v>43105</v>
      </c>
      <c r="D335" s="918">
        <v>4500</v>
      </c>
      <c r="F335" s="708"/>
      <c r="G335" s="708"/>
      <c r="H335" s="708"/>
      <c r="I335" s="708"/>
    </row>
    <row r="336" spans="1:9" customFormat="1">
      <c r="A336" s="915" t="s">
        <v>875</v>
      </c>
      <c r="B336" s="916" t="s">
        <v>417</v>
      </c>
      <c r="C336" s="917">
        <v>43105</v>
      </c>
      <c r="D336" s="918">
        <v>717.1</v>
      </c>
      <c r="F336" s="708"/>
      <c r="G336" s="708"/>
      <c r="H336" s="708"/>
      <c r="I336" s="708"/>
    </row>
    <row r="337" spans="1:9" customFormat="1">
      <c r="A337" s="915" t="s">
        <v>410</v>
      </c>
      <c r="B337" s="916" t="s">
        <v>292</v>
      </c>
      <c r="C337" s="917">
        <v>43105</v>
      </c>
      <c r="D337" s="918">
        <v>1212.3699999999999</v>
      </c>
      <c r="F337" s="708"/>
      <c r="G337" s="708"/>
      <c r="H337" s="708"/>
      <c r="I337" s="708"/>
    </row>
    <row r="338" spans="1:9" customFormat="1">
      <c r="A338" s="915" t="s">
        <v>808</v>
      </c>
      <c r="B338" s="916" t="s">
        <v>809</v>
      </c>
      <c r="C338" s="917">
        <v>43105</v>
      </c>
      <c r="D338" s="918">
        <v>1235.47</v>
      </c>
      <c r="F338" s="708"/>
      <c r="G338" s="708"/>
      <c r="H338" s="708"/>
      <c r="I338" s="708"/>
    </row>
    <row r="339" spans="1:9" customFormat="1">
      <c r="A339" s="915" t="s">
        <v>485</v>
      </c>
      <c r="B339" s="916" t="s">
        <v>363</v>
      </c>
      <c r="C339" s="917">
        <v>43105</v>
      </c>
      <c r="D339" s="918">
        <v>2170.42</v>
      </c>
      <c r="F339" s="708"/>
      <c r="G339" s="708"/>
      <c r="H339" s="708"/>
      <c r="I339" s="708"/>
    </row>
    <row r="340" spans="1:9" customFormat="1">
      <c r="A340" s="915" t="s">
        <v>876</v>
      </c>
      <c r="B340" s="916" t="s">
        <v>168</v>
      </c>
      <c r="C340" s="917">
        <v>43105</v>
      </c>
      <c r="D340" s="918">
        <v>700.63</v>
      </c>
      <c r="F340" s="708"/>
      <c r="G340" s="708"/>
      <c r="H340" s="708"/>
      <c r="I340" s="708"/>
    </row>
    <row r="341" spans="1:9" customFormat="1">
      <c r="A341" s="915" t="s">
        <v>139</v>
      </c>
      <c r="B341" s="916" t="s">
        <v>138</v>
      </c>
      <c r="C341" s="917">
        <v>43105</v>
      </c>
      <c r="D341" s="918">
        <v>1186.6099999999999</v>
      </c>
      <c r="F341" s="708"/>
      <c r="G341" s="708"/>
      <c r="H341" s="708"/>
      <c r="I341" s="708"/>
    </row>
    <row r="342" spans="1:9" customFormat="1">
      <c r="A342" s="915" t="s">
        <v>444</v>
      </c>
      <c r="B342" s="916" t="s">
        <v>188</v>
      </c>
      <c r="C342" s="917">
        <v>43105</v>
      </c>
      <c r="D342" s="918">
        <v>7510.41</v>
      </c>
      <c r="F342" s="708"/>
      <c r="G342" s="708"/>
      <c r="H342" s="708"/>
      <c r="I342" s="708"/>
    </row>
    <row r="343" spans="1:9" customFormat="1">
      <c r="A343" s="915" t="s">
        <v>618</v>
      </c>
      <c r="B343" s="916" t="s">
        <v>619</v>
      </c>
      <c r="C343" s="917">
        <v>43105</v>
      </c>
      <c r="D343" s="918">
        <v>7464.8</v>
      </c>
      <c r="F343" s="708"/>
      <c r="G343" s="708"/>
      <c r="H343" s="708"/>
      <c r="I343" s="708"/>
    </row>
    <row r="344" spans="1:9" customFormat="1">
      <c r="A344" s="915" t="s">
        <v>477</v>
      </c>
      <c r="B344" s="916" t="s">
        <v>199</v>
      </c>
      <c r="C344" s="917">
        <v>43105</v>
      </c>
      <c r="D344" s="918">
        <v>2099.88</v>
      </c>
      <c r="F344" s="708"/>
      <c r="G344" s="708"/>
      <c r="H344" s="708"/>
      <c r="I344" s="708"/>
    </row>
    <row r="345" spans="1:9" customFormat="1">
      <c r="A345" s="915" t="s">
        <v>453</v>
      </c>
      <c r="B345" s="916" t="s">
        <v>218</v>
      </c>
      <c r="C345" s="917">
        <v>43105</v>
      </c>
      <c r="D345" s="918">
        <v>2524.77</v>
      </c>
      <c r="F345" s="708"/>
      <c r="G345" s="708"/>
      <c r="H345" s="708"/>
      <c r="I345" s="708"/>
    </row>
    <row r="346" spans="1:9" customFormat="1">
      <c r="A346" s="915" t="s">
        <v>240</v>
      </c>
      <c r="B346" s="916" t="s">
        <v>239</v>
      </c>
      <c r="C346" s="917">
        <v>43106</v>
      </c>
      <c r="D346" s="918">
        <v>621.11</v>
      </c>
      <c r="F346" s="708"/>
      <c r="G346" s="708"/>
      <c r="H346" s="708"/>
      <c r="I346" s="708"/>
    </row>
    <row r="347" spans="1:9" customFormat="1">
      <c r="A347" s="915" t="s">
        <v>508</v>
      </c>
      <c r="B347" s="916" t="s">
        <v>507</v>
      </c>
      <c r="C347" s="917">
        <v>43106</v>
      </c>
      <c r="D347" s="918">
        <v>1200</v>
      </c>
      <c r="F347" s="708"/>
      <c r="G347" s="708"/>
      <c r="H347" s="708"/>
      <c r="I347" s="708"/>
    </row>
    <row r="348" spans="1:9" customFormat="1">
      <c r="A348" s="915" t="s">
        <v>860</v>
      </c>
      <c r="B348" s="916" t="s">
        <v>598</v>
      </c>
      <c r="C348" s="917">
        <v>43106</v>
      </c>
      <c r="D348" s="918">
        <v>761.16</v>
      </c>
      <c r="F348" s="708"/>
      <c r="G348" s="708"/>
      <c r="H348" s="708"/>
      <c r="I348" s="708"/>
    </row>
    <row r="349" spans="1:9" customFormat="1">
      <c r="A349" s="915" t="s">
        <v>949</v>
      </c>
      <c r="B349" s="916" t="s">
        <v>213</v>
      </c>
      <c r="C349" s="917">
        <v>43106</v>
      </c>
      <c r="D349" s="918">
        <v>1317.79</v>
      </c>
      <c r="F349" s="708"/>
      <c r="G349" s="708"/>
      <c r="H349" s="708"/>
      <c r="I349" s="708"/>
    </row>
    <row r="350" spans="1:9" customFormat="1">
      <c r="A350" s="907" t="s">
        <v>710</v>
      </c>
      <c r="B350" s="908" t="s">
        <v>1334</v>
      </c>
      <c r="C350" s="909">
        <v>43107</v>
      </c>
      <c r="D350" s="910">
        <v>2000</v>
      </c>
      <c r="F350" s="708"/>
      <c r="G350" s="708"/>
      <c r="H350" s="708"/>
      <c r="I350" s="708"/>
    </row>
    <row r="351" spans="1:9" customFormat="1">
      <c r="A351" s="915" t="s">
        <v>474</v>
      </c>
      <c r="B351" s="916" t="s">
        <v>180</v>
      </c>
      <c r="C351" s="917">
        <v>43107</v>
      </c>
      <c r="D351" s="918">
        <v>1864.8</v>
      </c>
      <c r="F351" s="708"/>
      <c r="G351" s="708"/>
      <c r="H351" s="708"/>
      <c r="I351" s="708"/>
    </row>
    <row r="352" spans="1:9" customFormat="1">
      <c r="A352" s="915" t="s">
        <v>517</v>
      </c>
      <c r="B352" s="916" t="s">
        <v>192</v>
      </c>
      <c r="C352" s="917">
        <v>43107</v>
      </c>
      <c r="D352" s="918">
        <v>603</v>
      </c>
      <c r="F352" s="708"/>
      <c r="G352" s="708"/>
      <c r="H352" s="708"/>
      <c r="I352" s="708"/>
    </row>
    <row r="353" spans="1:9" customFormat="1">
      <c r="A353" s="915" t="s">
        <v>387</v>
      </c>
      <c r="B353" s="916" t="s">
        <v>154</v>
      </c>
      <c r="C353" s="917">
        <v>43107</v>
      </c>
      <c r="D353" s="918">
        <v>2000</v>
      </c>
      <c r="F353" s="708"/>
      <c r="G353" s="708"/>
      <c r="H353" s="708"/>
      <c r="I353" s="708"/>
    </row>
    <row r="354" spans="1:9" customFormat="1">
      <c r="A354" s="915" t="s">
        <v>217</v>
      </c>
      <c r="B354" s="916" t="s">
        <v>216</v>
      </c>
      <c r="C354" s="917">
        <v>43107</v>
      </c>
      <c r="D354" s="918">
        <v>2423.7399999999998</v>
      </c>
      <c r="F354" s="708"/>
      <c r="G354" s="708"/>
      <c r="H354" s="708"/>
      <c r="I354" s="708"/>
    </row>
    <row r="355" spans="1:9" customFormat="1">
      <c r="A355" s="915" t="s">
        <v>784</v>
      </c>
      <c r="B355" s="916" t="s">
        <v>183</v>
      </c>
      <c r="C355" s="917">
        <v>43107</v>
      </c>
      <c r="D355" s="918">
        <v>174.68</v>
      </c>
      <c r="F355" s="708"/>
      <c r="G355" s="708"/>
      <c r="H355" s="708"/>
      <c r="I355" s="708"/>
    </row>
    <row r="356" spans="1:9" customFormat="1">
      <c r="A356" s="915" t="s">
        <v>635</v>
      </c>
      <c r="B356" s="916" t="s">
        <v>189</v>
      </c>
      <c r="C356" s="917">
        <v>43107</v>
      </c>
      <c r="D356" s="918">
        <v>650</v>
      </c>
      <c r="F356" s="708"/>
      <c r="G356" s="708"/>
      <c r="H356" s="708"/>
      <c r="I356" s="708"/>
    </row>
    <row r="357" spans="1:9" customFormat="1">
      <c r="A357" s="915" t="s">
        <v>650</v>
      </c>
      <c r="B357" s="916" t="s">
        <v>204</v>
      </c>
      <c r="C357" s="917">
        <v>43107</v>
      </c>
      <c r="D357" s="918">
        <v>3005.02</v>
      </c>
      <c r="F357" s="708"/>
      <c r="G357" s="708"/>
      <c r="H357" s="708"/>
      <c r="I357" s="708"/>
    </row>
    <row r="358" spans="1:9" customFormat="1">
      <c r="A358" s="907" t="s">
        <v>1256</v>
      </c>
      <c r="B358" s="908" t="s">
        <v>1255</v>
      </c>
      <c r="C358" s="909">
        <v>43108</v>
      </c>
      <c r="D358" s="910">
        <v>2300</v>
      </c>
      <c r="F358" s="708"/>
      <c r="G358" s="708"/>
      <c r="H358" s="708"/>
      <c r="I358" s="708"/>
    </row>
    <row r="359" spans="1:9" customFormat="1">
      <c r="A359" s="915" t="s">
        <v>375</v>
      </c>
      <c r="B359" s="916" t="s">
        <v>376</v>
      </c>
      <c r="C359" s="917">
        <v>43108</v>
      </c>
      <c r="D359" s="918">
        <v>1744.77</v>
      </c>
      <c r="F359" s="708"/>
      <c r="G359" s="708"/>
      <c r="H359" s="708"/>
      <c r="I359" s="708"/>
    </row>
    <row r="360" spans="1:9" customFormat="1">
      <c r="A360" s="915" t="s">
        <v>270</v>
      </c>
      <c r="B360" s="916" t="s">
        <v>460</v>
      </c>
      <c r="C360" s="917">
        <v>43108</v>
      </c>
      <c r="D360" s="918">
        <v>1500</v>
      </c>
      <c r="F360" s="708"/>
      <c r="G360" s="708"/>
      <c r="H360" s="708"/>
      <c r="I360" s="708"/>
    </row>
    <row r="361" spans="1:9" customFormat="1">
      <c r="A361" s="915" t="s">
        <v>147</v>
      </c>
      <c r="B361" s="916" t="s">
        <v>146</v>
      </c>
      <c r="C361" s="917">
        <v>43108</v>
      </c>
      <c r="D361" s="918">
        <v>1250</v>
      </c>
      <c r="F361" s="708"/>
      <c r="G361" s="708"/>
      <c r="H361" s="708"/>
      <c r="I361" s="708"/>
    </row>
    <row r="362" spans="1:9" customFormat="1">
      <c r="A362" s="915" t="s">
        <v>256</v>
      </c>
      <c r="B362" s="916" t="s">
        <v>255</v>
      </c>
      <c r="C362" s="917">
        <v>43108</v>
      </c>
      <c r="D362" s="918">
        <v>1260</v>
      </c>
      <c r="F362" s="708"/>
      <c r="G362" s="708"/>
      <c r="H362" s="708"/>
      <c r="I362" s="708"/>
    </row>
    <row r="363" spans="1:9" customFormat="1">
      <c r="A363" s="915" t="s">
        <v>736</v>
      </c>
      <c r="B363" s="916" t="s">
        <v>213</v>
      </c>
      <c r="C363" s="917">
        <v>43108</v>
      </c>
      <c r="D363" s="918">
        <v>1285.54</v>
      </c>
      <c r="F363" s="708"/>
      <c r="G363" s="708"/>
      <c r="H363" s="708"/>
      <c r="I363" s="708"/>
    </row>
    <row r="364" spans="1:9" customFormat="1">
      <c r="A364" s="915" t="s">
        <v>735</v>
      </c>
      <c r="B364" s="916" t="s">
        <v>622</v>
      </c>
      <c r="C364" s="917">
        <v>43109</v>
      </c>
      <c r="D364" s="918">
        <v>903.94</v>
      </c>
      <c r="F364" s="708"/>
      <c r="G364" s="708"/>
      <c r="H364" s="708"/>
      <c r="I364" s="708"/>
    </row>
    <row r="365" spans="1:9" customFormat="1">
      <c r="A365" s="907" t="s">
        <v>907</v>
      </c>
      <c r="B365" s="908" t="s">
        <v>906</v>
      </c>
      <c r="C365" s="909">
        <v>43110</v>
      </c>
      <c r="D365" s="910">
        <v>1100</v>
      </c>
      <c r="F365" s="708"/>
      <c r="G365" s="708"/>
      <c r="H365" s="708"/>
      <c r="I365" s="708"/>
    </row>
    <row r="366" spans="1:9" customFormat="1">
      <c r="A366" s="907" t="s">
        <v>776</v>
      </c>
      <c r="B366" s="908" t="s">
        <v>1191</v>
      </c>
      <c r="C366" s="909">
        <v>43110</v>
      </c>
      <c r="D366" s="910">
        <v>1527.8009999999999</v>
      </c>
      <c r="F366" s="708"/>
      <c r="G366" s="708"/>
      <c r="H366" s="708"/>
      <c r="I366" s="708"/>
    </row>
    <row r="367" spans="1:9" customFormat="1">
      <c r="A367" s="907" t="s">
        <v>273</v>
      </c>
      <c r="B367" s="908" t="s">
        <v>272</v>
      </c>
      <c r="C367" s="909">
        <v>43110</v>
      </c>
      <c r="D367" s="910">
        <v>713.72400000000005</v>
      </c>
      <c r="F367" s="708"/>
      <c r="G367" s="708"/>
      <c r="H367" s="708"/>
      <c r="I367" s="708"/>
    </row>
    <row r="368" spans="1:9" customFormat="1">
      <c r="A368" s="915" t="s">
        <v>797</v>
      </c>
      <c r="B368" s="916" t="s">
        <v>266</v>
      </c>
      <c r="C368" s="917">
        <v>43110</v>
      </c>
      <c r="D368" s="918">
        <v>650</v>
      </c>
      <c r="F368" s="708"/>
      <c r="G368" s="708"/>
      <c r="H368" s="708"/>
      <c r="I368" s="708"/>
    </row>
    <row r="369" spans="1:9" customFormat="1">
      <c r="A369" s="915" t="s">
        <v>719</v>
      </c>
      <c r="B369" s="916" t="s">
        <v>774</v>
      </c>
      <c r="C369" s="917">
        <v>43110</v>
      </c>
      <c r="D369" s="918">
        <v>2560</v>
      </c>
      <c r="F369" s="708"/>
      <c r="G369" s="708"/>
      <c r="H369" s="708"/>
      <c r="I369" s="708"/>
    </row>
    <row r="370" spans="1:9" customFormat="1">
      <c r="A370" s="915" t="s">
        <v>719</v>
      </c>
      <c r="B370" s="916" t="s">
        <v>774</v>
      </c>
      <c r="C370" s="917">
        <v>43110</v>
      </c>
      <c r="D370" s="918">
        <v>3804.89</v>
      </c>
      <c r="F370" s="708"/>
      <c r="G370" s="708"/>
      <c r="H370" s="708"/>
      <c r="I370" s="708"/>
    </row>
    <row r="371" spans="1:9" customFormat="1">
      <c r="A371" s="915" t="s">
        <v>559</v>
      </c>
      <c r="B371" s="916" t="s">
        <v>558</v>
      </c>
      <c r="C371" s="917">
        <v>43110</v>
      </c>
      <c r="D371" s="918">
        <v>4000</v>
      </c>
      <c r="F371" s="708"/>
      <c r="G371" s="708"/>
      <c r="H371" s="708"/>
      <c r="I371" s="708"/>
    </row>
    <row r="372" spans="1:9" customFormat="1">
      <c r="A372" s="915" t="s">
        <v>321</v>
      </c>
      <c r="B372" s="916" t="s">
        <v>322</v>
      </c>
      <c r="C372" s="917">
        <v>43110</v>
      </c>
      <c r="D372" s="918">
        <v>5934.25</v>
      </c>
      <c r="F372" s="708"/>
      <c r="G372" s="708"/>
      <c r="H372" s="708"/>
      <c r="I372" s="708"/>
    </row>
    <row r="373" spans="1:9" customFormat="1">
      <c r="A373" s="915" t="s">
        <v>564</v>
      </c>
      <c r="B373" s="916" t="s">
        <v>615</v>
      </c>
      <c r="C373" s="917">
        <v>43110</v>
      </c>
      <c r="D373" s="918">
        <v>2052.29</v>
      </c>
      <c r="F373" s="708"/>
      <c r="G373" s="708"/>
      <c r="H373" s="708"/>
      <c r="I373" s="708"/>
    </row>
    <row r="374" spans="1:9" customFormat="1">
      <c r="A374" s="915" t="s">
        <v>896</v>
      </c>
      <c r="B374" s="916" t="s">
        <v>895</v>
      </c>
      <c r="C374" s="917">
        <v>43110</v>
      </c>
      <c r="D374" s="918">
        <v>2923.94</v>
      </c>
      <c r="F374" s="708"/>
      <c r="G374" s="708"/>
      <c r="H374" s="708"/>
      <c r="I374" s="708"/>
    </row>
    <row r="375" spans="1:9" customFormat="1">
      <c r="A375" s="915" t="s">
        <v>317</v>
      </c>
      <c r="B375" s="916" t="s">
        <v>318</v>
      </c>
      <c r="C375" s="917">
        <v>43110</v>
      </c>
      <c r="D375" s="918">
        <v>1624.89</v>
      </c>
      <c r="F375" s="708"/>
      <c r="G375" s="708"/>
      <c r="H375" s="708"/>
      <c r="I375" s="708"/>
    </row>
    <row r="376" spans="1:9" customFormat="1">
      <c r="A376" s="915" t="s">
        <v>737</v>
      </c>
      <c r="B376" s="916" t="s">
        <v>389</v>
      </c>
      <c r="C376" s="917">
        <v>43110</v>
      </c>
      <c r="D376" s="918">
        <v>297.57</v>
      </c>
      <c r="F376" s="708"/>
      <c r="G376" s="708"/>
      <c r="H376" s="708"/>
      <c r="I376" s="708"/>
    </row>
    <row r="377" spans="1:9" customFormat="1">
      <c r="A377" s="915" t="s">
        <v>620</v>
      </c>
      <c r="B377" s="916" t="s">
        <v>365</v>
      </c>
      <c r="C377" s="917">
        <v>43110</v>
      </c>
      <c r="D377" s="918">
        <v>1300</v>
      </c>
      <c r="F377" s="708"/>
      <c r="G377" s="708"/>
      <c r="H377" s="708"/>
      <c r="I377" s="708"/>
    </row>
    <row r="378" spans="1:9" customFormat="1">
      <c r="A378" s="915" t="s">
        <v>531</v>
      </c>
      <c r="B378" s="916" t="s">
        <v>530</v>
      </c>
      <c r="C378" s="917">
        <v>43110</v>
      </c>
      <c r="D378" s="918">
        <v>2164</v>
      </c>
      <c r="F378" s="708"/>
      <c r="G378" s="708"/>
      <c r="H378" s="708"/>
      <c r="I378" s="708"/>
    </row>
    <row r="379" spans="1:9" customFormat="1">
      <c r="A379" s="915" t="s">
        <v>1068</v>
      </c>
      <c r="B379" s="916" t="s">
        <v>1170</v>
      </c>
      <c r="C379" s="917">
        <v>43110</v>
      </c>
      <c r="D379" s="918">
        <v>720.93</v>
      </c>
      <c r="F379" s="708"/>
      <c r="G379" s="708"/>
      <c r="H379" s="708"/>
      <c r="I379" s="708"/>
    </row>
    <row r="380" spans="1:9" customFormat="1">
      <c r="A380" s="915" t="s">
        <v>723</v>
      </c>
      <c r="B380" s="916" t="s">
        <v>238</v>
      </c>
      <c r="C380" s="917">
        <v>43110</v>
      </c>
      <c r="D380" s="918">
        <v>853.53</v>
      </c>
      <c r="F380" s="708"/>
      <c r="G380" s="708"/>
      <c r="H380" s="708"/>
      <c r="I380" s="708"/>
    </row>
    <row r="381" spans="1:9" customFormat="1">
      <c r="A381" s="915" t="s">
        <v>313</v>
      </c>
      <c r="B381" s="916" t="s">
        <v>314</v>
      </c>
      <c r="C381" s="917">
        <v>43110</v>
      </c>
      <c r="D381" s="918">
        <v>2440</v>
      </c>
      <c r="F381" s="708"/>
      <c r="G381" s="708"/>
      <c r="H381" s="708"/>
      <c r="I381" s="708"/>
    </row>
    <row r="382" spans="1:9" customFormat="1">
      <c r="A382" s="915" t="s">
        <v>165</v>
      </c>
      <c r="B382" s="916" t="s">
        <v>164</v>
      </c>
      <c r="C382" s="917">
        <v>43110</v>
      </c>
      <c r="D382" s="918">
        <v>7049.32</v>
      </c>
      <c r="F382" s="708"/>
      <c r="G382" s="708"/>
      <c r="H382" s="708"/>
      <c r="I382" s="708"/>
    </row>
    <row r="383" spans="1:9" customFormat="1">
      <c r="A383" s="915" t="s">
        <v>198</v>
      </c>
      <c r="B383" s="916" t="s">
        <v>197</v>
      </c>
      <c r="C383" s="917">
        <v>43110</v>
      </c>
      <c r="D383" s="918">
        <v>600</v>
      </c>
      <c r="F383" s="708"/>
      <c r="G383" s="708"/>
      <c r="H383" s="708"/>
      <c r="I383" s="708"/>
    </row>
    <row r="384" spans="1:9" customFormat="1">
      <c r="A384" s="915" t="s">
        <v>262</v>
      </c>
      <c r="B384" s="916" t="s">
        <v>261</v>
      </c>
      <c r="C384" s="917">
        <v>43110</v>
      </c>
      <c r="D384" s="918">
        <v>3200.31</v>
      </c>
      <c r="F384" s="708"/>
      <c r="G384" s="708"/>
      <c r="H384" s="708"/>
      <c r="I384" s="708"/>
    </row>
    <row r="385" spans="1:9" customFormat="1">
      <c r="A385" s="915" t="s">
        <v>609</v>
      </c>
      <c r="B385" s="916" t="s">
        <v>610</v>
      </c>
      <c r="C385" s="917">
        <v>43110</v>
      </c>
      <c r="D385" s="918">
        <v>2503.58</v>
      </c>
      <c r="F385" s="708"/>
      <c r="G385" s="708"/>
      <c r="H385" s="708"/>
      <c r="I385" s="708"/>
    </row>
    <row r="386" spans="1:9" s="717" customFormat="1">
      <c r="A386" s="915" t="s">
        <v>159</v>
      </c>
      <c r="B386" s="916" t="s">
        <v>158</v>
      </c>
      <c r="C386" s="917">
        <v>43110</v>
      </c>
      <c r="D386" s="918">
        <v>1000</v>
      </c>
    </row>
    <row r="387" spans="1:9" customFormat="1">
      <c r="A387" s="915" t="s">
        <v>196</v>
      </c>
      <c r="B387" s="916" t="s">
        <v>195</v>
      </c>
      <c r="C387" s="917">
        <v>43110</v>
      </c>
      <c r="D387" s="918">
        <v>1566.67</v>
      </c>
      <c r="F387" s="708"/>
      <c r="G387" s="708"/>
      <c r="H387" s="708"/>
      <c r="I387" s="708"/>
    </row>
    <row r="388" spans="1:9" customFormat="1">
      <c r="A388" s="915" t="s">
        <v>1066</v>
      </c>
      <c r="B388" s="916" t="s">
        <v>1168</v>
      </c>
      <c r="C388" s="917">
        <v>43110</v>
      </c>
      <c r="D388" s="918">
        <v>1578.7</v>
      </c>
      <c r="F388" s="708"/>
      <c r="G388" s="708"/>
      <c r="H388" s="708"/>
      <c r="I388" s="708"/>
    </row>
    <row r="389" spans="1:9" customFormat="1">
      <c r="A389" s="915" t="s">
        <v>1041</v>
      </c>
      <c r="B389" s="916" t="s">
        <v>1040</v>
      </c>
      <c r="C389" s="917">
        <v>43110</v>
      </c>
      <c r="D389" s="918">
        <v>1202.1500000000001</v>
      </c>
      <c r="F389" s="708"/>
      <c r="G389" s="708"/>
      <c r="H389" s="708"/>
      <c r="I389" s="708"/>
    </row>
    <row r="390" spans="1:9" customFormat="1">
      <c r="A390" s="915" t="s">
        <v>1161</v>
      </c>
      <c r="B390" s="916" t="s">
        <v>598</v>
      </c>
      <c r="C390" s="917">
        <v>43110</v>
      </c>
      <c r="D390" s="918">
        <v>735.31</v>
      </c>
      <c r="F390" s="708"/>
      <c r="G390" s="708"/>
      <c r="H390" s="708"/>
      <c r="I390" s="708"/>
    </row>
    <row r="391" spans="1:9" customFormat="1">
      <c r="A391" s="915" t="s">
        <v>307</v>
      </c>
      <c r="B391" s="916" t="s">
        <v>308</v>
      </c>
      <c r="C391" s="917">
        <v>43110</v>
      </c>
      <c r="D391" s="918">
        <v>750</v>
      </c>
      <c r="F391" s="708"/>
      <c r="G391" s="708"/>
      <c r="H391" s="708"/>
      <c r="I391" s="708"/>
    </row>
    <row r="392" spans="1:9" customFormat="1">
      <c r="A392" s="915" t="s">
        <v>373</v>
      </c>
      <c r="B392" s="916" t="s">
        <v>280</v>
      </c>
      <c r="C392" s="917">
        <v>43110</v>
      </c>
      <c r="D392" s="918">
        <v>1715.91</v>
      </c>
      <c r="F392" s="708"/>
      <c r="G392" s="708"/>
      <c r="H392" s="708"/>
      <c r="I392" s="708"/>
    </row>
    <row r="393" spans="1:9" customFormat="1">
      <c r="A393" s="915" t="s">
        <v>506</v>
      </c>
      <c r="B393" s="916" t="s">
        <v>141</v>
      </c>
      <c r="C393" s="917">
        <v>43110</v>
      </c>
      <c r="D393" s="918">
        <v>573</v>
      </c>
      <c r="F393" s="708"/>
      <c r="G393" s="708"/>
      <c r="H393" s="708"/>
      <c r="I393" s="708"/>
    </row>
    <row r="394" spans="1:9" customFormat="1">
      <c r="A394" s="915" t="s">
        <v>478</v>
      </c>
      <c r="B394" s="916" t="s">
        <v>479</v>
      </c>
      <c r="C394" s="917">
        <v>43110</v>
      </c>
      <c r="D394" s="918">
        <v>2554.91</v>
      </c>
      <c r="F394" s="708"/>
      <c r="G394" s="708"/>
      <c r="H394" s="708"/>
      <c r="I394" s="708"/>
    </row>
    <row r="395" spans="1:9" customFormat="1">
      <c r="A395" s="915" t="s">
        <v>604</v>
      </c>
      <c r="B395" s="916" t="s">
        <v>291</v>
      </c>
      <c r="C395" s="917">
        <v>43110</v>
      </c>
      <c r="D395" s="918">
        <v>3571.5</v>
      </c>
      <c r="F395" s="708"/>
      <c r="G395" s="708"/>
      <c r="H395" s="708"/>
      <c r="I395" s="708"/>
    </row>
    <row r="396" spans="1:9" customFormat="1">
      <c r="A396" s="915" t="s">
        <v>379</v>
      </c>
      <c r="B396" s="916" t="s">
        <v>291</v>
      </c>
      <c r="C396" s="917">
        <v>43110</v>
      </c>
      <c r="D396" s="918">
        <v>3614.27</v>
      </c>
      <c r="F396" s="708"/>
      <c r="G396" s="708"/>
      <c r="H396" s="708"/>
      <c r="I396" s="708"/>
    </row>
    <row r="397" spans="1:9" customFormat="1">
      <c r="A397" s="915" t="s">
        <v>626</v>
      </c>
      <c r="B397" s="916" t="s">
        <v>627</v>
      </c>
      <c r="C397" s="917">
        <v>43110</v>
      </c>
      <c r="D397" s="918">
        <v>1343.72</v>
      </c>
      <c r="F397" s="708"/>
      <c r="G397" s="708"/>
      <c r="H397" s="708"/>
      <c r="I397" s="708"/>
    </row>
    <row r="398" spans="1:9" customFormat="1">
      <c r="A398" s="915" t="s">
        <v>414</v>
      </c>
      <c r="B398" s="916" t="s">
        <v>378</v>
      </c>
      <c r="C398" s="917">
        <v>43110</v>
      </c>
      <c r="D398" s="918">
        <v>2839.41</v>
      </c>
      <c r="F398" s="708"/>
      <c r="G398" s="708"/>
      <c r="H398" s="708"/>
      <c r="I398" s="708"/>
    </row>
    <row r="399" spans="1:9" customFormat="1">
      <c r="A399" s="915" t="s">
        <v>440</v>
      </c>
      <c r="B399" s="916" t="s">
        <v>763</v>
      </c>
      <c r="C399" s="917">
        <v>43110</v>
      </c>
      <c r="D399" s="918">
        <v>1192.57</v>
      </c>
      <c r="F399" s="708"/>
      <c r="G399" s="708"/>
      <c r="H399" s="708"/>
      <c r="I399" s="708"/>
    </row>
    <row r="400" spans="1:9" customFormat="1">
      <c r="A400" s="915" t="s">
        <v>605</v>
      </c>
      <c r="B400" s="916" t="s">
        <v>606</v>
      </c>
      <c r="C400" s="917">
        <v>43110</v>
      </c>
      <c r="D400" s="918">
        <v>1237.81</v>
      </c>
      <c r="F400" s="708"/>
      <c r="G400" s="708"/>
      <c r="H400" s="708"/>
      <c r="I400" s="708"/>
    </row>
    <row r="401" spans="1:9" customFormat="1">
      <c r="A401" s="915" t="s">
        <v>256</v>
      </c>
      <c r="B401" s="916" t="s">
        <v>255</v>
      </c>
      <c r="C401" s="917">
        <v>43111</v>
      </c>
      <c r="D401" s="918">
        <v>1264.5</v>
      </c>
      <c r="F401" s="708"/>
      <c r="G401" s="708"/>
      <c r="H401" s="708"/>
      <c r="I401" s="708"/>
    </row>
    <row r="402" spans="1:9" customFormat="1">
      <c r="A402" s="915" t="s">
        <v>1037</v>
      </c>
      <c r="B402" s="916" t="s">
        <v>1156</v>
      </c>
      <c r="C402" s="917">
        <v>43111</v>
      </c>
      <c r="D402" s="918">
        <v>429.04</v>
      </c>
      <c r="F402" s="708"/>
      <c r="G402" s="708"/>
      <c r="H402" s="708"/>
      <c r="I402" s="708"/>
    </row>
    <row r="403" spans="1:9" customFormat="1">
      <c r="A403" s="915" t="s">
        <v>938</v>
      </c>
      <c r="B403" s="916" t="s">
        <v>1010</v>
      </c>
      <c r="C403" s="917">
        <v>43112</v>
      </c>
      <c r="D403" s="918">
        <v>671.08</v>
      </c>
      <c r="F403" s="708"/>
      <c r="G403" s="708"/>
      <c r="H403" s="708"/>
      <c r="I403" s="708"/>
    </row>
    <row r="404" spans="1:9" customFormat="1">
      <c r="A404" s="915" t="s">
        <v>798</v>
      </c>
      <c r="B404" s="916" t="s">
        <v>271</v>
      </c>
      <c r="C404" s="917">
        <v>43112</v>
      </c>
      <c r="D404" s="918">
        <v>4794.17</v>
      </c>
      <c r="F404" s="708"/>
      <c r="G404" s="708"/>
      <c r="H404" s="708"/>
      <c r="I404" s="708"/>
    </row>
    <row r="405" spans="1:9" customFormat="1">
      <c r="A405" s="915" t="s">
        <v>536</v>
      </c>
      <c r="B405" s="916" t="s">
        <v>194</v>
      </c>
      <c r="C405" s="917">
        <v>43112</v>
      </c>
      <c r="D405" s="918">
        <v>806.58</v>
      </c>
      <c r="F405" s="708"/>
      <c r="G405" s="708"/>
      <c r="H405" s="708"/>
      <c r="I405" s="708"/>
    </row>
    <row r="406" spans="1:9" customFormat="1">
      <c r="A406" s="915" t="s">
        <v>402</v>
      </c>
      <c r="B406" s="916" t="s">
        <v>192</v>
      </c>
      <c r="C406" s="917">
        <v>43112</v>
      </c>
      <c r="D406" s="918">
        <v>920</v>
      </c>
      <c r="F406" s="708"/>
      <c r="G406" s="708"/>
      <c r="H406" s="708"/>
      <c r="I406" s="708"/>
    </row>
    <row r="407" spans="1:9" customFormat="1">
      <c r="A407" s="915" t="s">
        <v>298</v>
      </c>
      <c r="B407" s="916" t="s">
        <v>299</v>
      </c>
      <c r="C407" s="917">
        <v>43112</v>
      </c>
      <c r="D407" s="918">
        <v>3737</v>
      </c>
      <c r="F407" s="708"/>
      <c r="G407" s="708"/>
      <c r="H407" s="708"/>
      <c r="I407" s="708"/>
    </row>
    <row r="408" spans="1:9" customFormat="1">
      <c r="A408" s="915" t="s">
        <v>161</v>
      </c>
      <c r="B408" s="916" t="s">
        <v>160</v>
      </c>
      <c r="C408" s="917">
        <v>43112</v>
      </c>
      <c r="D408" s="918">
        <v>3334.95</v>
      </c>
      <c r="F408" s="708"/>
      <c r="G408" s="708"/>
      <c r="H408" s="708"/>
      <c r="I408" s="708"/>
    </row>
    <row r="409" spans="1:9" customFormat="1">
      <c r="A409" s="915" t="s">
        <v>800</v>
      </c>
      <c r="B409" s="916" t="s">
        <v>739</v>
      </c>
      <c r="C409" s="917">
        <v>43112</v>
      </c>
      <c r="D409" s="918">
        <v>1200</v>
      </c>
      <c r="F409" s="708"/>
      <c r="G409" s="708"/>
      <c r="H409" s="708"/>
      <c r="I409" s="708"/>
    </row>
    <row r="410" spans="1:9" customFormat="1">
      <c r="A410" s="915" t="s">
        <v>368</v>
      </c>
      <c r="B410" s="916" t="s">
        <v>230</v>
      </c>
      <c r="C410" s="917">
        <v>43112</v>
      </c>
      <c r="D410" s="918">
        <v>1150.9000000000001</v>
      </c>
      <c r="F410" s="708"/>
      <c r="G410" s="708"/>
      <c r="H410" s="708"/>
      <c r="I410" s="708"/>
    </row>
    <row r="411" spans="1:9" customFormat="1">
      <c r="A411" s="915" t="s">
        <v>139</v>
      </c>
      <c r="B411" s="916" t="s">
        <v>138</v>
      </c>
      <c r="C411" s="917">
        <v>43112</v>
      </c>
      <c r="D411" s="918">
        <v>1180</v>
      </c>
      <c r="F411" s="708"/>
      <c r="G411" s="708"/>
      <c r="H411" s="708"/>
      <c r="I411" s="708"/>
    </row>
    <row r="412" spans="1:9" customFormat="1">
      <c r="A412" s="915" t="s">
        <v>621</v>
      </c>
      <c r="B412" s="916" t="s">
        <v>260</v>
      </c>
      <c r="C412" s="917">
        <v>43112</v>
      </c>
      <c r="D412" s="918">
        <v>316.81</v>
      </c>
      <c r="F412" s="708"/>
      <c r="G412" s="708"/>
      <c r="H412" s="708"/>
      <c r="I412" s="708"/>
    </row>
    <row r="413" spans="1:9" customFormat="1">
      <c r="A413" s="915" t="s">
        <v>1140</v>
      </c>
      <c r="B413" s="916" t="s">
        <v>1139</v>
      </c>
      <c r="C413" s="917">
        <v>43112</v>
      </c>
      <c r="D413" s="918">
        <v>409.04</v>
      </c>
      <c r="F413" s="708"/>
      <c r="G413" s="708"/>
      <c r="H413" s="708"/>
      <c r="I413" s="708"/>
    </row>
    <row r="414" spans="1:9" customFormat="1">
      <c r="A414" s="907" t="s">
        <v>475</v>
      </c>
      <c r="B414" s="908" t="s">
        <v>476</v>
      </c>
      <c r="C414" s="909">
        <v>43113</v>
      </c>
      <c r="D414" s="910">
        <v>850</v>
      </c>
      <c r="F414" s="708"/>
      <c r="G414" s="708"/>
      <c r="H414" s="708"/>
      <c r="I414" s="708"/>
    </row>
    <row r="415" spans="1:9" customFormat="1">
      <c r="A415" s="915" t="s">
        <v>900</v>
      </c>
      <c r="B415" s="916" t="s">
        <v>448</v>
      </c>
      <c r="C415" s="917">
        <v>43113</v>
      </c>
      <c r="D415" s="918">
        <v>595</v>
      </c>
      <c r="F415" s="708"/>
      <c r="G415" s="708"/>
      <c r="H415" s="708"/>
      <c r="I415" s="708"/>
    </row>
    <row r="416" spans="1:9" customFormat="1">
      <c r="A416" s="915" t="s">
        <v>400</v>
      </c>
      <c r="B416" s="916" t="s">
        <v>401</v>
      </c>
      <c r="C416" s="917">
        <v>43113</v>
      </c>
      <c r="D416" s="918">
        <v>2500</v>
      </c>
      <c r="F416" s="708"/>
      <c r="G416" s="708"/>
      <c r="H416" s="708"/>
      <c r="I416" s="708"/>
    </row>
    <row r="417" spans="1:9" customFormat="1">
      <c r="A417" s="915" t="s">
        <v>240</v>
      </c>
      <c r="B417" s="916" t="s">
        <v>239</v>
      </c>
      <c r="C417" s="917">
        <v>43113</v>
      </c>
      <c r="D417" s="918">
        <v>621.11</v>
      </c>
      <c r="F417" s="708"/>
      <c r="G417" s="708"/>
      <c r="H417" s="708"/>
      <c r="I417" s="708"/>
    </row>
    <row r="418" spans="1:9" customFormat="1">
      <c r="A418" s="915" t="s">
        <v>212</v>
      </c>
      <c r="B418" s="916" t="s">
        <v>211</v>
      </c>
      <c r="C418" s="917">
        <v>43113</v>
      </c>
      <c r="D418" s="918">
        <v>2543.0300000000002</v>
      </c>
      <c r="F418" s="708"/>
      <c r="G418" s="708"/>
      <c r="H418" s="708"/>
      <c r="I418" s="708"/>
    </row>
    <row r="419" spans="1:9" customFormat="1">
      <c r="A419" s="915" t="s">
        <v>799</v>
      </c>
      <c r="B419" s="916" t="s">
        <v>292</v>
      </c>
      <c r="C419" s="917">
        <v>43113</v>
      </c>
      <c r="D419" s="918">
        <v>1242.45</v>
      </c>
      <c r="F419" s="708"/>
      <c r="G419" s="708"/>
      <c r="H419" s="708"/>
      <c r="I419" s="708"/>
    </row>
    <row r="420" spans="1:9" customFormat="1">
      <c r="A420" s="915" t="s">
        <v>441</v>
      </c>
      <c r="B420" s="916" t="s">
        <v>416</v>
      </c>
      <c r="C420" s="917">
        <v>43113</v>
      </c>
      <c r="D420" s="918">
        <v>765.86</v>
      </c>
      <c r="F420" s="708"/>
      <c r="G420" s="708"/>
      <c r="H420" s="708"/>
      <c r="I420" s="708"/>
    </row>
    <row r="421" spans="1:9" customFormat="1">
      <c r="A421" s="907" t="s">
        <v>866</v>
      </c>
      <c r="B421" s="908" t="s">
        <v>1281</v>
      </c>
      <c r="C421" s="909">
        <v>43115</v>
      </c>
      <c r="D421" s="910">
        <v>1999</v>
      </c>
      <c r="F421" s="708"/>
      <c r="G421" s="708"/>
      <c r="H421" s="708"/>
      <c r="I421" s="708"/>
    </row>
    <row r="422" spans="1:9" customFormat="1">
      <c r="A422" s="907" t="s">
        <v>1247</v>
      </c>
      <c r="B422" s="908" t="s">
        <v>1246</v>
      </c>
      <c r="C422" s="909">
        <v>43115</v>
      </c>
      <c r="D422" s="910">
        <v>135</v>
      </c>
      <c r="F422" s="708"/>
      <c r="G422" s="708"/>
      <c r="H422" s="708"/>
      <c r="I422" s="708"/>
    </row>
    <row r="423" spans="1:9" customFormat="1">
      <c r="A423" s="907" t="s">
        <v>1250</v>
      </c>
      <c r="B423" s="908" t="s">
        <v>1249</v>
      </c>
      <c r="C423" s="909">
        <v>43115</v>
      </c>
      <c r="D423" s="910">
        <v>500</v>
      </c>
      <c r="F423" s="708"/>
      <c r="G423" s="708"/>
      <c r="H423" s="708"/>
      <c r="I423" s="708"/>
    </row>
    <row r="424" spans="1:9" customFormat="1">
      <c r="A424" s="907" t="s">
        <v>1252</v>
      </c>
      <c r="B424" s="908" t="s">
        <v>1251</v>
      </c>
      <c r="C424" s="909">
        <v>43115</v>
      </c>
      <c r="D424" s="910">
        <v>3902.6350000000002</v>
      </c>
      <c r="F424" s="708"/>
      <c r="G424" s="708"/>
      <c r="H424" s="708"/>
      <c r="I424" s="708"/>
    </row>
    <row r="425" spans="1:9" customFormat="1">
      <c r="A425" s="907" t="s">
        <v>546</v>
      </c>
      <c r="B425" s="908" t="s">
        <v>545</v>
      </c>
      <c r="C425" s="909">
        <v>43115</v>
      </c>
      <c r="D425" s="910">
        <v>1042.902</v>
      </c>
      <c r="F425" s="708"/>
      <c r="G425" s="708"/>
      <c r="H425" s="708"/>
      <c r="I425" s="708"/>
    </row>
    <row r="426" spans="1:9" customFormat="1">
      <c r="A426" s="907" t="s">
        <v>273</v>
      </c>
      <c r="B426" s="908" t="s">
        <v>272</v>
      </c>
      <c r="C426" s="909">
        <v>43115</v>
      </c>
      <c r="D426" s="910">
        <v>700</v>
      </c>
      <c r="F426" s="708"/>
      <c r="G426" s="708"/>
      <c r="H426" s="708"/>
      <c r="I426" s="708"/>
    </row>
    <row r="427" spans="1:9" customFormat="1">
      <c r="A427" s="915" t="s">
        <v>163</v>
      </c>
      <c r="B427" s="916" t="s">
        <v>162</v>
      </c>
      <c r="C427" s="917">
        <v>43115</v>
      </c>
      <c r="D427" s="918">
        <v>1374.23</v>
      </c>
      <c r="F427" s="708"/>
      <c r="G427" s="708"/>
      <c r="H427" s="708"/>
      <c r="I427" s="708"/>
    </row>
    <row r="428" spans="1:9" customFormat="1">
      <c r="A428" s="915" t="s">
        <v>789</v>
      </c>
      <c r="B428" s="916" t="s">
        <v>190</v>
      </c>
      <c r="C428" s="917">
        <v>43115</v>
      </c>
      <c r="D428" s="918">
        <v>5000</v>
      </c>
      <c r="F428" s="708"/>
      <c r="G428" s="708"/>
      <c r="H428" s="708"/>
      <c r="I428" s="708"/>
    </row>
    <row r="429" spans="1:9" customFormat="1">
      <c r="A429" s="915" t="s">
        <v>742</v>
      </c>
      <c r="B429" s="916" t="s">
        <v>265</v>
      </c>
      <c r="C429" s="917">
        <v>43115</v>
      </c>
      <c r="D429" s="918">
        <v>4964.33</v>
      </c>
      <c r="F429" s="708"/>
      <c r="G429" s="708"/>
      <c r="H429" s="708"/>
      <c r="I429" s="708"/>
    </row>
    <row r="430" spans="1:9" customFormat="1">
      <c r="A430" s="915" t="s">
        <v>644</v>
      </c>
      <c r="B430" s="916" t="s">
        <v>253</v>
      </c>
      <c r="C430" s="917">
        <v>43115</v>
      </c>
      <c r="D430" s="918">
        <v>500</v>
      </c>
      <c r="F430" s="708"/>
      <c r="G430" s="708"/>
      <c r="H430" s="708"/>
      <c r="I430" s="708"/>
    </row>
    <row r="431" spans="1:9" customFormat="1">
      <c r="A431" s="915" t="s">
        <v>939</v>
      </c>
      <c r="B431" s="916" t="s">
        <v>439</v>
      </c>
      <c r="C431" s="917">
        <v>43115</v>
      </c>
      <c r="D431" s="918">
        <v>1500</v>
      </c>
      <c r="F431" s="708"/>
      <c r="G431" s="708"/>
      <c r="H431" s="708"/>
      <c r="I431" s="708"/>
    </row>
    <row r="432" spans="1:9" customFormat="1">
      <c r="A432" s="915" t="s">
        <v>215</v>
      </c>
      <c r="B432" s="916" t="s">
        <v>214</v>
      </c>
      <c r="C432" s="917">
        <v>43115</v>
      </c>
      <c r="D432" s="918">
        <v>2250</v>
      </c>
      <c r="F432" s="708"/>
      <c r="G432" s="708"/>
      <c r="H432" s="708"/>
      <c r="I432" s="708"/>
    </row>
    <row r="433" spans="1:9" customFormat="1">
      <c r="A433" s="915" t="s">
        <v>270</v>
      </c>
      <c r="B433" s="916" t="s">
        <v>460</v>
      </c>
      <c r="C433" s="917">
        <v>43115</v>
      </c>
      <c r="D433" s="918">
        <v>2000</v>
      </c>
      <c r="F433" s="708"/>
      <c r="G433" s="708"/>
      <c r="H433" s="708"/>
      <c r="I433" s="708"/>
    </row>
    <row r="434" spans="1:9" customFormat="1">
      <c r="A434" s="915" t="s">
        <v>277</v>
      </c>
      <c r="B434" s="916" t="s">
        <v>276</v>
      </c>
      <c r="C434" s="917">
        <v>43115</v>
      </c>
      <c r="D434" s="918">
        <v>1000</v>
      </c>
      <c r="F434" s="708"/>
      <c r="G434" s="708"/>
      <c r="H434" s="708"/>
      <c r="I434" s="708"/>
    </row>
    <row r="435" spans="1:9" customFormat="1">
      <c r="A435" s="915" t="s">
        <v>772</v>
      </c>
      <c r="B435" s="916" t="s">
        <v>773</v>
      </c>
      <c r="C435" s="917">
        <v>43115</v>
      </c>
      <c r="D435" s="918">
        <v>606</v>
      </c>
      <c r="F435" s="708"/>
      <c r="G435" s="708"/>
      <c r="H435" s="708"/>
      <c r="I435" s="708"/>
    </row>
    <row r="436" spans="1:9" customFormat="1">
      <c r="A436" s="915" t="s">
        <v>275</v>
      </c>
      <c r="B436" s="916" t="s">
        <v>274</v>
      </c>
      <c r="C436" s="917">
        <v>43115</v>
      </c>
      <c r="D436" s="918">
        <v>600</v>
      </c>
      <c r="F436" s="708"/>
      <c r="G436" s="708"/>
      <c r="H436" s="708"/>
      <c r="I436" s="708"/>
    </row>
    <row r="437" spans="1:9" customFormat="1">
      <c r="A437" s="915" t="s">
        <v>721</v>
      </c>
      <c r="B437" s="916" t="s">
        <v>722</v>
      </c>
      <c r="C437" s="917">
        <v>43115</v>
      </c>
      <c r="D437" s="918">
        <v>6410.86</v>
      </c>
      <c r="F437" s="708"/>
      <c r="G437" s="708"/>
      <c r="H437" s="708"/>
      <c r="I437" s="708"/>
    </row>
    <row r="438" spans="1:9" customFormat="1">
      <c r="A438" s="915" t="s">
        <v>636</v>
      </c>
      <c r="B438" s="916" t="s">
        <v>637</v>
      </c>
      <c r="C438" s="917">
        <v>43115</v>
      </c>
      <c r="D438" s="918">
        <v>1322.74</v>
      </c>
      <c r="F438" s="708"/>
      <c r="G438" s="708"/>
      <c r="H438" s="708"/>
      <c r="I438" s="708"/>
    </row>
    <row r="439" spans="1:9" customFormat="1">
      <c r="A439" s="915" t="s">
        <v>905</v>
      </c>
      <c r="B439" s="916" t="s">
        <v>904</v>
      </c>
      <c r="C439" s="917">
        <v>43115</v>
      </c>
      <c r="D439" s="918">
        <v>1400</v>
      </c>
      <c r="F439" s="708"/>
      <c r="G439" s="708"/>
      <c r="H439" s="708"/>
      <c r="I439" s="708"/>
    </row>
    <row r="440" spans="1:9" customFormat="1">
      <c r="A440" s="915" t="s">
        <v>369</v>
      </c>
      <c r="B440" s="916" t="s">
        <v>370</v>
      </c>
      <c r="C440" s="917">
        <v>43115</v>
      </c>
      <c r="D440" s="918">
        <v>2021.54</v>
      </c>
      <c r="F440" s="708"/>
      <c r="G440" s="708"/>
      <c r="H440" s="708"/>
      <c r="I440" s="708"/>
    </row>
    <row r="441" spans="1:9" customFormat="1">
      <c r="A441" s="915" t="s">
        <v>1068</v>
      </c>
      <c r="B441" s="916" t="s">
        <v>1170</v>
      </c>
      <c r="C441" s="917">
        <v>43115</v>
      </c>
      <c r="D441" s="918">
        <v>720.93</v>
      </c>
      <c r="F441" s="708"/>
      <c r="G441" s="708"/>
      <c r="H441" s="708"/>
      <c r="I441" s="708"/>
    </row>
    <row r="442" spans="1:9" customFormat="1">
      <c r="A442" s="915" t="s">
        <v>697</v>
      </c>
      <c r="B442" s="916" t="s">
        <v>541</v>
      </c>
      <c r="C442" s="917">
        <v>43115</v>
      </c>
      <c r="D442" s="918">
        <v>2680.38</v>
      </c>
      <c r="F442" s="708"/>
      <c r="G442" s="708"/>
      <c r="H442" s="708"/>
      <c r="I442" s="708"/>
    </row>
    <row r="443" spans="1:9" customFormat="1">
      <c r="A443" s="915" t="s">
        <v>313</v>
      </c>
      <c r="B443" s="916" t="s">
        <v>314</v>
      </c>
      <c r="C443" s="917">
        <v>43115</v>
      </c>
      <c r="D443" s="918">
        <v>2440</v>
      </c>
      <c r="F443" s="708"/>
      <c r="G443" s="708"/>
      <c r="H443" s="708"/>
      <c r="I443" s="708"/>
    </row>
    <row r="444" spans="1:9" customFormat="1">
      <c r="A444" s="915" t="s">
        <v>203</v>
      </c>
      <c r="B444" s="916" t="s">
        <v>202</v>
      </c>
      <c r="C444" s="917">
        <v>43115</v>
      </c>
      <c r="D444" s="918">
        <v>5239.71</v>
      </c>
      <c r="F444" s="708"/>
      <c r="G444" s="708"/>
      <c r="H444" s="708"/>
      <c r="I444" s="708"/>
    </row>
    <row r="445" spans="1:9" customFormat="1">
      <c r="A445" s="915" t="s">
        <v>240</v>
      </c>
      <c r="B445" s="916" t="s">
        <v>239</v>
      </c>
      <c r="C445" s="917">
        <v>43115</v>
      </c>
      <c r="D445" s="918">
        <v>621.11</v>
      </c>
      <c r="F445" s="708"/>
      <c r="G445" s="708"/>
      <c r="H445" s="708"/>
      <c r="I445" s="708"/>
    </row>
    <row r="446" spans="1:9" customFormat="1">
      <c r="A446" s="915" t="s">
        <v>256</v>
      </c>
      <c r="B446" s="916" t="s">
        <v>255</v>
      </c>
      <c r="C446" s="917">
        <v>43115</v>
      </c>
      <c r="D446" s="918">
        <v>1100</v>
      </c>
      <c r="F446" s="708"/>
      <c r="G446" s="708"/>
      <c r="H446" s="708"/>
      <c r="I446" s="708"/>
    </row>
    <row r="447" spans="1:9" customFormat="1">
      <c r="A447" s="915" t="s">
        <v>228</v>
      </c>
      <c r="B447" s="916" t="s">
        <v>227</v>
      </c>
      <c r="C447" s="917">
        <v>43115</v>
      </c>
      <c r="D447" s="918">
        <v>647</v>
      </c>
      <c r="F447" s="708"/>
      <c r="G447" s="708"/>
      <c r="H447" s="708"/>
      <c r="I447" s="708"/>
    </row>
    <row r="448" spans="1:9" customFormat="1">
      <c r="A448" s="915" t="s">
        <v>482</v>
      </c>
      <c r="B448" s="916" t="s">
        <v>483</v>
      </c>
      <c r="C448" s="917">
        <v>43115</v>
      </c>
      <c r="D448" s="918">
        <v>1450.76</v>
      </c>
      <c r="F448" s="708"/>
      <c r="G448" s="708"/>
      <c r="H448" s="708"/>
      <c r="I448" s="708"/>
    </row>
    <row r="449" spans="1:9" customFormat="1">
      <c r="A449" s="915" t="s">
        <v>172</v>
      </c>
      <c r="B449" s="916" t="s">
        <v>171</v>
      </c>
      <c r="C449" s="917">
        <v>43115</v>
      </c>
      <c r="D449" s="918">
        <v>3474.83</v>
      </c>
      <c r="F449" s="708"/>
      <c r="G449" s="708"/>
      <c r="H449" s="708"/>
      <c r="I449" s="708"/>
    </row>
    <row r="450" spans="1:9" customFormat="1">
      <c r="A450" s="915" t="s">
        <v>535</v>
      </c>
      <c r="B450" s="916" t="s">
        <v>534</v>
      </c>
      <c r="C450" s="917">
        <v>43115</v>
      </c>
      <c r="D450" s="918">
        <v>3686.29</v>
      </c>
      <c r="F450" s="708"/>
      <c r="G450" s="708"/>
      <c r="H450" s="708"/>
      <c r="I450" s="708"/>
    </row>
    <row r="451" spans="1:9" customFormat="1">
      <c r="A451" s="915" t="s">
        <v>800</v>
      </c>
      <c r="B451" s="916" t="s">
        <v>739</v>
      </c>
      <c r="C451" s="917">
        <v>43115</v>
      </c>
      <c r="D451" s="918">
        <v>1263.46</v>
      </c>
      <c r="F451" s="708"/>
      <c r="G451" s="708"/>
      <c r="H451" s="708"/>
      <c r="I451" s="708"/>
    </row>
    <row r="452" spans="1:9" customFormat="1">
      <c r="A452" s="915" t="s">
        <v>388</v>
      </c>
      <c r="B452" s="916" t="s">
        <v>336</v>
      </c>
      <c r="C452" s="917">
        <v>43115</v>
      </c>
      <c r="D452" s="918">
        <v>3906.4</v>
      </c>
      <c r="F452" s="708"/>
      <c r="G452" s="708"/>
      <c r="H452" s="708"/>
      <c r="I452" s="708"/>
    </row>
    <row r="453" spans="1:9" customFormat="1">
      <c r="A453" s="915" t="s">
        <v>1009</v>
      </c>
      <c r="B453" s="916" t="s">
        <v>768</v>
      </c>
      <c r="C453" s="917">
        <v>43115</v>
      </c>
      <c r="D453" s="918">
        <v>986.47</v>
      </c>
      <c r="F453" s="708"/>
      <c r="G453" s="708"/>
      <c r="H453" s="708"/>
      <c r="I453" s="708"/>
    </row>
    <row r="454" spans="1:9" s="717" customFormat="1">
      <c r="A454" s="915" t="s">
        <v>506</v>
      </c>
      <c r="B454" s="916" t="s">
        <v>141</v>
      </c>
      <c r="C454" s="917">
        <v>43115</v>
      </c>
      <c r="D454" s="918">
        <v>540</v>
      </c>
    </row>
    <row r="455" spans="1:9" customFormat="1">
      <c r="A455" s="915" t="s">
        <v>390</v>
      </c>
      <c r="B455" s="916" t="s">
        <v>153</v>
      </c>
      <c r="C455" s="917">
        <v>43115</v>
      </c>
      <c r="D455" s="918">
        <v>6000</v>
      </c>
      <c r="F455" s="708"/>
      <c r="G455" s="708"/>
      <c r="H455" s="708"/>
      <c r="I455" s="708"/>
    </row>
    <row r="456" spans="1:9" customFormat="1">
      <c r="A456" s="915" t="s">
        <v>741</v>
      </c>
      <c r="B456" s="916" t="s">
        <v>153</v>
      </c>
      <c r="C456" s="917">
        <v>43115</v>
      </c>
      <c r="D456" s="918">
        <v>5000</v>
      </c>
      <c r="F456" s="708"/>
      <c r="G456" s="708"/>
      <c r="H456" s="708"/>
      <c r="I456" s="708"/>
    </row>
    <row r="457" spans="1:9" customFormat="1">
      <c r="A457" s="915" t="s">
        <v>741</v>
      </c>
      <c r="B457" s="916" t="s">
        <v>153</v>
      </c>
      <c r="C457" s="917">
        <v>43115</v>
      </c>
      <c r="D457" s="918">
        <v>5113.42</v>
      </c>
      <c r="F457" s="708"/>
      <c r="G457" s="708"/>
      <c r="H457" s="708"/>
      <c r="I457" s="708"/>
    </row>
    <row r="458" spans="1:9" customFormat="1">
      <c r="A458" s="915" t="s">
        <v>380</v>
      </c>
      <c r="B458" s="916" t="s">
        <v>193</v>
      </c>
      <c r="C458" s="917">
        <v>43115</v>
      </c>
      <c r="D458" s="918">
        <v>1766.86</v>
      </c>
      <c r="F458" s="708"/>
      <c r="G458" s="708"/>
      <c r="H458" s="708"/>
      <c r="I458" s="708"/>
    </row>
    <row r="459" spans="1:9" customFormat="1">
      <c r="A459" s="915" t="s">
        <v>568</v>
      </c>
      <c r="B459" s="916" t="s">
        <v>229</v>
      </c>
      <c r="C459" s="917">
        <v>43115</v>
      </c>
      <c r="D459" s="918">
        <v>1147.06</v>
      </c>
      <c r="F459" s="708"/>
      <c r="G459" s="708"/>
      <c r="H459" s="708"/>
      <c r="I459" s="708"/>
    </row>
    <row r="460" spans="1:9" customFormat="1">
      <c r="A460" s="915" t="s">
        <v>877</v>
      </c>
      <c r="B460" s="916" t="s">
        <v>315</v>
      </c>
      <c r="C460" s="917">
        <v>43115</v>
      </c>
      <c r="D460" s="918">
        <v>116.82</v>
      </c>
      <c r="F460" s="708"/>
      <c r="G460" s="708"/>
      <c r="H460" s="708"/>
      <c r="I460" s="708"/>
    </row>
    <row r="461" spans="1:9" customFormat="1">
      <c r="A461" s="915" t="s">
        <v>407</v>
      </c>
      <c r="B461" s="916" t="s">
        <v>252</v>
      </c>
      <c r="C461" s="917">
        <v>43115</v>
      </c>
      <c r="D461" s="918">
        <v>2682.83</v>
      </c>
      <c r="F461" s="708"/>
      <c r="G461" s="708"/>
      <c r="H461" s="708"/>
      <c r="I461" s="708"/>
    </row>
    <row r="462" spans="1:9" customFormat="1">
      <c r="A462" s="915" t="s">
        <v>379</v>
      </c>
      <c r="B462" s="916" t="s">
        <v>291</v>
      </c>
      <c r="C462" s="917">
        <v>43115</v>
      </c>
      <c r="D462" s="918">
        <v>3614.27</v>
      </c>
      <c r="F462" s="708"/>
      <c r="G462" s="708"/>
      <c r="H462" s="708"/>
      <c r="I462" s="708"/>
    </row>
    <row r="463" spans="1:9" customFormat="1">
      <c r="A463" s="915" t="s">
        <v>504</v>
      </c>
      <c r="B463" s="916" t="s">
        <v>184</v>
      </c>
      <c r="C463" s="917">
        <v>43115</v>
      </c>
      <c r="D463" s="918">
        <v>2109.37</v>
      </c>
      <c r="F463" s="708"/>
      <c r="G463" s="708"/>
      <c r="H463" s="708"/>
      <c r="I463" s="708"/>
    </row>
    <row r="464" spans="1:9" customFormat="1">
      <c r="A464" s="915" t="s">
        <v>533</v>
      </c>
      <c r="B464" s="916" t="s">
        <v>532</v>
      </c>
      <c r="C464" s="917">
        <v>43115</v>
      </c>
      <c r="D464" s="918">
        <v>3000</v>
      </c>
      <c r="F464" s="708"/>
      <c r="G464" s="708"/>
      <c r="H464" s="708"/>
      <c r="I464" s="708"/>
    </row>
    <row r="465" spans="1:9" customFormat="1">
      <c r="A465" s="915" t="s">
        <v>1145</v>
      </c>
      <c r="B465" s="916" t="s">
        <v>1144</v>
      </c>
      <c r="C465" s="917">
        <v>43115</v>
      </c>
      <c r="D465" s="918">
        <v>957.95</v>
      </c>
      <c r="F465" s="708"/>
      <c r="G465" s="708"/>
      <c r="H465" s="708"/>
      <c r="I465" s="708"/>
    </row>
    <row r="466" spans="1:9" customFormat="1">
      <c r="A466" s="915" t="s">
        <v>515</v>
      </c>
      <c r="B466" s="916" t="s">
        <v>481</v>
      </c>
      <c r="C466" s="917">
        <v>43115</v>
      </c>
      <c r="D466" s="918">
        <v>2214.9</v>
      </c>
      <c r="F466" s="708"/>
      <c r="G466" s="708"/>
      <c r="H466" s="708"/>
      <c r="I466" s="708"/>
    </row>
    <row r="467" spans="1:9" customFormat="1">
      <c r="A467" s="915" t="s">
        <v>505</v>
      </c>
      <c r="B467" s="916" t="s">
        <v>140</v>
      </c>
      <c r="C467" s="917">
        <v>43115</v>
      </c>
      <c r="D467" s="918">
        <v>4439.55</v>
      </c>
      <c r="F467" s="708"/>
      <c r="G467" s="708"/>
      <c r="H467" s="708"/>
      <c r="I467" s="708"/>
    </row>
    <row r="468" spans="1:9" s="717" customFormat="1">
      <c r="A468" s="915" t="s">
        <v>925</v>
      </c>
      <c r="B468" s="916" t="s">
        <v>244</v>
      </c>
      <c r="C468" s="917">
        <v>43115</v>
      </c>
      <c r="D468" s="918">
        <v>1206.93</v>
      </c>
    </row>
    <row r="469" spans="1:9">
      <c r="A469" s="915" t="s">
        <v>467</v>
      </c>
      <c r="B469" s="916" t="s">
        <v>468</v>
      </c>
      <c r="C469" s="917">
        <v>43115</v>
      </c>
      <c r="D469" s="918">
        <v>1679.08</v>
      </c>
    </row>
    <row r="470" spans="1:9" s="717" customFormat="1">
      <c r="A470" s="915" t="s">
        <v>678</v>
      </c>
      <c r="B470" s="916" t="s">
        <v>177</v>
      </c>
      <c r="C470" s="917">
        <v>43115</v>
      </c>
      <c r="D470" s="918">
        <v>1000</v>
      </c>
    </row>
    <row r="471" spans="1:9">
      <c r="A471" s="915" t="s">
        <v>635</v>
      </c>
      <c r="B471" s="916" t="s">
        <v>189</v>
      </c>
      <c r="C471" s="917">
        <v>43115</v>
      </c>
      <c r="D471" s="918">
        <v>630</v>
      </c>
    </row>
    <row r="472" spans="1:9">
      <c r="A472" s="915" t="s">
        <v>298</v>
      </c>
      <c r="B472" s="916" t="s">
        <v>299</v>
      </c>
      <c r="C472" s="917">
        <v>43116</v>
      </c>
      <c r="D472" s="918">
        <v>1770</v>
      </c>
    </row>
    <row r="473" spans="1:9">
      <c r="A473" s="915" t="s">
        <v>1043</v>
      </c>
      <c r="B473" s="916" t="s">
        <v>1169</v>
      </c>
      <c r="C473" s="917">
        <v>43116</v>
      </c>
      <c r="D473" s="918">
        <v>1209</v>
      </c>
    </row>
    <row r="474" spans="1:9">
      <c r="A474" s="915" t="s">
        <v>1043</v>
      </c>
      <c r="B474" s="916" t="s">
        <v>1169</v>
      </c>
      <c r="C474" s="917">
        <v>43116</v>
      </c>
      <c r="D474" s="918">
        <v>1279.54</v>
      </c>
    </row>
    <row r="475" spans="1:9">
      <c r="A475" s="915" t="s">
        <v>387</v>
      </c>
      <c r="B475" s="916" t="s">
        <v>154</v>
      </c>
      <c r="C475" s="917">
        <v>43116</v>
      </c>
      <c r="D475" s="918">
        <v>2790.87</v>
      </c>
    </row>
    <row r="476" spans="1:9">
      <c r="A476" s="915" t="s">
        <v>924</v>
      </c>
      <c r="B476" s="916" t="s">
        <v>923</v>
      </c>
      <c r="C476" s="917">
        <v>43116</v>
      </c>
      <c r="D476" s="918">
        <v>1047.26</v>
      </c>
    </row>
    <row r="477" spans="1:9">
      <c r="A477" s="915" t="s">
        <v>735</v>
      </c>
      <c r="B477" s="916" t="s">
        <v>622</v>
      </c>
      <c r="C477" s="917">
        <v>43116</v>
      </c>
      <c r="D477" s="918">
        <v>903.94</v>
      </c>
    </row>
    <row r="478" spans="1:9">
      <c r="A478" s="907" t="s">
        <v>535</v>
      </c>
      <c r="B478" s="908" t="s">
        <v>1330</v>
      </c>
      <c r="C478" s="909">
        <v>43117</v>
      </c>
      <c r="D478" s="910">
        <v>4000</v>
      </c>
    </row>
    <row r="479" spans="1:9">
      <c r="A479" s="907" t="s">
        <v>1215</v>
      </c>
      <c r="B479" s="908" t="s">
        <v>1214</v>
      </c>
      <c r="C479" s="909">
        <v>43117</v>
      </c>
      <c r="D479" s="910">
        <v>4000</v>
      </c>
    </row>
    <row r="480" spans="1:9">
      <c r="A480" s="915" t="s">
        <v>517</v>
      </c>
      <c r="B480" s="916" t="s">
        <v>192</v>
      </c>
      <c r="C480" s="917">
        <v>43117</v>
      </c>
      <c r="D480" s="918">
        <v>604</v>
      </c>
    </row>
    <row r="481" spans="1:4">
      <c r="A481" s="915" t="s">
        <v>492</v>
      </c>
      <c r="B481" s="916" t="s">
        <v>493</v>
      </c>
      <c r="C481" s="917">
        <v>43117</v>
      </c>
      <c r="D481" s="918">
        <v>1500</v>
      </c>
    </row>
    <row r="482" spans="1:4">
      <c r="A482" s="915" t="s">
        <v>858</v>
      </c>
      <c r="B482" s="916" t="s">
        <v>859</v>
      </c>
      <c r="C482" s="917">
        <v>43117</v>
      </c>
      <c r="D482" s="918">
        <v>777.58</v>
      </c>
    </row>
    <row r="483" spans="1:4">
      <c r="A483" s="915" t="s">
        <v>645</v>
      </c>
      <c r="B483" s="916" t="s">
        <v>646</v>
      </c>
      <c r="C483" s="917">
        <v>43117</v>
      </c>
      <c r="D483" s="918">
        <v>649.45000000000005</v>
      </c>
    </row>
    <row r="484" spans="1:4">
      <c r="A484" s="915" t="s">
        <v>784</v>
      </c>
      <c r="B484" s="916" t="s">
        <v>183</v>
      </c>
      <c r="C484" s="917">
        <v>43117</v>
      </c>
      <c r="D484" s="918">
        <v>698.77</v>
      </c>
    </row>
    <row r="485" spans="1:4">
      <c r="A485" s="915" t="s">
        <v>878</v>
      </c>
      <c r="B485" s="916" t="s">
        <v>210</v>
      </c>
      <c r="C485" s="917">
        <v>43117</v>
      </c>
      <c r="D485" s="918">
        <v>4258.1000000000004</v>
      </c>
    </row>
    <row r="486" spans="1:4">
      <c r="A486" s="907" t="s">
        <v>475</v>
      </c>
      <c r="B486" s="908" t="s">
        <v>476</v>
      </c>
      <c r="C486" s="909">
        <v>43118</v>
      </c>
      <c r="D486" s="910">
        <v>850</v>
      </c>
    </row>
    <row r="487" spans="1:4">
      <c r="A487" s="915" t="s">
        <v>147</v>
      </c>
      <c r="B487" s="916" t="s">
        <v>146</v>
      </c>
      <c r="C487" s="917">
        <v>43118</v>
      </c>
      <c r="D487" s="918">
        <v>1250</v>
      </c>
    </row>
    <row r="488" spans="1:4">
      <c r="A488" s="915" t="s">
        <v>311</v>
      </c>
      <c r="B488" s="916" t="s">
        <v>312</v>
      </c>
      <c r="C488" s="917">
        <v>43118</v>
      </c>
      <c r="D488" s="918">
        <v>983.76</v>
      </c>
    </row>
    <row r="489" spans="1:4">
      <c r="A489" s="915" t="s">
        <v>139</v>
      </c>
      <c r="B489" s="916" t="s">
        <v>138</v>
      </c>
      <c r="C489" s="917">
        <v>43118</v>
      </c>
      <c r="D489" s="918">
        <v>1500</v>
      </c>
    </row>
    <row r="490" spans="1:4">
      <c r="A490" s="915" t="s">
        <v>1062</v>
      </c>
      <c r="B490" s="916" t="s">
        <v>416</v>
      </c>
      <c r="C490" s="917">
        <v>43118</v>
      </c>
      <c r="D490" s="918">
        <v>219.66</v>
      </c>
    </row>
    <row r="491" spans="1:4">
      <c r="A491" s="907" t="s">
        <v>866</v>
      </c>
      <c r="B491" s="908" t="s">
        <v>1281</v>
      </c>
      <c r="C491" s="909">
        <v>43119</v>
      </c>
      <c r="D491" s="910">
        <v>2001.4</v>
      </c>
    </row>
    <row r="492" spans="1:4">
      <c r="A492" s="915" t="s">
        <v>402</v>
      </c>
      <c r="B492" s="916" t="s">
        <v>192</v>
      </c>
      <c r="C492" s="917">
        <v>43119</v>
      </c>
      <c r="D492" s="918">
        <v>917</v>
      </c>
    </row>
    <row r="493" spans="1:4">
      <c r="A493" s="915" t="s">
        <v>256</v>
      </c>
      <c r="B493" s="916" t="s">
        <v>255</v>
      </c>
      <c r="C493" s="917">
        <v>43119</v>
      </c>
      <c r="D493" s="918">
        <v>1110</v>
      </c>
    </row>
    <row r="494" spans="1:4">
      <c r="A494" s="915" t="s">
        <v>1037</v>
      </c>
      <c r="B494" s="916" t="s">
        <v>1156</v>
      </c>
      <c r="C494" s="917">
        <v>43119</v>
      </c>
      <c r="D494" s="918">
        <v>400</v>
      </c>
    </row>
    <row r="495" spans="1:4">
      <c r="A495" s="915" t="s">
        <v>799</v>
      </c>
      <c r="B495" s="916" t="s">
        <v>292</v>
      </c>
      <c r="C495" s="917">
        <v>43119</v>
      </c>
      <c r="D495" s="918">
        <v>1242.45</v>
      </c>
    </row>
    <row r="496" spans="1:4">
      <c r="A496" s="915" t="s">
        <v>621</v>
      </c>
      <c r="B496" s="916" t="s">
        <v>260</v>
      </c>
      <c r="C496" s="917">
        <v>43119</v>
      </c>
      <c r="D496" s="918">
        <v>316.81</v>
      </c>
    </row>
    <row r="497" spans="1:4">
      <c r="A497" s="915" t="s">
        <v>1140</v>
      </c>
      <c r="B497" s="916" t="s">
        <v>1139</v>
      </c>
      <c r="C497" s="917">
        <v>43119</v>
      </c>
      <c r="D497" s="918">
        <v>568.72</v>
      </c>
    </row>
    <row r="498" spans="1:4">
      <c r="A498" s="907" t="s">
        <v>1292</v>
      </c>
      <c r="B498" s="908" t="s">
        <v>484</v>
      </c>
      <c r="C498" s="909">
        <v>43120</v>
      </c>
      <c r="D498" s="910">
        <v>723.98299999999995</v>
      </c>
    </row>
    <row r="499" spans="1:4">
      <c r="A499" s="907" t="s">
        <v>275</v>
      </c>
      <c r="B499" s="908" t="s">
        <v>1243</v>
      </c>
      <c r="C499" s="909">
        <v>43120</v>
      </c>
      <c r="D499" s="910">
        <v>200</v>
      </c>
    </row>
    <row r="500" spans="1:4">
      <c r="A500" s="907" t="s">
        <v>273</v>
      </c>
      <c r="B500" s="908" t="s">
        <v>272</v>
      </c>
      <c r="C500" s="909">
        <v>43120</v>
      </c>
      <c r="D500" s="910">
        <v>700</v>
      </c>
    </row>
    <row r="501" spans="1:4">
      <c r="A501" s="915" t="s">
        <v>409</v>
      </c>
      <c r="B501" s="916" t="s">
        <v>145</v>
      </c>
      <c r="C501" s="917">
        <v>43120</v>
      </c>
      <c r="D501" s="918">
        <v>2135</v>
      </c>
    </row>
    <row r="502" spans="1:4">
      <c r="A502" s="915" t="s">
        <v>559</v>
      </c>
      <c r="B502" s="916" t="s">
        <v>558</v>
      </c>
      <c r="C502" s="917">
        <v>43120</v>
      </c>
      <c r="D502" s="918">
        <v>4000</v>
      </c>
    </row>
    <row r="503" spans="1:4">
      <c r="A503" s="915" t="s">
        <v>277</v>
      </c>
      <c r="B503" s="916" t="s">
        <v>276</v>
      </c>
      <c r="C503" s="917">
        <v>43120</v>
      </c>
      <c r="D503" s="918">
        <v>1000</v>
      </c>
    </row>
    <row r="504" spans="1:4">
      <c r="A504" s="915" t="s">
        <v>543</v>
      </c>
      <c r="B504" s="916" t="s">
        <v>542</v>
      </c>
      <c r="C504" s="917">
        <v>43120</v>
      </c>
      <c r="D504" s="918">
        <v>330</v>
      </c>
    </row>
    <row r="505" spans="1:4">
      <c r="A505" s="915" t="s">
        <v>275</v>
      </c>
      <c r="B505" s="916" t="s">
        <v>274</v>
      </c>
      <c r="C505" s="917">
        <v>43120</v>
      </c>
      <c r="D505" s="918">
        <v>400</v>
      </c>
    </row>
    <row r="506" spans="1:4">
      <c r="A506" s="915" t="s">
        <v>597</v>
      </c>
      <c r="B506" s="916" t="s">
        <v>572</v>
      </c>
      <c r="C506" s="917">
        <v>43120</v>
      </c>
      <c r="D506" s="918">
        <v>700</v>
      </c>
    </row>
    <row r="507" spans="1:4">
      <c r="A507" s="915" t="s">
        <v>317</v>
      </c>
      <c r="B507" s="916" t="s">
        <v>318</v>
      </c>
      <c r="C507" s="917">
        <v>43120</v>
      </c>
      <c r="D507" s="918">
        <v>1624.89</v>
      </c>
    </row>
    <row r="508" spans="1:4">
      <c r="A508" s="915" t="s">
        <v>711</v>
      </c>
      <c r="B508" s="916" t="s">
        <v>765</v>
      </c>
      <c r="C508" s="917">
        <v>43120</v>
      </c>
      <c r="D508" s="918">
        <v>1800</v>
      </c>
    </row>
    <row r="509" spans="1:4">
      <c r="A509" s="915" t="s">
        <v>400</v>
      </c>
      <c r="B509" s="916" t="s">
        <v>401</v>
      </c>
      <c r="C509" s="917">
        <v>43120</v>
      </c>
      <c r="D509" s="918">
        <v>2000</v>
      </c>
    </row>
    <row r="510" spans="1:4">
      <c r="A510" s="915" t="s">
        <v>531</v>
      </c>
      <c r="B510" s="916" t="s">
        <v>530</v>
      </c>
      <c r="C510" s="917">
        <v>43120</v>
      </c>
      <c r="D510" s="918">
        <v>2164</v>
      </c>
    </row>
    <row r="511" spans="1:4">
      <c r="A511" s="915" t="s">
        <v>1068</v>
      </c>
      <c r="B511" s="916" t="s">
        <v>1170</v>
      </c>
      <c r="C511" s="917">
        <v>43120</v>
      </c>
      <c r="D511" s="918">
        <v>730.98</v>
      </c>
    </row>
    <row r="512" spans="1:4">
      <c r="A512" s="915" t="s">
        <v>313</v>
      </c>
      <c r="B512" s="916" t="s">
        <v>314</v>
      </c>
      <c r="C512" s="917">
        <v>43120</v>
      </c>
      <c r="D512" s="918">
        <v>2440</v>
      </c>
    </row>
    <row r="513" spans="1:4">
      <c r="A513" s="915" t="s">
        <v>240</v>
      </c>
      <c r="B513" s="916" t="s">
        <v>239</v>
      </c>
      <c r="C513" s="917">
        <v>43120</v>
      </c>
      <c r="D513" s="918">
        <v>621.11</v>
      </c>
    </row>
    <row r="514" spans="1:4">
      <c r="A514" s="915" t="s">
        <v>879</v>
      </c>
      <c r="B514" s="916" t="s">
        <v>257</v>
      </c>
      <c r="C514" s="917">
        <v>43120</v>
      </c>
      <c r="D514" s="918">
        <v>1961.62</v>
      </c>
    </row>
    <row r="515" spans="1:4">
      <c r="A515" s="915" t="s">
        <v>212</v>
      </c>
      <c r="B515" s="916" t="s">
        <v>211</v>
      </c>
      <c r="C515" s="917">
        <v>43120</v>
      </c>
      <c r="D515" s="918">
        <v>2543.0300000000002</v>
      </c>
    </row>
    <row r="516" spans="1:4">
      <c r="A516" s="915" t="s">
        <v>729</v>
      </c>
      <c r="B516" s="916" t="s">
        <v>730</v>
      </c>
      <c r="C516" s="917">
        <v>43120</v>
      </c>
      <c r="D516" s="918">
        <v>457.84</v>
      </c>
    </row>
    <row r="517" spans="1:4">
      <c r="A517" s="915" t="s">
        <v>560</v>
      </c>
      <c r="B517" s="916" t="s">
        <v>230</v>
      </c>
      <c r="C517" s="917">
        <v>43120</v>
      </c>
      <c r="D517" s="918">
        <v>1180.5999999999999</v>
      </c>
    </row>
    <row r="518" spans="1:4">
      <c r="A518" s="915" t="s">
        <v>567</v>
      </c>
      <c r="B518" s="916" t="s">
        <v>415</v>
      </c>
      <c r="C518" s="917">
        <v>43120</v>
      </c>
      <c r="D518" s="918">
        <v>16000</v>
      </c>
    </row>
    <row r="519" spans="1:4">
      <c r="A519" s="915" t="s">
        <v>759</v>
      </c>
      <c r="B519" s="916" t="s">
        <v>185</v>
      </c>
      <c r="C519" s="917">
        <v>43120</v>
      </c>
      <c r="D519" s="918">
        <v>2800</v>
      </c>
    </row>
    <row r="520" spans="1:4">
      <c r="A520" s="915" t="s">
        <v>628</v>
      </c>
      <c r="B520" s="916" t="s">
        <v>264</v>
      </c>
      <c r="C520" s="917">
        <v>43120</v>
      </c>
      <c r="D520" s="918">
        <v>1420.13</v>
      </c>
    </row>
    <row r="521" spans="1:4">
      <c r="A521" s="915" t="s">
        <v>570</v>
      </c>
      <c r="B521" s="916" t="s">
        <v>603</v>
      </c>
      <c r="C521" s="917">
        <v>43120</v>
      </c>
      <c r="D521" s="918">
        <v>984.96</v>
      </c>
    </row>
    <row r="522" spans="1:4">
      <c r="A522" s="915" t="s">
        <v>735</v>
      </c>
      <c r="B522" s="916" t="s">
        <v>622</v>
      </c>
      <c r="C522" s="917">
        <v>43120</v>
      </c>
      <c r="D522" s="918">
        <v>1566</v>
      </c>
    </row>
    <row r="523" spans="1:4">
      <c r="A523" s="915" t="s">
        <v>455</v>
      </c>
      <c r="B523" s="916" t="s">
        <v>187</v>
      </c>
      <c r="C523" s="917">
        <v>43120</v>
      </c>
      <c r="D523" s="918">
        <v>2750.23</v>
      </c>
    </row>
    <row r="524" spans="1:4">
      <c r="A524" s="915" t="s">
        <v>669</v>
      </c>
      <c r="B524" s="916" t="s">
        <v>863</v>
      </c>
      <c r="C524" s="917">
        <v>43120</v>
      </c>
      <c r="D524" s="918">
        <v>6592.86</v>
      </c>
    </row>
    <row r="525" spans="1:4">
      <c r="A525" s="915" t="s">
        <v>440</v>
      </c>
      <c r="B525" s="916" t="s">
        <v>763</v>
      </c>
      <c r="C525" s="917">
        <v>43120</v>
      </c>
      <c r="D525" s="918">
        <v>750</v>
      </c>
    </row>
    <row r="526" spans="1:4">
      <c r="A526" s="915" t="s">
        <v>1008</v>
      </c>
      <c r="B526" s="916" t="s">
        <v>1007</v>
      </c>
      <c r="C526" s="917">
        <v>43121</v>
      </c>
      <c r="D526" s="918">
        <v>206.76</v>
      </c>
    </row>
    <row r="527" spans="1:4">
      <c r="A527" s="915" t="s">
        <v>163</v>
      </c>
      <c r="B527" s="916" t="s">
        <v>162</v>
      </c>
      <c r="C527" s="917">
        <v>43122</v>
      </c>
      <c r="D527" s="918">
        <v>1500</v>
      </c>
    </row>
    <row r="528" spans="1:4">
      <c r="A528" s="915" t="s">
        <v>720</v>
      </c>
      <c r="B528" s="916" t="s">
        <v>269</v>
      </c>
      <c r="C528" s="917">
        <v>43122</v>
      </c>
      <c r="D528" s="918">
        <v>1502.56</v>
      </c>
    </row>
    <row r="529" spans="1:4">
      <c r="A529" s="915" t="s">
        <v>800</v>
      </c>
      <c r="B529" s="916" t="s">
        <v>739</v>
      </c>
      <c r="C529" s="917">
        <v>43122</v>
      </c>
      <c r="D529" s="918">
        <v>1220</v>
      </c>
    </row>
    <row r="530" spans="1:4">
      <c r="A530" s="915" t="s">
        <v>135</v>
      </c>
      <c r="B530" s="916" t="s">
        <v>134</v>
      </c>
      <c r="C530" s="917">
        <v>43122</v>
      </c>
      <c r="D530" s="918">
        <v>1090</v>
      </c>
    </row>
    <row r="531" spans="1:4">
      <c r="A531" s="915" t="s">
        <v>139</v>
      </c>
      <c r="B531" s="916" t="s">
        <v>138</v>
      </c>
      <c r="C531" s="917">
        <v>43122</v>
      </c>
      <c r="D531" s="918">
        <v>1180</v>
      </c>
    </row>
    <row r="532" spans="1:4">
      <c r="A532" s="915" t="s">
        <v>364</v>
      </c>
      <c r="B532" s="916" t="s">
        <v>186</v>
      </c>
      <c r="C532" s="917">
        <v>43122</v>
      </c>
      <c r="D532" s="918">
        <v>1500</v>
      </c>
    </row>
    <row r="533" spans="1:4">
      <c r="A533" s="915" t="s">
        <v>954</v>
      </c>
      <c r="B533" s="916" t="s">
        <v>538</v>
      </c>
      <c r="C533" s="917">
        <v>43122</v>
      </c>
      <c r="D533" s="918">
        <v>1556.04</v>
      </c>
    </row>
    <row r="534" spans="1:4">
      <c r="A534" s="915" t="s">
        <v>635</v>
      </c>
      <c r="B534" s="916" t="s">
        <v>189</v>
      </c>
      <c r="C534" s="917">
        <v>43122</v>
      </c>
      <c r="D534" s="918">
        <v>639.34</v>
      </c>
    </row>
    <row r="535" spans="1:4">
      <c r="A535" s="915" t="s">
        <v>408</v>
      </c>
      <c r="B535" s="916" t="s">
        <v>204</v>
      </c>
      <c r="C535" s="917">
        <v>43122</v>
      </c>
      <c r="D535" s="918">
        <v>2000</v>
      </c>
    </row>
    <row r="536" spans="1:4">
      <c r="A536" s="915" t="s">
        <v>536</v>
      </c>
      <c r="B536" s="916" t="s">
        <v>194</v>
      </c>
      <c r="C536" s="917">
        <v>43123</v>
      </c>
      <c r="D536" s="918">
        <v>795</v>
      </c>
    </row>
    <row r="537" spans="1:4">
      <c r="A537" s="915" t="s">
        <v>620</v>
      </c>
      <c r="B537" s="916" t="s">
        <v>365</v>
      </c>
      <c r="C537" s="917">
        <v>43123</v>
      </c>
      <c r="D537" s="918">
        <v>1205.94</v>
      </c>
    </row>
    <row r="538" spans="1:4">
      <c r="A538" s="915" t="s">
        <v>471</v>
      </c>
      <c r="B538" s="916" t="s">
        <v>472</v>
      </c>
      <c r="C538" s="917">
        <v>43123</v>
      </c>
      <c r="D538" s="918">
        <v>1150</v>
      </c>
    </row>
    <row r="539" spans="1:4">
      <c r="A539" s="915" t="s">
        <v>492</v>
      </c>
      <c r="B539" s="916" t="s">
        <v>493</v>
      </c>
      <c r="C539" s="917">
        <v>43124</v>
      </c>
      <c r="D539" s="918">
        <v>1500</v>
      </c>
    </row>
    <row r="540" spans="1:4">
      <c r="A540" s="915" t="s">
        <v>147</v>
      </c>
      <c r="B540" s="916" t="s">
        <v>146</v>
      </c>
      <c r="C540" s="917">
        <v>43124</v>
      </c>
      <c r="D540" s="918">
        <v>1250</v>
      </c>
    </row>
    <row r="541" spans="1:4">
      <c r="A541" s="915" t="s">
        <v>858</v>
      </c>
      <c r="B541" s="916" t="s">
        <v>859</v>
      </c>
      <c r="C541" s="917">
        <v>43124</v>
      </c>
      <c r="D541" s="918">
        <v>750</v>
      </c>
    </row>
    <row r="542" spans="1:4">
      <c r="A542" s="915" t="s">
        <v>240</v>
      </c>
      <c r="B542" s="916" t="s">
        <v>239</v>
      </c>
      <c r="C542" s="917">
        <v>43124</v>
      </c>
      <c r="D542" s="918">
        <v>621.11</v>
      </c>
    </row>
    <row r="543" spans="1:4">
      <c r="A543" s="915" t="s">
        <v>799</v>
      </c>
      <c r="B543" s="916" t="s">
        <v>292</v>
      </c>
      <c r="C543" s="917">
        <v>43124</v>
      </c>
      <c r="D543" s="918">
        <v>1242.45</v>
      </c>
    </row>
    <row r="544" spans="1:4">
      <c r="A544" s="915" t="s">
        <v>135</v>
      </c>
      <c r="B544" s="916" t="s">
        <v>134</v>
      </c>
      <c r="C544" s="917">
        <v>43124</v>
      </c>
      <c r="D544" s="918">
        <v>1090</v>
      </c>
    </row>
    <row r="545" spans="1:4">
      <c r="A545" s="915" t="s">
        <v>441</v>
      </c>
      <c r="B545" s="916" t="s">
        <v>416</v>
      </c>
      <c r="C545" s="917">
        <v>43124</v>
      </c>
      <c r="D545" s="918">
        <v>765.86</v>
      </c>
    </row>
    <row r="546" spans="1:4">
      <c r="A546" s="907" t="s">
        <v>1004</v>
      </c>
      <c r="B546" s="908" t="s">
        <v>1283</v>
      </c>
      <c r="C546" s="909">
        <v>43125</v>
      </c>
      <c r="D546" s="910">
        <v>1155.056</v>
      </c>
    </row>
    <row r="547" spans="1:4">
      <c r="A547" s="907" t="s">
        <v>273</v>
      </c>
      <c r="B547" s="908" t="s">
        <v>272</v>
      </c>
      <c r="C547" s="909">
        <v>43125</v>
      </c>
      <c r="D547" s="910">
        <v>700</v>
      </c>
    </row>
    <row r="548" spans="1:4">
      <c r="A548" s="915" t="s">
        <v>789</v>
      </c>
      <c r="B548" s="916" t="s">
        <v>190</v>
      </c>
      <c r="C548" s="917">
        <v>43125</v>
      </c>
      <c r="D548" s="918">
        <v>5000</v>
      </c>
    </row>
    <row r="549" spans="1:4">
      <c r="A549" s="915" t="s">
        <v>644</v>
      </c>
      <c r="B549" s="916" t="s">
        <v>253</v>
      </c>
      <c r="C549" s="917">
        <v>43125</v>
      </c>
      <c r="D549" s="918">
        <v>911.39</v>
      </c>
    </row>
    <row r="550" spans="1:4">
      <c r="A550" s="915" t="s">
        <v>179</v>
      </c>
      <c r="B550" s="916" t="s">
        <v>178</v>
      </c>
      <c r="C550" s="917">
        <v>43125</v>
      </c>
      <c r="D550" s="918">
        <v>2600</v>
      </c>
    </row>
    <row r="551" spans="1:4">
      <c r="A551" s="915" t="s">
        <v>275</v>
      </c>
      <c r="B551" s="916" t="s">
        <v>274</v>
      </c>
      <c r="C551" s="917">
        <v>43125</v>
      </c>
      <c r="D551" s="918">
        <v>400</v>
      </c>
    </row>
    <row r="552" spans="1:4">
      <c r="A552" s="915" t="s">
        <v>905</v>
      </c>
      <c r="B552" s="916" t="s">
        <v>904</v>
      </c>
      <c r="C552" s="917">
        <v>43125</v>
      </c>
      <c r="D552" s="918">
        <v>1400</v>
      </c>
    </row>
    <row r="553" spans="1:4">
      <c r="A553" s="915" t="s">
        <v>313</v>
      </c>
      <c r="B553" s="916" t="s">
        <v>314</v>
      </c>
      <c r="C553" s="917">
        <v>43125</v>
      </c>
      <c r="D553" s="918">
        <v>2440</v>
      </c>
    </row>
    <row r="554" spans="1:4">
      <c r="A554" s="915" t="s">
        <v>203</v>
      </c>
      <c r="B554" s="916" t="s">
        <v>202</v>
      </c>
      <c r="C554" s="917">
        <v>43125</v>
      </c>
      <c r="D554" s="918">
        <v>2900</v>
      </c>
    </row>
    <row r="555" spans="1:4">
      <c r="A555" s="915" t="s">
        <v>133</v>
      </c>
      <c r="B555" s="916" t="s">
        <v>132</v>
      </c>
      <c r="C555" s="917">
        <v>43125</v>
      </c>
      <c r="D555" s="918">
        <v>2500</v>
      </c>
    </row>
    <row r="556" spans="1:4">
      <c r="A556" s="915" t="s">
        <v>198</v>
      </c>
      <c r="B556" s="916" t="s">
        <v>197</v>
      </c>
      <c r="C556" s="917">
        <v>43125</v>
      </c>
      <c r="D556" s="918">
        <v>1854.13</v>
      </c>
    </row>
    <row r="557" spans="1:4">
      <c r="A557" s="915" t="s">
        <v>228</v>
      </c>
      <c r="B557" s="916" t="s">
        <v>227</v>
      </c>
      <c r="C557" s="917">
        <v>43125</v>
      </c>
      <c r="D557" s="918">
        <v>987</v>
      </c>
    </row>
    <row r="558" spans="1:4">
      <c r="A558" s="915" t="s">
        <v>486</v>
      </c>
      <c r="B558" s="916" t="s">
        <v>487</v>
      </c>
      <c r="C558" s="917">
        <v>43125</v>
      </c>
      <c r="D558" s="918">
        <v>601.25</v>
      </c>
    </row>
    <row r="559" spans="1:4">
      <c r="A559" s="915" t="s">
        <v>623</v>
      </c>
      <c r="B559" s="916" t="s">
        <v>624</v>
      </c>
      <c r="C559" s="917">
        <v>43125</v>
      </c>
      <c r="D559" s="918">
        <v>1374.32</v>
      </c>
    </row>
    <row r="560" spans="1:4">
      <c r="A560" s="915" t="s">
        <v>567</v>
      </c>
      <c r="B560" s="916" t="s">
        <v>415</v>
      </c>
      <c r="C560" s="917">
        <v>43125</v>
      </c>
      <c r="D560" s="918">
        <v>16000</v>
      </c>
    </row>
    <row r="561" spans="1:4">
      <c r="A561" s="915" t="s">
        <v>760</v>
      </c>
      <c r="B561" s="916" t="s">
        <v>415</v>
      </c>
      <c r="C561" s="917">
        <v>43125</v>
      </c>
      <c r="D561" s="918">
        <v>8000</v>
      </c>
    </row>
    <row r="562" spans="1:4">
      <c r="A562" s="915" t="s">
        <v>381</v>
      </c>
      <c r="B562" s="916" t="s">
        <v>250</v>
      </c>
      <c r="C562" s="917">
        <v>43125</v>
      </c>
      <c r="D562" s="918">
        <v>1758.1</v>
      </c>
    </row>
    <row r="563" spans="1:4">
      <c r="A563" s="915" t="s">
        <v>1151</v>
      </c>
      <c r="B563" s="916" t="s">
        <v>1150</v>
      </c>
      <c r="C563" s="917">
        <v>43125</v>
      </c>
      <c r="D563" s="918">
        <v>1225.75</v>
      </c>
    </row>
    <row r="564" spans="1:4">
      <c r="A564" s="915" t="s">
        <v>515</v>
      </c>
      <c r="B564" s="916" t="s">
        <v>481</v>
      </c>
      <c r="C564" s="917">
        <v>43125</v>
      </c>
      <c r="D564" s="918">
        <v>2214.9</v>
      </c>
    </row>
    <row r="565" spans="1:4">
      <c r="A565" s="915" t="s">
        <v>364</v>
      </c>
      <c r="B565" s="916" t="s">
        <v>186</v>
      </c>
      <c r="C565" s="917">
        <v>43125</v>
      </c>
      <c r="D565" s="918">
        <v>750</v>
      </c>
    </row>
    <row r="566" spans="1:4">
      <c r="A566" s="915" t="s">
        <v>900</v>
      </c>
      <c r="B566" s="916" t="s">
        <v>448</v>
      </c>
      <c r="C566" s="917">
        <v>43126</v>
      </c>
      <c r="D566" s="918">
        <v>594.12</v>
      </c>
    </row>
    <row r="567" spans="1:4">
      <c r="A567" s="915" t="s">
        <v>400</v>
      </c>
      <c r="B567" s="916" t="s">
        <v>401</v>
      </c>
      <c r="C567" s="917">
        <v>43126</v>
      </c>
      <c r="D567" s="918">
        <v>2500</v>
      </c>
    </row>
    <row r="568" spans="1:4">
      <c r="A568" s="915" t="s">
        <v>256</v>
      </c>
      <c r="B568" s="916" t="s">
        <v>255</v>
      </c>
      <c r="C568" s="917">
        <v>43126</v>
      </c>
      <c r="D568" s="918">
        <v>1120</v>
      </c>
    </row>
    <row r="569" spans="1:4">
      <c r="A569" s="915" t="s">
        <v>508</v>
      </c>
      <c r="B569" s="916" t="s">
        <v>507</v>
      </c>
      <c r="C569" s="917">
        <v>43126</v>
      </c>
      <c r="D569" s="918">
        <v>1500</v>
      </c>
    </row>
    <row r="570" spans="1:4">
      <c r="A570" s="915" t="s">
        <v>135</v>
      </c>
      <c r="B570" s="916" t="s">
        <v>134</v>
      </c>
      <c r="C570" s="917">
        <v>43126</v>
      </c>
      <c r="D570" s="918">
        <v>1090</v>
      </c>
    </row>
    <row r="571" spans="1:4">
      <c r="A571" s="915" t="s">
        <v>621</v>
      </c>
      <c r="B571" s="916" t="s">
        <v>260</v>
      </c>
      <c r="C571" s="917">
        <v>43126</v>
      </c>
      <c r="D571" s="918">
        <v>316.81</v>
      </c>
    </row>
    <row r="572" spans="1:4">
      <c r="A572" s="915" t="s">
        <v>735</v>
      </c>
      <c r="B572" s="916" t="s">
        <v>622</v>
      </c>
      <c r="C572" s="917">
        <v>43126</v>
      </c>
      <c r="D572" s="918">
        <v>903.94</v>
      </c>
    </row>
    <row r="573" spans="1:4">
      <c r="A573" s="915" t="s">
        <v>1035</v>
      </c>
      <c r="B573" s="916" t="s">
        <v>602</v>
      </c>
      <c r="C573" s="917">
        <v>43126</v>
      </c>
      <c r="D573" s="918">
        <v>1801.83</v>
      </c>
    </row>
    <row r="574" spans="1:4">
      <c r="A574" s="915" t="s">
        <v>939</v>
      </c>
      <c r="B574" s="916" t="s">
        <v>439</v>
      </c>
      <c r="C574" s="917">
        <v>43127</v>
      </c>
      <c r="D574" s="918">
        <v>1500</v>
      </c>
    </row>
    <row r="575" spans="1:4">
      <c r="A575" s="915" t="s">
        <v>517</v>
      </c>
      <c r="B575" s="916" t="s">
        <v>192</v>
      </c>
      <c r="C575" s="917">
        <v>43127</v>
      </c>
      <c r="D575" s="918">
        <v>605.26</v>
      </c>
    </row>
    <row r="576" spans="1:4">
      <c r="A576" s="915" t="s">
        <v>298</v>
      </c>
      <c r="B576" s="916" t="s">
        <v>299</v>
      </c>
      <c r="C576" s="917">
        <v>43127</v>
      </c>
      <c r="D576" s="918">
        <v>1810</v>
      </c>
    </row>
    <row r="577" spans="1:4">
      <c r="A577" s="915" t="s">
        <v>137</v>
      </c>
      <c r="B577" s="916" t="s">
        <v>136</v>
      </c>
      <c r="C577" s="917">
        <v>43127</v>
      </c>
      <c r="D577" s="918">
        <v>15332.43</v>
      </c>
    </row>
    <row r="578" spans="1:4">
      <c r="A578" s="915" t="s">
        <v>746</v>
      </c>
      <c r="B578" s="916" t="s">
        <v>155</v>
      </c>
      <c r="C578" s="917">
        <v>43127</v>
      </c>
      <c r="D578" s="918">
        <v>1270</v>
      </c>
    </row>
    <row r="579" spans="1:4">
      <c r="A579" s="915" t="s">
        <v>139</v>
      </c>
      <c r="B579" s="916" t="s">
        <v>138</v>
      </c>
      <c r="C579" s="917">
        <v>43127</v>
      </c>
      <c r="D579" s="918">
        <v>1658.35</v>
      </c>
    </row>
    <row r="580" spans="1:4">
      <c r="A580" s="915" t="s">
        <v>1061</v>
      </c>
      <c r="B580" s="916" t="s">
        <v>767</v>
      </c>
      <c r="C580" s="917">
        <v>43127</v>
      </c>
      <c r="D580" s="918">
        <v>246.78</v>
      </c>
    </row>
    <row r="581" spans="1:4">
      <c r="A581" s="907" t="s">
        <v>719</v>
      </c>
      <c r="B581" s="908" t="s">
        <v>1177</v>
      </c>
      <c r="C581" s="909">
        <v>43128</v>
      </c>
      <c r="D581" s="910">
        <v>2247.6439999999998</v>
      </c>
    </row>
    <row r="582" spans="1:4">
      <c r="A582" s="915" t="s">
        <v>555</v>
      </c>
      <c r="B582" s="916" t="s">
        <v>205</v>
      </c>
      <c r="C582" s="917">
        <v>43128</v>
      </c>
      <c r="D582" s="918">
        <v>369.53</v>
      </c>
    </row>
    <row r="583" spans="1:4">
      <c r="A583" s="915" t="s">
        <v>215</v>
      </c>
      <c r="B583" s="916" t="s">
        <v>214</v>
      </c>
      <c r="C583" s="917">
        <v>43128</v>
      </c>
      <c r="D583" s="918">
        <v>2284.5</v>
      </c>
    </row>
    <row r="584" spans="1:4">
      <c r="A584" s="915" t="s">
        <v>685</v>
      </c>
      <c r="B584" s="916" t="s">
        <v>684</v>
      </c>
      <c r="C584" s="917">
        <v>43128</v>
      </c>
      <c r="D584" s="918">
        <v>1724.42</v>
      </c>
    </row>
    <row r="585" spans="1:4">
      <c r="A585" s="915" t="s">
        <v>400</v>
      </c>
      <c r="B585" s="916" t="s">
        <v>401</v>
      </c>
      <c r="C585" s="917">
        <v>43128</v>
      </c>
      <c r="D585" s="918">
        <v>1952.79</v>
      </c>
    </row>
    <row r="586" spans="1:4">
      <c r="A586" s="915" t="s">
        <v>311</v>
      </c>
      <c r="B586" s="916" t="s">
        <v>312</v>
      </c>
      <c r="C586" s="917">
        <v>43128</v>
      </c>
      <c r="D586" s="918">
        <v>880</v>
      </c>
    </row>
    <row r="587" spans="1:4">
      <c r="A587" s="915" t="s">
        <v>560</v>
      </c>
      <c r="B587" s="916" t="s">
        <v>230</v>
      </c>
      <c r="C587" s="917">
        <v>43128</v>
      </c>
      <c r="D587" s="918">
        <v>1180.8</v>
      </c>
    </row>
    <row r="588" spans="1:4">
      <c r="A588" s="915" t="s">
        <v>135</v>
      </c>
      <c r="B588" s="916" t="s">
        <v>134</v>
      </c>
      <c r="C588" s="917">
        <v>43128</v>
      </c>
      <c r="D588" s="918">
        <v>1090</v>
      </c>
    </row>
    <row r="589" spans="1:4">
      <c r="A589" s="915" t="s">
        <v>784</v>
      </c>
      <c r="B589" s="916" t="s">
        <v>183</v>
      </c>
      <c r="C589" s="917">
        <v>43128</v>
      </c>
      <c r="D589" s="918">
        <v>174.68</v>
      </c>
    </row>
    <row r="590" spans="1:4">
      <c r="A590" s="915" t="s">
        <v>385</v>
      </c>
      <c r="B590" s="916" t="s">
        <v>235</v>
      </c>
      <c r="C590" s="917">
        <v>43128</v>
      </c>
      <c r="D590" s="918">
        <v>1570.96</v>
      </c>
    </row>
    <row r="591" spans="1:4">
      <c r="A591" s="915" t="s">
        <v>440</v>
      </c>
      <c r="B591" s="916" t="s">
        <v>763</v>
      </c>
      <c r="C591" s="917">
        <v>43128</v>
      </c>
      <c r="D591" s="918">
        <v>758.89</v>
      </c>
    </row>
    <row r="592" spans="1:4">
      <c r="A592" s="907" t="s">
        <v>1309</v>
      </c>
      <c r="B592" s="908" t="s">
        <v>778</v>
      </c>
      <c r="C592" s="909">
        <v>43129</v>
      </c>
      <c r="D592" s="910">
        <v>883.62400000000002</v>
      </c>
    </row>
    <row r="593" spans="1:4">
      <c r="A593" s="907" t="s">
        <v>1225</v>
      </c>
      <c r="B593" s="908" t="s">
        <v>1224</v>
      </c>
      <c r="C593" s="909">
        <v>43129</v>
      </c>
      <c r="D593" s="910">
        <v>1459.787</v>
      </c>
    </row>
    <row r="594" spans="1:4">
      <c r="A594" s="907" t="s">
        <v>900</v>
      </c>
      <c r="B594" s="908" t="s">
        <v>1198</v>
      </c>
      <c r="C594" s="909">
        <v>43129</v>
      </c>
      <c r="D594" s="910">
        <v>819.63599999999997</v>
      </c>
    </row>
    <row r="595" spans="1:4">
      <c r="A595" s="915" t="s">
        <v>163</v>
      </c>
      <c r="B595" s="916" t="s">
        <v>162</v>
      </c>
      <c r="C595" s="917">
        <v>43129</v>
      </c>
      <c r="D595" s="918">
        <v>1500</v>
      </c>
    </row>
    <row r="596" spans="1:4">
      <c r="A596" s="915" t="s">
        <v>270</v>
      </c>
      <c r="B596" s="916" t="s">
        <v>460</v>
      </c>
      <c r="C596" s="917">
        <v>43129</v>
      </c>
      <c r="D596" s="918">
        <v>1912.97</v>
      </c>
    </row>
    <row r="597" spans="1:4">
      <c r="A597" s="915" t="s">
        <v>607</v>
      </c>
      <c r="B597" s="916" t="s">
        <v>608</v>
      </c>
      <c r="C597" s="917">
        <v>43129</v>
      </c>
      <c r="D597" s="918">
        <v>1059.29</v>
      </c>
    </row>
    <row r="598" spans="1:4">
      <c r="A598" s="915" t="s">
        <v>492</v>
      </c>
      <c r="B598" s="916" t="s">
        <v>493</v>
      </c>
      <c r="C598" s="917">
        <v>43129</v>
      </c>
      <c r="D598" s="918">
        <v>456.79</v>
      </c>
    </row>
    <row r="599" spans="1:4">
      <c r="A599" s="915" t="s">
        <v>1068</v>
      </c>
      <c r="B599" s="916" t="s">
        <v>1170</v>
      </c>
      <c r="C599" s="917">
        <v>43129</v>
      </c>
      <c r="D599" s="918">
        <v>720.93</v>
      </c>
    </row>
    <row r="600" spans="1:4">
      <c r="A600" s="915" t="s">
        <v>147</v>
      </c>
      <c r="B600" s="916" t="s">
        <v>146</v>
      </c>
      <c r="C600" s="917">
        <v>43129</v>
      </c>
      <c r="D600" s="918">
        <v>1250</v>
      </c>
    </row>
    <row r="601" spans="1:4">
      <c r="A601" s="915" t="s">
        <v>1043</v>
      </c>
      <c r="B601" s="916" t="s">
        <v>1169</v>
      </c>
      <c r="C601" s="917">
        <v>43129</v>
      </c>
      <c r="D601" s="918">
        <v>1210.6300000000001</v>
      </c>
    </row>
    <row r="602" spans="1:4">
      <c r="A602" s="915" t="s">
        <v>880</v>
      </c>
      <c r="B602" s="916" t="s">
        <v>881</v>
      </c>
      <c r="C602" s="917">
        <v>43129</v>
      </c>
      <c r="D602" s="918">
        <v>711.49</v>
      </c>
    </row>
    <row r="603" spans="1:4">
      <c r="A603" s="915" t="s">
        <v>632</v>
      </c>
      <c r="B603" s="916" t="s">
        <v>466</v>
      </c>
      <c r="C603" s="917">
        <v>43129</v>
      </c>
      <c r="D603" s="918">
        <v>1455.11</v>
      </c>
    </row>
    <row r="604" spans="1:4">
      <c r="A604" s="915" t="s">
        <v>680</v>
      </c>
      <c r="B604" s="916" t="s">
        <v>679</v>
      </c>
      <c r="C604" s="917">
        <v>43129</v>
      </c>
      <c r="D604" s="918">
        <v>729.26</v>
      </c>
    </row>
    <row r="605" spans="1:4">
      <c r="A605" s="915" t="s">
        <v>922</v>
      </c>
      <c r="B605" s="916" t="s">
        <v>528</v>
      </c>
      <c r="C605" s="917">
        <v>43129</v>
      </c>
      <c r="D605" s="918">
        <v>910.03</v>
      </c>
    </row>
    <row r="606" spans="1:4">
      <c r="A606" s="915" t="s">
        <v>445</v>
      </c>
      <c r="B606" s="916" t="s">
        <v>341</v>
      </c>
      <c r="C606" s="917">
        <v>43129</v>
      </c>
      <c r="D606" s="918">
        <v>314.07</v>
      </c>
    </row>
    <row r="607" spans="1:4">
      <c r="A607" s="915" t="s">
        <v>740</v>
      </c>
      <c r="B607" s="916" t="s">
        <v>442</v>
      </c>
      <c r="C607" s="917">
        <v>43129</v>
      </c>
      <c r="D607" s="918">
        <v>1771.18</v>
      </c>
    </row>
    <row r="608" spans="1:4">
      <c r="A608" s="915" t="s">
        <v>744</v>
      </c>
      <c r="B608" s="916" t="s">
        <v>745</v>
      </c>
      <c r="C608" s="917">
        <v>43129</v>
      </c>
      <c r="D608" s="918">
        <v>1999.8</v>
      </c>
    </row>
    <row r="609" spans="1:4">
      <c r="A609" s="915" t="s">
        <v>408</v>
      </c>
      <c r="B609" s="916" t="s">
        <v>204</v>
      </c>
      <c r="C609" s="917">
        <v>43129</v>
      </c>
      <c r="D609" s="918">
        <v>2249.2600000000002</v>
      </c>
    </row>
    <row r="610" spans="1:4">
      <c r="A610" s="907" t="s">
        <v>828</v>
      </c>
      <c r="B610" s="908" t="s">
        <v>829</v>
      </c>
      <c r="C610" s="909">
        <v>43130</v>
      </c>
      <c r="D610" s="910">
        <v>379.06200000000001</v>
      </c>
    </row>
    <row r="611" spans="1:4">
      <c r="A611" s="907" t="s">
        <v>696</v>
      </c>
      <c r="B611" s="908" t="s">
        <v>1327</v>
      </c>
      <c r="C611" s="909">
        <v>43130</v>
      </c>
      <c r="D611" s="910">
        <v>1330.4829999999999</v>
      </c>
    </row>
    <row r="612" spans="1:4">
      <c r="A612" s="907" t="s">
        <v>275</v>
      </c>
      <c r="B612" s="908" t="s">
        <v>1243</v>
      </c>
      <c r="C612" s="909">
        <v>43130</v>
      </c>
      <c r="D612" s="910">
        <v>250</v>
      </c>
    </row>
    <row r="613" spans="1:4">
      <c r="A613" s="907" t="s">
        <v>275</v>
      </c>
      <c r="B613" s="908" t="s">
        <v>1243</v>
      </c>
      <c r="C613" s="909">
        <v>43130</v>
      </c>
      <c r="D613" s="910">
        <v>250</v>
      </c>
    </row>
    <row r="614" spans="1:4">
      <c r="A614" s="907" t="s">
        <v>597</v>
      </c>
      <c r="B614" s="908" t="s">
        <v>572</v>
      </c>
      <c r="C614" s="909">
        <v>43130</v>
      </c>
      <c r="D614" s="910">
        <v>500</v>
      </c>
    </row>
    <row r="615" spans="1:4">
      <c r="A615" s="907" t="s">
        <v>377</v>
      </c>
      <c r="B615" s="908" t="s">
        <v>263</v>
      </c>
      <c r="C615" s="909">
        <v>43130</v>
      </c>
      <c r="D615" s="910">
        <v>905.49699999999996</v>
      </c>
    </row>
    <row r="616" spans="1:4">
      <c r="A616" s="907" t="s">
        <v>1213</v>
      </c>
      <c r="B616" s="908" t="s">
        <v>1212</v>
      </c>
      <c r="C616" s="909">
        <v>43130</v>
      </c>
      <c r="D616" s="910">
        <v>5000</v>
      </c>
    </row>
    <row r="617" spans="1:4">
      <c r="A617" s="907" t="s">
        <v>1137</v>
      </c>
      <c r="B617" s="908" t="s">
        <v>1136</v>
      </c>
      <c r="C617" s="909">
        <v>43130</v>
      </c>
      <c r="D617" s="910">
        <v>314.82799999999997</v>
      </c>
    </row>
    <row r="618" spans="1:4">
      <c r="A618" s="915" t="s">
        <v>1137</v>
      </c>
      <c r="B618" s="916" t="s">
        <v>1136</v>
      </c>
      <c r="C618" s="917">
        <v>43130</v>
      </c>
      <c r="D618" s="918">
        <v>314.83</v>
      </c>
    </row>
    <row r="619" spans="1:4">
      <c r="A619" s="915" t="s">
        <v>939</v>
      </c>
      <c r="B619" s="916" t="s">
        <v>439</v>
      </c>
      <c r="C619" s="917">
        <v>43130</v>
      </c>
      <c r="D619" s="918">
        <v>1500</v>
      </c>
    </row>
    <row r="620" spans="1:4">
      <c r="A620" s="915" t="s">
        <v>899</v>
      </c>
      <c r="B620" s="916" t="s">
        <v>237</v>
      </c>
      <c r="C620" s="917">
        <v>43130</v>
      </c>
      <c r="D620" s="918">
        <v>7746.1</v>
      </c>
    </row>
    <row r="621" spans="1:4">
      <c r="A621" s="915" t="s">
        <v>719</v>
      </c>
      <c r="B621" s="916" t="s">
        <v>774</v>
      </c>
      <c r="C621" s="917">
        <v>43130</v>
      </c>
      <c r="D621" s="918">
        <v>2560.9299999999998</v>
      </c>
    </row>
    <row r="622" spans="1:4">
      <c r="A622" s="915" t="s">
        <v>559</v>
      </c>
      <c r="B622" s="916" t="s">
        <v>558</v>
      </c>
      <c r="C622" s="917">
        <v>43130</v>
      </c>
      <c r="D622" s="918">
        <v>4690.24</v>
      </c>
    </row>
    <row r="623" spans="1:4">
      <c r="A623" s="915" t="s">
        <v>321</v>
      </c>
      <c r="B623" s="916" t="s">
        <v>322</v>
      </c>
      <c r="C623" s="917">
        <v>43130</v>
      </c>
      <c r="D623" s="918">
        <v>5646.34</v>
      </c>
    </row>
    <row r="624" spans="1:4">
      <c r="A624" s="915" t="s">
        <v>411</v>
      </c>
      <c r="B624" s="916" t="s">
        <v>403</v>
      </c>
      <c r="C624" s="917">
        <v>43130</v>
      </c>
      <c r="D624" s="918">
        <v>600</v>
      </c>
    </row>
    <row r="625" spans="1:4">
      <c r="A625" s="915" t="s">
        <v>543</v>
      </c>
      <c r="B625" s="916" t="s">
        <v>542</v>
      </c>
      <c r="C625" s="917">
        <v>43130</v>
      </c>
      <c r="D625" s="918">
        <v>339.31</v>
      </c>
    </row>
    <row r="626" spans="1:4">
      <c r="A626" s="915" t="s">
        <v>727</v>
      </c>
      <c r="B626" s="916" t="s">
        <v>728</v>
      </c>
      <c r="C626" s="917">
        <v>43130</v>
      </c>
      <c r="D626" s="918">
        <v>2129.1799999999998</v>
      </c>
    </row>
    <row r="627" spans="1:4">
      <c r="A627" s="915" t="s">
        <v>201</v>
      </c>
      <c r="B627" s="916" t="s">
        <v>200</v>
      </c>
      <c r="C627" s="917">
        <v>43130</v>
      </c>
      <c r="D627" s="918">
        <v>889.85</v>
      </c>
    </row>
    <row r="628" spans="1:4">
      <c r="A628" s="915" t="s">
        <v>907</v>
      </c>
      <c r="B628" s="916" t="s">
        <v>906</v>
      </c>
      <c r="C628" s="917">
        <v>43130</v>
      </c>
      <c r="D628" s="918">
        <v>350</v>
      </c>
    </row>
    <row r="629" spans="1:4">
      <c r="A629" s="915" t="s">
        <v>400</v>
      </c>
      <c r="B629" s="916" t="s">
        <v>401</v>
      </c>
      <c r="C629" s="917">
        <v>43130</v>
      </c>
      <c r="D629" s="918">
        <v>2808.32</v>
      </c>
    </row>
    <row r="630" spans="1:4">
      <c r="A630" s="915" t="s">
        <v>369</v>
      </c>
      <c r="B630" s="916" t="s">
        <v>370</v>
      </c>
      <c r="C630" s="917">
        <v>43130</v>
      </c>
      <c r="D630" s="918">
        <v>2021.54</v>
      </c>
    </row>
    <row r="631" spans="1:4">
      <c r="A631" s="915" t="s">
        <v>1068</v>
      </c>
      <c r="B631" s="916" t="s">
        <v>1170</v>
      </c>
      <c r="C631" s="917">
        <v>43130</v>
      </c>
      <c r="D631" s="918">
        <v>730.98</v>
      </c>
    </row>
    <row r="632" spans="1:4">
      <c r="A632" s="915" t="s">
        <v>513</v>
      </c>
      <c r="B632" s="916" t="s">
        <v>512</v>
      </c>
      <c r="C632" s="917">
        <v>43130</v>
      </c>
      <c r="D632" s="918">
        <v>14056.27</v>
      </c>
    </row>
    <row r="633" spans="1:4">
      <c r="A633" s="915" t="s">
        <v>313</v>
      </c>
      <c r="B633" s="916" t="s">
        <v>314</v>
      </c>
      <c r="C633" s="917">
        <v>43130</v>
      </c>
      <c r="D633" s="918">
        <v>2440</v>
      </c>
    </row>
    <row r="634" spans="1:4">
      <c r="A634" s="915" t="s">
        <v>957</v>
      </c>
      <c r="B634" s="916" t="s">
        <v>818</v>
      </c>
      <c r="C634" s="917">
        <v>43130</v>
      </c>
      <c r="D634" s="918">
        <v>4142.07</v>
      </c>
    </row>
    <row r="635" spans="1:4">
      <c r="A635" s="915" t="s">
        <v>488</v>
      </c>
      <c r="B635" s="916" t="s">
        <v>489</v>
      </c>
      <c r="C635" s="917">
        <v>43130</v>
      </c>
      <c r="D635" s="918">
        <v>5985.73</v>
      </c>
    </row>
    <row r="636" spans="1:4">
      <c r="A636" s="915" t="s">
        <v>1167</v>
      </c>
      <c r="B636" s="916" t="s">
        <v>777</v>
      </c>
      <c r="C636" s="917">
        <v>43130</v>
      </c>
      <c r="D636" s="918">
        <v>1302.32</v>
      </c>
    </row>
    <row r="637" spans="1:4">
      <c r="A637" s="915" t="s">
        <v>1166</v>
      </c>
      <c r="B637" s="916" t="s">
        <v>259</v>
      </c>
      <c r="C637" s="917">
        <v>43130</v>
      </c>
      <c r="D637" s="918">
        <v>1344.49</v>
      </c>
    </row>
    <row r="638" spans="1:4">
      <c r="A638" s="915" t="s">
        <v>921</v>
      </c>
      <c r="B638" s="916" t="s">
        <v>167</v>
      </c>
      <c r="C638" s="917">
        <v>43130</v>
      </c>
      <c r="D638" s="918">
        <v>1802.51</v>
      </c>
    </row>
    <row r="639" spans="1:4">
      <c r="A639" s="915" t="s">
        <v>950</v>
      </c>
      <c r="B639" s="916" t="s">
        <v>308</v>
      </c>
      <c r="C639" s="917">
        <v>43130</v>
      </c>
      <c r="D639" s="918">
        <v>200</v>
      </c>
    </row>
    <row r="640" spans="1:4">
      <c r="A640" s="915" t="s">
        <v>556</v>
      </c>
      <c r="B640" s="916" t="s">
        <v>329</v>
      </c>
      <c r="C640" s="917">
        <v>43130</v>
      </c>
      <c r="D640" s="918">
        <v>802.87</v>
      </c>
    </row>
    <row r="641" spans="1:4">
      <c r="A641" s="915" t="s">
        <v>625</v>
      </c>
      <c r="B641" s="916" t="s">
        <v>246</v>
      </c>
      <c r="C641" s="917">
        <v>43130</v>
      </c>
      <c r="D641" s="918">
        <v>4217.58</v>
      </c>
    </row>
    <row r="642" spans="1:4">
      <c r="A642" s="915" t="s">
        <v>760</v>
      </c>
      <c r="B642" s="916" t="s">
        <v>415</v>
      </c>
      <c r="C642" s="917">
        <v>43130</v>
      </c>
      <c r="D642" s="918">
        <v>16000</v>
      </c>
    </row>
    <row r="643" spans="1:4">
      <c r="A643" s="915" t="s">
        <v>760</v>
      </c>
      <c r="B643" s="916" t="s">
        <v>415</v>
      </c>
      <c r="C643" s="917">
        <v>43130</v>
      </c>
      <c r="D643" s="918">
        <v>8068.35</v>
      </c>
    </row>
    <row r="644" spans="1:4">
      <c r="A644" s="915" t="s">
        <v>734</v>
      </c>
      <c r="B644" s="916" t="s">
        <v>182</v>
      </c>
      <c r="C644" s="917">
        <v>43130</v>
      </c>
      <c r="D644" s="918">
        <v>910.86</v>
      </c>
    </row>
    <row r="645" spans="1:4">
      <c r="A645" s="915" t="s">
        <v>741</v>
      </c>
      <c r="B645" s="916" t="s">
        <v>153</v>
      </c>
      <c r="C645" s="917">
        <v>43130</v>
      </c>
      <c r="D645" s="918">
        <v>5000</v>
      </c>
    </row>
    <row r="646" spans="1:4">
      <c r="A646" s="915" t="s">
        <v>390</v>
      </c>
      <c r="B646" s="916" t="s">
        <v>153</v>
      </c>
      <c r="C646" s="917">
        <v>43130</v>
      </c>
      <c r="D646" s="918">
        <v>6000</v>
      </c>
    </row>
    <row r="647" spans="1:4">
      <c r="A647" s="915" t="s">
        <v>712</v>
      </c>
      <c r="B647" s="916" t="s">
        <v>764</v>
      </c>
      <c r="C647" s="917">
        <v>43130</v>
      </c>
      <c r="D647" s="918">
        <v>781.97</v>
      </c>
    </row>
    <row r="648" spans="1:4">
      <c r="A648" s="915" t="s">
        <v>759</v>
      </c>
      <c r="B648" s="916" t="s">
        <v>185</v>
      </c>
      <c r="C648" s="917">
        <v>43130</v>
      </c>
      <c r="D648" s="918">
        <v>3119.87</v>
      </c>
    </row>
    <row r="649" spans="1:4">
      <c r="A649" s="915" t="s">
        <v>511</v>
      </c>
      <c r="B649" s="916" t="s">
        <v>281</v>
      </c>
      <c r="C649" s="917">
        <v>43130</v>
      </c>
      <c r="D649" s="918">
        <v>1827.96</v>
      </c>
    </row>
    <row r="650" spans="1:4">
      <c r="A650" s="915" t="s">
        <v>520</v>
      </c>
      <c r="B650" s="916" t="s">
        <v>519</v>
      </c>
      <c r="C650" s="917">
        <v>43130</v>
      </c>
      <c r="D650" s="918">
        <v>2232.66</v>
      </c>
    </row>
    <row r="651" spans="1:4">
      <c r="A651" s="915" t="s">
        <v>561</v>
      </c>
      <c r="B651" s="916" t="s">
        <v>245</v>
      </c>
      <c r="C651" s="917">
        <v>43130</v>
      </c>
      <c r="D651" s="918">
        <v>2124.84</v>
      </c>
    </row>
    <row r="652" spans="1:4">
      <c r="A652" s="915" t="s">
        <v>801</v>
      </c>
      <c r="B652" s="916" t="s">
        <v>802</v>
      </c>
      <c r="C652" s="917">
        <v>43130</v>
      </c>
      <c r="D652" s="918">
        <v>1290.19</v>
      </c>
    </row>
    <row r="653" spans="1:4">
      <c r="A653" s="915" t="s">
        <v>379</v>
      </c>
      <c r="B653" s="916" t="s">
        <v>291</v>
      </c>
      <c r="C653" s="917">
        <v>43130</v>
      </c>
      <c r="D653" s="918">
        <v>3614.27</v>
      </c>
    </row>
    <row r="654" spans="1:4">
      <c r="A654" s="915" t="s">
        <v>372</v>
      </c>
      <c r="B654" s="916" t="s">
        <v>339</v>
      </c>
      <c r="C654" s="917">
        <v>43130</v>
      </c>
      <c r="D654" s="918">
        <v>1251.9000000000001</v>
      </c>
    </row>
    <row r="655" spans="1:4">
      <c r="A655" s="915" t="s">
        <v>135</v>
      </c>
      <c r="B655" s="916" t="s">
        <v>134</v>
      </c>
      <c r="C655" s="917">
        <v>43130</v>
      </c>
      <c r="D655" s="918">
        <v>1090</v>
      </c>
    </row>
    <row r="656" spans="1:4">
      <c r="A656" s="915" t="s">
        <v>713</v>
      </c>
      <c r="B656" s="916" t="s">
        <v>278</v>
      </c>
      <c r="C656" s="917">
        <v>43130</v>
      </c>
      <c r="D656" s="918">
        <v>3177.67</v>
      </c>
    </row>
    <row r="657" spans="1:4">
      <c r="A657" s="915" t="s">
        <v>920</v>
      </c>
      <c r="B657" s="916" t="s">
        <v>726</v>
      </c>
      <c r="C657" s="917">
        <v>43130</v>
      </c>
      <c r="D657" s="918">
        <v>425.32</v>
      </c>
    </row>
    <row r="658" spans="1:4">
      <c r="A658" s="915" t="s">
        <v>919</v>
      </c>
      <c r="B658" s="916" t="s">
        <v>714</v>
      </c>
      <c r="C658" s="917">
        <v>43130</v>
      </c>
      <c r="D658" s="918">
        <v>532.41</v>
      </c>
    </row>
    <row r="659" spans="1:4">
      <c r="A659" s="915" t="s">
        <v>453</v>
      </c>
      <c r="B659" s="916" t="s">
        <v>218</v>
      </c>
      <c r="C659" s="917">
        <v>43130</v>
      </c>
      <c r="D659" s="918">
        <v>962.43</v>
      </c>
    </row>
    <row r="660" spans="1:4">
      <c r="A660" s="915" t="s">
        <v>412</v>
      </c>
      <c r="B660" s="916" t="s">
        <v>219</v>
      </c>
      <c r="C660" s="917">
        <v>43130</v>
      </c>
      <c r="D660" s="918">
        <v>1698.4</v>
      </c>
    </row>
    <row r="661" spans="1:4">
      <c r="A661" s="915" t="s">
        <v>946</v>
      </c>
      <c r="B661" s="916" t="s">
        <v>236</v>
      </c>
      <c r="C661" s="917">
        <v>43130</v>
      </c>
      <c r="D661" s="918">
        <v>1036.79</v>
      </c>
    </row>
    <row r="662" spans="1:4">
      <c r="A662" s="915" t="s">
        <v>635</v>
      </c>
      <c r="B662" s="916" t="s">
        <v>189</v>
      </c>
      <c r="C662" s="917">
        <v>43130</v>
      </c>
      <c r="D662" s="918">
        <v>720</v>
      </c>
    </row>
    <row r="663" spans="1:4">
      <c r="A663" s="915" t="s">
        <v>868</v>
      </c>
      <c r="B663" s="916" t="s">
        <v>766</v>
      </c>
      <c r="C663" s="917">
        <v>43130</v>
      </c>
      <c r="D663" s="918">
        <v>5219.91</v>
      </c>
    </row>
    <row r="664" spans="1:4">
      <c r="A664" s="915" t="s">
        <v>525</v>
      </c>
      <c r="B664" s="916" t="s">
        <v>463</v>
      </c>
      <c r="C664" s="917">
        <v>43130</v>
      </c>
      <c r="D664" s="918">
        <v>1925.68</v>
      </c>
    </row>
    <row r="665" spans="1:4">
      <c r="A665" s="907" t="s">
        <v>780</v>
      </c>
      <c r="B665" s="908" t="s">
        <v>1257</v>
      </c>
      <c r="C665" s="909">
        <v>43131</v>
      </c>
      <c r="D665" s="910">
        <v>11476.462</v>
      </c>
    </row>
    <row r="666" spans="1:4">
      <c r="A666" s="907" t="s">
        <v>1250</v>
      </c>
      <c r="B666" s="908" t="s">
        <v>1249</v>
      </c>
      <c r="C666" s="909">
        <v>43131</v>
      </c>
      <c r="D666" s="910">
        <v>1500</v>
      </c>
    </row>
    <row r="667" spans="1:4">
      <c r="A667" s="907" t="s">
        <v>1254</v>
      </c>
      <c r="B667" s="908" t="s">
        <v>1253</v>
      </c>
      <c r="C667" s="909">
        <v>43131</v>
      </c>
      <c r="D667" s="910">
        <v>298.68599999999998</v>
      </c>
    </row>
    <row r="668" spans="1:4">
      <c r="A668" s="907" t="s">
        <v>718</v>
      </c>
      <c r="B668" s="908" t="s">
        <v>548</v>
      </c>
      <c r="C668" s="909">
        <v>43131</v>
      </c>
      <c r="D668" s="910">
        <v>1288.239</v>
      </c>
    </row>
    <row r="669" spans="1:4">
      <c r="A669" s="907" t="s">
        <v>723</v>
      </c>
      <c r="B669" s="908" t="s">
        <v>1248</v>
      </c>
      <c r="C669" s="909">
        <v>43131</v>
      </c>
      <c r="D669" s="910">
        <v>1500</v>
      </c>
    </row>
    <row r="670" spans="1:4">
      <c r="A670" s="907" t="s">
        <v>692</v>
      </c>
      <c r="B670" s="908" t="s">
        <v>691</v>
      </c>
      <c r="C670" s="909">
        <v>43131</v>
      </c>
      <c r="D670" s="910">
        <v>1141.316</v>
      </c>
    </row>
    <row r="671" spans="1:4">
      <c r="A671" s="907" t="s">
        <v>1215</v>
      </c>
      <c r="B671" s="908" t="s">
        <v>1214</v>
      </c>
      <c r="C671" s="909">
        <v>43131</v>
      </c>
      <c r="D671" s="910">
        <v>4000</v>
      </c>
    </row>
    <row r="672" spans="1:4">
      <c r="A672" s="907" t="s">
        <v>1201</v>
      </c>
      <c r="B672" s="908" t="s">
        <v>1200</v>
      </c>
      <c r="C672" s="909">
        <v>43131</v>
      </c>
      <c r="D672" s="910">
        <v>210.85300000000001</v>
      </c>
    </row>
    <row r="673" spans="1:9">
      <c r="A673" s="907" t="s">
        <v>555</v>
      </c>
      <c r="B673" s="908" t="s">
        <v>1195</v>
      </c>
      <c r="C673" s="909">
        <v>43131</v>
      </c>
      <c r="D673" s="910">
        <v>184.56800000000001</v>
      </c>
    </row>
    <row r="674" spans="1:9">
      <c r="A674" s="907" t="s">
        <v>562</v>
      </c>
      <c r="B674" s="908" t="s">
        <v>563</v>
      </c>
      <c r="C674" s="909">
        <v>43131</v>
      </c>
      <c r="D674" s="910">
        <v>1722.261</v>
      </c>
    </row>
    <row r="675" spans="1:9">
      <c r="A675" s="907" t="s">
        <v>562</v>
      </c>
      <c r="B675" s="908" t="s">
        <v>563</v>
      </c>
      <c r="C675" s="909">
        <v>43131</v>
      </c>
      <c r="D675" s="910">
        <v>1000</v>
      </c>
    </row>
    <row r="676" spans="1:9">
      <c r="A676" s="907" t="s">
        <v>562</v>
      </c>
      <c r="B676" s="908" t="s">
        <v>563</v>
      </c>
      <c r="C676" s="909">
        <v>43131</v>
      </c>
      <c r="D676" s="910">
        <v>908.11599999999999</v>
      </c>
    </row>
    <row r="677" spans="1:9" customFormat="1">
      <c r="A677" s="915" t="s">
        <v>731</v>
      </c>
      <c r="B677" s="916" t="s">
        <v>547</v>
      </c>
      <c r="C677" s="917">
        <v>43131</v>
      </c>
      <c r="D677" s="918">
        <v>1338.54</v>
      </c>
      <c r="F677" s="708"/>
      <c r="G677" s="708"/>
      <c r="H677" s="708"/>
      <c r="I677" s="708"/>
    </row>
    <row r="678" spans="1:9" customFormat="1">
      <c r="A678" s="915" t="s">
        <v>1003</v>
      </c>
      <c r="B678" s="916" t="s">
        <v>690</v>
      </c>
      <c r="C678" s="917">
        <v>43131</v>
      </c>
      <c r="D678" s="918">
        <v>639.47</v>
      </c>
      <c r="F678" s="708"/>
      <c r="G678" s="708"/>
      <c r="H678" s="708"/>
      <c r="I678" s="708"/>
    </row>
    <row r="679" spans="1:9" customFormat="1">
      <c r="A679" s="915" t="s">
        <v>191</v>
      </c>
      <c r="B679" s="916" t="s">
        <v>190</v>
      </c>
      <c r="C679" s="917">
        <v>43131</v>
      </c>
      <c r="D679" s="918">
        <v>4441.3999999999996</v>
      </c>
      <c r="F679" s="708"/>
      <c r="G679" s="708"/>
      <c r="H679" s="708"/>
      <c r="I679" s="708"/>
    </row>
    <row r="680" spans="1:9" customFormat="1">
      <c r="A680" s="915" t="s">
        <v>536</v>
      </c>
      <c r="B680" s="916" t="s">
        <v>194</v>
      </c>
      <c r="C680" s="917">
        <v>43131</v>
      </c>
      <c r="D680" s="918">
        <v>798.89</v>
      </c>
      <c r="F680" s="708"/>
      <c r="G680" s="708"/>
      <c r="H680" s="708"/>
      <c r="I680" s="708"/>
    </row>
    <row r="681" spans="1:9" customFormat="1">
      <c r="A681" s="915" t="s">
        <v>461</v>
      </c>
      <c r="B681" s="916" t="s">
        <v>220</v>
      </c>
      <c r="C681" s="917">
        <v>43131</v>
      </c>
      <c r="D681" s="918">
        <v>6363.95</v>
      </c>
      <c r="F681" s="708"/>
      <c r="G681" s="708"/>
      <c r="H681" s="708"/>
      <c r="I681" s="708"/>
    </row>
    <row r="682" spans="1:9" customFormat="1">
      <c r="A682" s="915" t="s">
        <v>657</v>
      </c>
      <c r="B682" s="916" t="s">
        <v>656</v>
      </c>
      <c r="C682" s="917">
        <v>43131</v>
      </c>
      <c r="D682" s="918">
        <v>1311.53</v>
      </c>
      <c r="F682" s="708"/>
      <c r="G682" s="708"/>
      <c r="H682" s="708"/>
      <c r="I682" s="708"/>
    </row>
    <row r="683" spans="1:9" customFormat="1">
      <c r="A683" s="915" t="s">
        <v>462</v>
      </c>
      <c r="B683" s="916" t="s">
        <v>320</v>
      </c>
      <c r="C683" s="917">
        <v>43131</v>
      </c>
      <c r="D683" s="918">
        <v>441.28</v>
      </c>
      <c r="F683" s="708"/>
      <c r="G683" s="708"/>
      <c r="H683" s="708"/>
      <c r="I683" s="708"/>
    </row>
    <row r="684" spans="1:9" customFormat="1">
      <c r="A684" s="915" t="s">
        <v>179</v>
      </c>
      <c r="B684" s="916" t="s">
        <v>178</v>
      </c>
      <c r="C684" s="917">
        <v>43131</v>
      </c>
      <c r="D684" s="918">
        <v>2595.13</v>
      </c>
      <c r="F684" s="708"/>
      <c r="G684" s="708"/>
      <c r="H684" s="708"/>
      <c r="I684" s="708"/>
    </row>
    <row r="685" spans="1:9" customFormat="1">
      <c r="A685" s="915" t="s">
        <v>665</v>
      </c>
      <c r="B685" s="916" t="s">
        <v>527</v>
      </c>
      <c r="C685" s="917">
        <v>43131</v>
      </c>
      <c r="D685" s="918">
        <v>4196.57</v>
      </c>
      <c r="F685" s="708"/>
      <c r="G685" s="708"/>
      <c r="H685" s="708"/>
      <c r="I685" s="708"/>
    </row>
    <row r="686" spans="1:9" customFormat="1">
      <c r="A686" s="915" t="s">
        <v>409</v>
      </c>
      <c r="B686" s="916" t="s">
        <v>145</v>
      </c>
      <c r="C686" s="917">
        <v>43131</v>
      </c>
      <c r="D686" s="918">
        <v>2135</v>
      </c>
      <c r="F686" s="708"/>
      <c r="G686" s="708"/>
      <c r="H686" s="708"/>
      <c r="I686" s="708"/>
    </row>
    <row r="687" spans="1:9" customFormat="1">
      <c r="A687" s="915" t="s">
        <v>309</v>
      </c>
      <c r="B687" s="916" t="s">
        <v>310</v>
      </c>
      <c r="C687" s="917">
        <v>43131</v>
      </c>
      <c r="D687" s="918">
        <v>2287.81</v>
      </c>
      <c r="F687" s="708"/>
      <c r="G687" s="708"/>
      <c r="H687" s="708"/>
      <c r="I687" s="708"/>
    </row>
    <row r="688" spans="1:9" customFormat="1">
      <c r="A688" s="915" t="s">
        <v>277</v>
      </c>
      <c r="B688" s="916" t="s">
        <v>276</v>
      </c>
      <c r="C688" s="917">
        <v>43131</v>
      </c>
      <c r="D688" s="918">
        <v>883.71</v>
      </c>
      <c r="F688" s="708"/>
      <c r="G688" s="708"/>
      <c r="H688" s="708"/>
      <c r="I688" s="708"/>
    </row>
    <row r="689" spans="1:9" customFormat="1">
      <c r="A689" s="915" t="s">
        <v>711</v>
      </c>
      <c r="B689" s="916" t="s">
        <v>765</v>
      </c>
      <c r="C689" s="917">
        <v>43131</v>
      </c>
      <c r="D689" s="918">
        <v>3500</v>
      </c>
      <c r="F689" s="708"/>
      <c r="G689" s="708"/>
      <c r="H689" s="708"/>
      <c r="I689" s="708"/>
    </row>
    <row r="690" spans="1:9" customFormat="1">
      <c r="A690" s="915" t="s">
        <v>490</v>
      </c>
      <c r="B690" s="916" t="s">
        <v>491</v>
      </c>
      <c r="C690" s="917">
        <v>43131</v>
      </c>
      <c r="D690" s="918">
        <v>2608.0300000000002</v>
      </c>
      <c r="F690" s="708"/>
      <c r="G690" s="708"/>
      <c r="H690" s="708"/>
      <c r="I690" s="708"/>
    </row>
    <row r="691" spans="1:9" customFormat="1">
      <c r="A691" s="915" t="s">
        <v>207</v>
      </c>
      <c r="B691" s="916" t="s">
        <v>206</v>
      </c>
      <c r="C691" s="917">
        <v>43131</v>
      </c>
      <c r="D691" s="918">
        <v>1760.99</v>
      </c>
      <c r="F691" s="708"/>
      <c r="G691" s="708"/>
      <c r="H691" s="708"/>
      <c r="I691" s="708"/>
    </row>
    <row r="692" spans="1:9" customFormat="1">
      <c r="A692" s="915" t="s">
        <v>157</v>
      </c>
      <c r="B692" s="916" t="s">
        <v>156</v>
      </c>
      <c r="C692" s="917">
        <v>43131</v>
      </c>
      <c r="D692" s="918">
        <v>991.45</v>
      </c>
      <c r="F692" s="708"/>
      <c r="G692" s="708"/>
      <c r="H692" s="708"/>
      <c r="I692" s="708"/>
    </row>
    <row r="693" spans="1:9" customFormat="1">
      <c r="A693" s="915" t="s">
        <v>902</v>
      </c>
      <c r="B693" s="916" t="s">
        <v>367</v>
      </c>
      <c r="C693" s="917">
        <v>43131</v>
      </c>
      <c r="D693" s="918">
        <v>673.1</v>
      </c>
      <c r="F693" s="708"/>
      <c r="G693" s="708"/>
      <c r="H693" s="708"/>
      <c r="I693" s="708"/>
    </row>
    <row r="694" spans="1:9" customFormat="1">
      <c r="A694" s="915" t="s">
        <v>599</v>
      </c>
      <c r="B694" s="916" t="s">
        <v>600</v>
      </c>
      <c r="C694" s="917">
        <v>43131</v>
      </c>
      <c r="D694" s="918">
        <v>405.07</v>
      </c>
      <c r="F694" s="708"/>
      <c r="G694" s="708"/>
      <c r="H694" s="708"/>
      <c r="I694" s="708"/>
    </row>
    <row r="695" spans="1:9" customFormat="1">
      <c r="A695" s="915" t="s">
        <v>677</v>
      </c>
      <c r="B695" s="916" t="s">
        <v>676</v>
      </c>
      <c r="C695" s="917">
        <v>43131</v>
      </c>
      <c r="D695" s="918">
        <v>2885.51</v>
      </c>
      <c r="F695" s="708"/>
      <c r="G695" s="708"/>
      <c r="H695" s="708"/>
      <c r="I695" s="708"/>
    </row>
    <row r="696" spans="1:9" customFormat="1">
      <c r="A696" s="915" t="s">
        <v>203</v>
      </c>
      <c r="B696" s="916" t="s">
        <v>202</v>
      </c>
      <c r="C696" s="917">
        <v>43131</v>
      </c>
      <c r="D696" s="918">
        <v>2900</v>
      </c>
      <c r="F696" s="708"/>
      <c r="G696" s="708"/>
      <c r="H696" s="708"/>
      <c r="I696" s="708"/>
    </row>
    <row r="697" spans="1:9" customFormat="1">
      <c r="A697" s="915" t="s">
        <v>642</v>
      </c>
      <c r="B697" s="916" t="s">
        <v>643</v>
      </c>
      <c r="C697" s="917">
        <v>43131</v>
      </c>
      <c r="D697" s="918">
        <v>1373.69</v>
      </c>
      <c r="F697" s="708"/>
      <c r="G697" s="708"/>
      <c r="H697" s="708"/>
      <c r="I697" s="708"/>
    </row>
    <row r="698" spans="1:9" customFormat="1">
      <c r="A698" s="915" t="s">
        <v>133</v>
      </c>
      <c r="B698" s="916" t="s">
        <v>132</v>
      </c>
      <c r="C698" s="917">
        <v>43131</v>
      </c>
      <c r="D698" s="918">
        <v>3003.14</v>
      </c>
      <c r="F698" s="708"/>
      <c r="G698" s="708"/>
      <c r="H698" s="708"/>
      <c r="I698" s="708"/>
    </row>
    <row r="699" spans="1:9" customFormat="1">
      <c r="A699" s="915" t="s">
        <v>224</v>
      </c>
      <c r="B699" s="916" t="s">
        <v>223</v>
      </c>
      <c r="C699" s="917">
        <v>43131</v>
      </c>
      <c r="D699" s="918">
        <v>732.74</v>
      </c>
      <c r="F699" s="708"/>
      <c r="G699" s="708"/>
      <c r="H699" s="708"/>
      <c r="I699" s="708"/>
    </row>
    <row r="700" spans="1:9" customFormat="1">
      <c r="A700" s="915" t="s">
        <v>170</v>
      </c>
      <c r="B700" s="916" t="s">
        <v>169</v>
      </c>
      <c r="C700" s="917">
        <v>43131</v>
      </c>
      <c r="D700" s="918">
        <v>2668.65</v>
      </c>
      <c r="F700" s="708"/>
      <c r="G700" s="708"/>
      <c r="H700" s="708"/>
      <c r="I700" s="708"/>
    </row>
    <row r="701" spans="1:9" customFormat="1">
      <c r="A701" s="915" t="s">
        <v>645</v>
      </c>
      <c r="B701" s="916" t="s">
        <v>646</v>
      </c>
      <c r="C701" s="917">
        <v>43131</v>
      </c>
      <c r="D701" s="918">
        <v>849.77</v>
      </c>
      <c r="F701" s="708"/>
      <c r="G701" s="708"/>
      <c r="H701" s="708"/>
      <c r="I701" s="708"/>
    </row>
    <row r="702" spans="1:9" customFormat="1">
      <c r="A702" s="915" t="s">
        <v>198</v>
      </c>
      <c r="B702" s="916" t="s">
        <v>197</v>
      </c>
      <c r="C702" s="917">
        <v>43131</v>
      </c>
      <c r="D702" s="918">
        <v>1854.13</v>
      </c>
      <c r="F702" s="708"/>
      <c r="G702" s="708"/>
      <c r="H702" s="708"/>
      <c r="I702" s="708"/>
    </row>
    <row r="703" spans="1:9" customFormat="1">
      <c r="A703" s="915" t="s">
        <v>228</v>
      </c>
      <c r="B703" s="916" t="s">
        <v>227</v>
      </c>
      <c r="C703" s="917">
        <v>43131</v>
      </c>
      <c r="D703" s="918">
        <v>987</v>
      </c>
      <c r="F703" s="708"/>
      <c r="G703" s="708"/>
      <c r="H703" s="708"/>
      <c r="I703" s="708"/>
    </row>
    <row r="704" spans="1:9" customFormat="1">
      <c r="A704" s="915" t="s">
        <v>228</v>
      </c>
      <c r="B704" s="916" t="s">
        <v>227</v>
      </c>
      <c r="C704" s="917">
        <v>43131</v>
      </c>
      <c r="D704" s="918">
        <v>648.52</v>
      </c>
      <c r="F704" s="708"/>
      <c r="G704" s="708"/>
      <c r="H704" s="708"/>
      <c r="I704" s="708"/>
    </row>
    <row r="705" spans="1:9" customFormat="1">
      <c r="A705" s="915" t="s">
        <v>172</v>
      </c>
      <c r="B705" s="916" t="s">
        <v>171</v>
      </c>
      <c r="C705" s="917">
        <v>43131</v>
      </c>
      <c r="D705" s="918">
        <v>4000</v>
      </c>
      <c r="F705" s="708"/>
      <c r="G705" s="708"/>
      <c r="H705" s="708"/>
      <c r="I705" s="708"/>
    </row>
    <row r="706" spans="1:9" customFormat="1">
      <c r="A706" s="915" t="s">
        <v>535</v>
      </c>
      <c r="B706" s="916" t="s">
        <v>534</v>
      </c>
      <c r="C706" s="917">
        <v>43131</v>
      </c>
      <c r="D706" s="918">
        <v>4000</v>
      </c>
      <c r="F706" s="708"/>
      <c r="G706" s="708"/>
      <c r="H706" s="708"/>
      <c r="I706" s="708"/>
    </row>
    <row r="707" spans="1:9" customFormat="1">
      <c r="A707" s="915" t="s">
        <v>540</v>
      </c>
      <c r="B707" s="916" t="s">
        <v>539</v>
      </c>
      <c r="C707" s="917">
        <v>43131</v>
      </c>
      <c r="D707" s="918">
        <v>687.45</v>
      </c>
      <c r="F707" s="708"/>
      <c r="G707" s="708"/>
      <c r="H707" s="708"/>
      <c r="I707" s="708"/>
    </row>
    <row r="708" spans="1:9" customFormat="1">
      <c r="A708" s="915" t="s">
        <v>675</v>
      </c>
      <c r="B708" s="916" t="s">
        <v>674</v>
      </c>
      <c r="C708" s="917">
        <v>43131</v>
      </c>
      <c r="D708" s="918">
        <v>1724.1</v>
      </c>
      <c r="F708" s="708"/>
      <c r="G708" s="708"/>
      <c r="H708" s="708"/>
      <c r="I708" s="708"/>
    </row>
    <row r="709" spans="1:9" customFormat="1">
      <c r="A709" s="915" t="s">
        <v>159</v>
      </c>
      <c r="B709" s="916" t="s">
        <v>158</v>
      </c>
      <c r="C709" s="917">
        <v>43131</v>
      </c>
      <c r="D709" s="918">
        <v>741.02</v>
      </c>
      <c r="F709" s="708"/>
      <c r="G709" s="708"/>
      <c r="H709" s="708"/>
      <c r="I709" s="708"/>
    </row>
    <row r="710" spans="1:9" customFormat="1">
      <c r="A710" s="915" t="s">
        <v>212</v>
      </c>
      <c r="B710" s="916" t="s">
        <v>211</v>
      </c>
      <c r="C710" s="917">
        <v>43131</v>
      </c>
      <c r="D710" s="918">
        <v>2049</v>
      </c>
      <c r="F710" s="708"/>
      <c r="G710" s="708"/>
      <c r="H710" s="708"/>
      <c r="I710" s="708"/>
    </row>
    <row r="711" spans="1:9" customFormat="1">
      <c r="A711" s="915" t="s">
        <v>1063</v>
      </c>
      <c r="B711" s="916" t="s">
        <v>1064</v>
      </c>
      <c r="C711" s="917">
        <v>43131</v>
      </c>
      <c r="D711" s="918">
        <v>1513.89</v>
      </c>
      <c r="F711" s="708"/>
      <c r="G711" s="708"/>
      <c r="H711" s="708"/>
      <c r="I711" s="708"/>
    </row>
    <row r="712" spans="1:9" customFormat="1">
      <c r="A712" s="915" t="s">
        <v>508</v>
      </c>
      <c r="B712" s="916" t="s">
        <v>507</v>
      </c>
      <c r="C712" s="917">
        <v>43131</v>
      </c>
      <c r="D712" s="918">
        <v>3176.19</v>
      </c>
      <c r="F712" s="708"/>
      <c r="G712" s="708"/>
      <c r="H712" s="708"/>
      <c r="I712" s="708"/>
    </row>
    <row r="713" spans="1:9" customFormat="1">
      <c r="A713" s="915" t="s">
        <v>883</v>
      </c>
      <c r="B713" s="916" t="s">
        <v>884</v>
      </c>
      <c r="C713" s="917">
        <v>43131</v>
      </c>
      <c r="D713" s="918">
        <v>369.53</v>
      </c>
      <c r="F713" s="708"/>
      <c r="G713" s="708"/>
      <c r="H713" s="708"/>
      <c r="I713" s="708"/>
    </row>
    <row r="714" spans="1:9" customFormat="1">
      <c r="A714" s="915" t="s">
        <v>242</v>
      </c>
      <c r="B714" s="916" t="s">
        <v>241</v>
      </c>
      <c r="C714" s="917">
        <v>43131</v>
      </c>
      <c r="D714" s="918">
        <v>2885.29</v>
      </c>
      <c r="F714" s="708"/>
      <c r="G714" s="708"/>
      <c r="H714" s="708"/>
      <c r="I714" s="708"/>
    </row>
    <row r="715" spans="1:9" customFormat="1">
      <c r="A715" s="915" t="s">
        <v>729</v>
      </c>
      <c r="B715" s="916" t="s">
        <v>730</v>
      </c>
      <c r="C715" s="917">
        <v>43131</v>
      </c>
      <c r="D715" s="918">
        <v>457.84</v>
      </c>
      <c r="F715" s="708"/>
      <c r="G715" s="708"/>
      <c r="H715" s="708"/>
      <c r="I715" s="708"/>
    </row>
    <row r="716" spans="1:9" customFormat="1">
      <c r="A716" s="915" t="s">
        <v>405</v>
      </c>
      <c r="B716" s="916" t="s">
        <v>173</v>
      </c>
      <c r="C716" s="917">
        <v>43131</v>
      </c>
      <c r="D716" s="918">
        <v>836</v>
      </c>
      <c r="F716" s="708"/>
      <c r="G716" s="708"/>
      <c r="H716" s="708"/>
      <c r="I716" s="708"/>
    </row>
    <row r="717" spans="1:9" customFormat="1">
      <c r="A717" s="915" t="s">
        <v>413</v>
      </c>
      <c r="B717" s="916" t="s">
        <v>175</v>
      </c>
      <c r="C717" s="917">
        <v>43131</v>
      </c>
      <c r="D717" s="918">
        <v>7100.21</v>
      </c>
      <c r="F717" s="708"/>
      <c r="G717" s="708"/>
      <c r="H717" s="708"/>
      <c r="I717" s="708"/>
    </row>
    <row r="718" spans="1:9" customFormat="1">
      <c r="A718" s="915" t="s">
        <v>551</v>
      </c>
      <c r="B718" s="916" t="s">
        <v>249</v>
      </c>
      <c r="C718" s="917">
        <v>43131</v>
      </c>
      <c r="D718" s="918">
        <v>451.7</v>
      </c>
      <c r="F718" s="708"/>
      <c r="G718" s="708"/>
      <c r="H718" s="708"/>
      <c r="I718" s="708"/>
    </row>
    <row r="719" spans="1:9" customFormat="1">
      <c r="A719" s="915" t="s">
        <v>550</v>
      </c>
      <c r="B719" s="916" t="s">
        <v>174</v>
      </c>
      <c r="C719" s="917">
        <v>43131</v>
      </c>
      <c r="D719" s="918">
        <v>1689.04</v>
      </c>
      <c r="F719" s="708"/>
      <c r="G719" s="708"/>
      <c r="H719" s="708"/>
      <c r="I719" s="708"/>
    </row>
    <row r="720" spans="1:9" customFormat="1">
      <c r="A720" s="915" t="s">
        <v>800</v>
      </c>
      <c r="B720" s="916" t="s">
        <v>739</v>
      </c>
      <c r="C720" s="917">
        <v>43131</v>
      </c>
      <c r="D720" s="918">
        <v>1249.53</v>
      </c>
      <c r="F720" s="708"/>
      <c r="G720" s="708"/>
      <c r="H720" s="708"/>
      <c r="I720" s="708"/>
    </row>
    <row r="721" spans="1:9" customFormat="1">
      <c r="A721" s="915" t="s">
        <v>796</v>
      </c>
      <c r="B721" s="916" t="s">
        <v>733</v>
      </c>
      <c r="C721" s="917">
        <v>43131</v>
      </c>
      <c r="D721" s="918">
        <v>164.73</v>
      </c>
      <c r="F721" s="708"/>
      <c r="G721" s="708"/>
      <c r="H721" s="708"/>
      <c r="I721" s="708"/>
    </row>
    <row r="722" spans="1:9" customFormat="1">
      <c r="A722" s="915" t="s">
        <v>782</v>
      </c>
      <c r="B722" s="916" t="s">
        <v>783</v>
      </c>
      <c r="C722" s="917">
        <v>43131</v>
      </c>
      <c r="D722" s="918">
        <v>438.81</v>
      </c>
      <c r="F722" s="708"/>
      <c r="G722" s="708"/>
      <c r="H722" s="708"/>
      <c r="I722" s="708"/>
    </row>
    <row r="723" spans="1:9" customFormat="1">
      <c r="A723" s="915" t="s">
        <v>672</v>
      </c>
      <c r="B723" s="916" t="s">
        <v>566</v>
      </c>
      <c r="C723" s="917">
        <v>43131</v>
      </c>
      <c r="D723" s="918">
        <v>1279.68</v>
      </c>
      <c r="F723" s="708"/>
      <c r="G723" s="708"/>
      <c r="H723" s="708"/>
      <c r="I723" s="708"/>
    </row>
    <row r="724" spans="1:9" customFormat="1">
      <c r="A724" s="915" t="s">
        <v>793</v>
      </c>
      <c r="B724" s="916" t="s">
        <v>524</v>
      </c>
      <c r="C724" s="917">
        <v>43131</v>
      </c>
      <c r="D724" s="918">
        <v>2405.92</v>
      </c>
      <c r="F724" s="708"/>
      <c r="G724" s="708"/>
      <c r="H724" s="708"/>
      <c r="I724" s="708"/>
    </row>
    <row r="725" spans="1:9" customFormat="1">
      <c r="A725" s="915" t="s">
        <v>307</v>
      </c>
      <c r="B725" s="916" t="s">
        <v>308</v>
      </c>
      <c r="C725" s="917">
        <v>43131</v>
      </c>
      <c r="D725" s="918">
        <v>736.22</v>
      </c>
      <c r="F725" s="708"/>
      <c r="G725" s="708"/>
      <c r="H725" s="708"/>
      <c r="I725" s="708"/>
    </row>
    <row r="726" spans="1:9" customFormat="1">
      <c r="A726" s="915" t="s">
        <v>506</v>
      </c>
      <c r="B726" s="916" t="s">
        <v>141</v>
      </c>
      <c r="C726" s="917">
        <v>43131</v>
      </c>
      <c r="D726" s="918">
        <v>500</v>
      </c>
      <c r="F726" s="708"/>
      <c r="G726" s="708"/>
      <c r="H726" s="708"/>
      <c r="I726" s="708"/>
    </row>
    <row r="727" spans="1:9" customFormat="1">
      <c r="A727" s="915" t="s">
        <v>874</v>
      </c>
      <c r="B727" s="916" t="s">
        <v>141</v>
      </c>
      <c r="C727" s="917">
        <v>43131</v>
      </c>
      <c r="D727" s="918">
        <v>250</v>
      </c>
      <c r="F727" s="708"/>
      <c r="G727" s="708"/>
      <c r="H727" s="708"/>
      <c r="I727" s="708"/>
    </row>
    <row r="728" spans="1:9" customFormat="1">
      <c r="A728" s="915" t="s">
        <v>471</v>
      </c>
      <c r="B728" s="916" t="s">
        <v>472</v>
      </c>
      <c r="C728" s="917">
        <v>43131</v>
      </c>
      <c r="D728" s="918">
        <v>1150.7</v>
      </c>
      <c r="F728" s="708"/>
      <c r="G728" s="708"/>
      <c r="H728" s="708"/>
      <c r="I728" s="708"/>
    </row>
    <row r="729" spans="1:9" customFormat="1">
      <c r="A729" s="915" t="s">
        <v>832</v>
      </c>
      <c r="B729" s="916" t="s">
        <v>522</v>
      </c>
      <c r="C729" s="917">
        <v>43131</v>
      </c>
      <c r="D729" s="918">
        <v>932.28</v>
      </c>
      <c r="F729" s="708"/>
      <c r="G729" s="708"/>
      <c r="H729" s="708"/>
      <c r="I729" s="708"/>
    </row>
    <row r="730" spans="1:9" customFormat="1">
      <c r="A730" s="915" t="s">
        <v>1157</v>
      </c>
      <c r="B730" s="916" t="s">
        <v>251</v>
      </c>
      <c r="C730" s="917">
        <v>43131</v>
      </c>
      <c r="D730" s="918">
        <v>1752.26</v>
      </c>
      <c r="F730" s="708"/>
      <c r="G730" s="708"/>
      <c r="H730" s="708"/>
      <c r="I730" s="708"/>
    </row>
    <row r="731" spans="1:9" customFormat="1">
      <c r="A731" s="915" t="s">
        <v>918</v>
      </c>
      <c r="B731" s="916" t="s">
        <v>231</v>
      </c>
      <c r="C731" s="917">
        <v>43131</v>
      </c>
      <c r="D731" s="918">
        <v>2007.54</v>
      </c>
      <c r="F731" s="708"/>
      <c r="G731" s="708"/>
      <c r="H731" s="708"/>
      <c r="I731" s="708"/>
    </row>
    <row r="732" spans="1:9" customFormat="1">
      <c r="A732" s="915" t="s">
        <v>209</v>
      </c>
      <c r="B732" s="916" t="s">
        <v>208</v>
      </c>
      <c r="C732" s="917">
        <v>43131</v>
      </c>
      <c r="D732" s="918">
        <v>3467.82</v>
      </c>
      <c r="F732" s="708"/>
      <c r="G732" s="708"/>
      <c r="H732" s="708"/>
      <c r="I732" s="708"/>
    </row>
    <row r="733" spans="1:9" customFormat="1">
      <c r="A733" s="915" t="s">
        <v>374</v>
      </c>
      <c r="B733" s="916" t="s">
        <v>234</v>
      </c>
      <c r="C733" s="917">
        <v>43131</v>
      </c>
      <c r="D733" s="918">
        <v>1121.45</v>
      </c>
      <c r="F733" s="708"/>
      <c r="G733" s="708"/>
      <c r="H733" s="708"/>
      <c r="I733" s="708"/>
    </row>
    <row r="734" spans="1:9" customFormat="1">
      <c r="A734" s="915" t="s">
        <v>689</v>
      </c>
      <c r="B734" s="916" t="s">
        <v>688</v>
      </c>
      <c r="C734" s="917">
        <v>43131</v>
      </c>
      <c r="D734" s="918">
        <v>1293.51</v>
      </c>
      <c r="F734" s="708"/>
      <c r="G734" s="708"/>
      <c r="H734" s="708"/>
      <c r="I734" s="708"/>
    </row>
    <row r="735" spans="1:9" customFormat="1">
      <c r="A735" s="915" t="s">
        <v>1153</v>
      </c>
      <c r="B735" s="916" t="s">
        <v>1152</v>
      </c>
      <c r="C735" s="917">
        <v>43131</v>
      </c>
      <c r="D735" s="918">
        <v>1333.18</v>
      </c>
      <c r="F735" s="708"/>
      <c r="G735" s="708"/>
      <c r="H735" s="708"/>
      <c r="I735" s="708"/>
    </row>
    <row r="736" spans="1:9" customFormat="1">
      <c r="A736" s="915" t="s">
        <v>1149</v>
      </c>
      <c r="B736" s="916" t="s">
        <v>452</v>
      </c>
      <c r="C736" s="917">
        <v>43131</v>
      </c>
      <c r="D736" s="918">
        <v>1293.48</v>
      </c>
      <c r="F736" s="708"/>
      <c r="G736" s="708"/>
      <c r="H736" s="708"/>
      <c r="I736" s="708"/>
    </row>
    <row r="737" spans="1:9" customFormat="1">
      <c r="A737" s="915" t="s">
        <v>830</v>
      </c>
      <c r="B737" s="916" t="s">
        <v>831</v>
      </c>
      <c r="C737" s="917">
        <v>43131</v>
      </c>
      <c r="D737" s="918">
        <v>2968.94</v>
      </c>
      <c r="F737" s="708"/>
      <c r="G737" s="708"/>
      <c r="H737" s="708"/>
      <c r="I737" s="708"/>
    </row>
    <row r="738" spans="1:9" customFormat="1">
      <c r="A738" s="915" t="s">
        <v>1006</v>
      </c>
      <c r="B738" s="916" t="s">
        <v>464</v>
      </c>
      <c r="C738" s="917">
        <v>43131</v>
      </c>
      <c r="D738" s="918">
        <v>1997</v>
      </c>
      <c r="F738" s="708"/>
      <c r="G738" s="708"/>
      <c r="H738" s="708"/>
      <c r="I738" s="708"/>
    </row>
    <row r="739" spans="1:9" customFormat="1">
      <c r="A739" s="915" t="s">
        <v>544</v>
      </c>
      <c r="B739" s="916" t="s">
        <v>465</v>
      </c>
      <c r="C739" s="917">
        <v>43131</v>
      </c>
      <c r="D739" s="918">
        <v>2683.42</v>
      </c>
      <c r="F739" s="708"/>
      <c r="G739" s="708"/>
      <c r="H739" s="708"/>
      <c r="I739" s="708"/>
    </row>
    <row r="740" spans="1:9" customFormat="1">
      <c r="A740" s="915" t="s">
        <v>504</v>
      </c>
      <c r="B740" s="916" t="s">
        <v>184</v>
      </c>
      <c r="C740" s="917">
        <v>43131</v>
      </c>
      <c r="D740" s="918">
        <v>2954</v>
      </c>
      <c r="F740" s="708"/>
      <c r="G740" s="708"/>
      <c r="H740" s="708"/>
      <c r="I740" s="708"/>
    </row>
    <row r="741" spans="1:9" customFormat="1">
      <c r="A741" s="915" t="s">
        <v>634</v>
      </c>
      <c r="B741" s="916" t="s">
        <v>279</v>
      </c>
      <c r="C741" s="917">
        <v>43131</v>
      </c>
      <c r="D741" s="918">
        <v>2507.4</v>
      </c>
      <c r="F741" s="708"/>
      <c r="G741" s="708"/>
      <c r="H741" s="708"/>
      <c r="I741" s="708"/>
    </row>
    <row r="742" spans="1:9" customFormat="1">
      <c r="A742" s="915" t="s">
        <v>533</v>
      </c>
      <c r="B742" s="916" t="s">
        <v>532</v>
      </c>
      <c r="C742" s="917">
        <v>43131</v>
      </c>
      <c r="D742" s="918">
        <v>3000</v>
      </c>
      <c r="F742" s="708"/>
      <c r="G742" s="708"/>
      <c r="H742" s="708"/>
      <c r="I742" s="708"/>
    </row>
    <row r="743" spans="1:9" customFormat="1">
      <c r="A743" s="915" t="s">
        <v>1005</v>
      </c>
      <c r="B743" s="916" t="s">
        <v>232</v>
      </c>
      <c r="C743" s="917">
        <v>43131</v>
      </c>
      <c r="D743" s="918">
        <v>936.76</v>
      </c>
      <c r="F743" s="708"/>
      <c r="G743" s="708"/>
      <c r="H743" s="708"/>
      <c r="I743" s="708"/>
    </row>
    <row r="744" spans="1:9" customFormat="1">
      <c r="A744" s="915" t="s">
        <v>735</v>
      </c>
      <c r="B744" s="916" t="s">
        <v>622</v>
      </c>
      <c r="C744" s="917">
        <v>43131</v>
      </c>
      <c r="D744" s="918">
        <v>1566</v>
      </c>
      <c r="F744" s="708"/>
      <c r="G744" s="708"/>
      <c r="H744" s="708"/>
      <c r="I744" s="708"/>
    </row>
    <row r="745" spans="1:9" customFormat="1">
      <c r="A745" s="915" t="s">
        <v>927</v>
      </c>
      <c r="B745" s="916" t="s">
        <v>247</v>
      </c>
      <c r="C745" s="917">
        <v>43131</v>
      </c>
      <c r="D745" s="918">
        <v>435.45</v>
      </c>
      <c r="F745" s="708"/>
      <c r="G745" s="708"/>
      <c r="H745" s="708"/>
      <c r="I745" s="708"/>
    </row>
    <row r="746" spans="1:9" customFormat="1">
      <c r="A746" s="915" t="s">
        <v>822</v>
      </c>
      <c r="B746" s="916" t="s">
        <v>681</v>
      </c>
      <c r="C746" s="917">
        <v>43131</v>
      </c>
      <c r="D746" s="918">
        <v>356.98</v>
      </c>
      <c r="F746" s="708"/>
      <c r="G746" s="708"/>
      <c r="H746" s="708"/>
      <c r="I746" s="708"/>
    </row>
    <row r="747" spans="1:9" customFormat="1">
      <c r="A747" s="915" t="s">
        <v>406</v>
      </c>
      <c r="B747" s="916" t="s">
        <v>181</v>
      </c>
      <c r="C747" s="917">
        <v>43131</v>
      </c>
      <c r="D747" s="918">
        <v>4002.23</v>
      </c>
      <c r="F747" s="708"/>
      <c r="G747" s="708"/>
      <c r="H747" s="708"/>
      <c r="I747" s="708"/>
    </row>
    <row r="748" spans="1:9" customFormat="1">
      <c r="A748" s="915" t="s">
        <v>640</v>
      </c>
      <c r="B748" s="916" t="s">
        <v>150</v>
      </c>
      <c r="C748" s="917">
        <v>43131</v>
      </c>
      <c r="D748" s="918">
        <v>6787.25</v>
      </c>
      <c r="F748" s="708"/>
      <c r="G748" s="708"/>
      <c r="H748" s="708"/>
      <c r="I748" s="708"/>
    </row>
    <row r="749" spans="1:9" customFormat="1">
      <c r="A749" s="915" t="s">
        <v>1004</v>
      </c>
      <c r="B749" s="916" t="s">
        <v>316</v>
      </c>
      <c r="C749" s="917">
        <v>43131</v>
      </c>
      <c r="D749" s="918">
        <v>967.63</v>
      </c>
      <c r="F749" s="708"/>
      <c r="G749" s="708"/>
      <c r="H749" s="708"/>
      <c r="I749" s="708"/>
    </row>
    <row r="750" spans="1:9" customFormat="1">
      <c r="A750" s="915" t="s">
        <v>494</v>
      </c>
      <c r="B750" s="916" t="s">
        <v>152</v>
      </c>
      <c r="C750" s="917">
        <v>43131</v>
      </c>
      <c r="D750" s="918">
        <v>1497.54</v>
      </c>
      <c r="F750" s="708"/>
      <c r="G750" s="708"/>
      <c r="H750" s="708"/>
      <c r="I750" s="708"/>
    </row>
    <row r="751" spans="1:9" customFormat="1">
      <c r="A751" s="915" t="s">
        <v>455</v>
      </c>
      <c r="B751" s="916" t="s">
        <v>187</v>
      </c>
      <c r="C751" s="917">
        <v>43131</v>
      </c>
      <c r="D751" s="918">
        <v>3000</v>
      </c>
      <c r="F751" s="708"/>
      <c r="G751" s="708"/>
      <c r="H751" s="708"/>
      <c r="I751" s="708"/>
    </row>
    <row r="752" spans="1:9" customFormat="1">
      <c r="A752" s="915" t="s">
        <v>926</v>
      </c>
      <c r="B752" s="916" t="s">
        <v>233</v>
      </c>
      <c r="C752" s="917">
        <v>43131</v>
      </c>
      <c r="D752" s="918">
        <v>2483.85</v>
      </c>
      <c r="F752" s="708"/>
      <c r="G752" s="708"/>
      <c r="H752" s="708"/>
      <c r="I752" s="708"/>
    </row>
    <row r="753" spans="1:9" customFormat="1">
      <c r="A753" s="915" t="s">
        <v>678</v>
      </c>
      <c r="B753" s="916" t="s">
        <v>177</v>
      </c>
      <c r="C753" s="917">
        <v>43131</v>
      </c>
      <c r="D753" s="918">
        <v>1019.79</v>
      </c>
      <c r="F753" s="708"/>
      <c r="G753" s="708"/>
      <c r="H753" s="708"/>
      <c r="I753" s="708"/>
    </row>
    <row r="754" spans="1:9" customFormat="1" ht="15.75" thickBot="1">
      <c r="A754" s="923" t="s">
        <v>882</v>
      </c>
      <c r="B754" s="924" t="s">
        <v>176</v>
      </c>
      <c r="C754" s="925">
        <v>43131</v>
      </c>
      <c r="D754" s="926">
        <v>1268.3699999999999</v>
      </c>
      <c r="F754" s="708"/>
      <c r="G754" s="708"/>
      <c r="H754" s="708"/>
      <c r="I754" s="708"/>
    </row>
    <row r="755" spans="1:9" customFormat="1" ht="15.75" thickBot="1">
      <c r="A755" s="1057" t="s">
        <v>965</v>
      </c>
      <c r="B755" s="1058"/>
      <c r="C755" s="1058"/>
      <c r="D755" s="730">
        <f>SUM(D303:D754)</f>
        <v>892291.88400000031</v>
      </c>
      <c r="F755" s="798"/>
      <c r="G755" s="798"/>
      <c r="H755" s="109"/>
      <c r="I755" s="49"/>
    </row>
    <row r="756" spans="1:9" customFormat="1">
      <c r="A756" s="919" t="s">
        <v>313</v>
      </c>
      <c r="B756" s="920" t="s">
        <v>314</v>
      </c>
      <c r="C756" s="921">
        <v>43132</v>
      </c>
      <c r="D756" s="922">
        <v>2500</v>
      </c>
      <c r="F756" s="708"/>
      <c r="G756" s="708"/>
      <c r="H756" s="708"/>
      <c r="I756" s="708"/>
    </row>
    <row r="757" spans="1:9" customFormat="1">
      <c r="A757" s="915" t="s">
        <v>616</v>
      </c>
      <c r="B757" s="916" t="s">
        <v>617</v>
      </c>
      <c r="C757" s="917">
        <v>43132</v>
      </c>
      <c r="D757" s="918">
        <v>2729.84</v>
      </c>
      <c r="F757" s="708"/>
      <c r="G757" s="708"/>
      <c r="H757" s="708"/>
      <c r="I757" s="708"/>
    </row>
    <row r="758" spans="1:9" customFormat="1">
      <c r="A758" s="915" t="s">
        <v>833</v>
      </c>
      <c r="B758" s="916" t="s">
        <v>479</v>
      </c>
      <c r="C758" s="917">
        <v>43132</v>
      </c>
      <c r="D758" s="918">
        <v>3507.13</v>
      </c>
      <c r="F758" s="708"/>
      <c r="G758" s="708"/>
      <c r="H758" s="708"/>
      <c r="I758" s="708"/>
    </row>
    <row r="759" spans="1:9" customFormat="1">
      <c r="A759" s="915" t="s">
        <v>799</v>
      </c>
      <c r="B759" s="916" t="s">
        <v>292</v>
      </c>
      <c r="C759" s="917">
        <v>43132</v>
      </c>
      <c r="D759" s="918">
        <v>1242.45</v>
      </c>
      <c r="F759" s="708"/>
      <c r="G759" s="708"/>
      <c r="H759" s="708"/>
      <c r="I759" s="708"/>
    </row>
    <row r="760" spans="1:9" customFormat="1">
      <c r="A760" s="915" t="s">
        <v>364</v>
      </c>
      <c r="B760" s="916" t="s">
        <v>186</v>
      </c>
      <c r="C760" s="917">
        <v>43132</v>
      </c>
      <c r="D760" s="918">
        <v>1000</v>
      </c>
      <c r="F760" s="708"/>
      <c r="G760" s="708"/>
      <c r="H760" s="708"/>
      <c r="I760" s="708"/>
    </row>
    <row r="761" spans="1:9" customFormat="1">
      <c r="A761" s="915" t="s">
        <v>161</v>
      </c>
      <c r="B761" s="916" t="s">
        <v>160</v>
      </c>
      <c r="C761" s="917">
        <v>43133</v>
      </c>
      <c r="D761" s="918">
        <v>3000</v>
      </c>
      <c r="F761" s="708"/>
      <c r="G761" s="708"/>
      <c r="H761" s="708"/>
      <c r="I761" s="708"/>
    </row>
    <row r="762" spans="1:9" customFormat="1">
      <c r="A762" s="915" t="s">
        <v>700</v>
      </c>
      <c r="B762" s="916" t="s">
        <v>699</v>
      </c>
      <c r="C762" s="917">
        <v>43133</v>
      </c>
      <c r="D762" s="918">
        <v>4000</v>
      </c>
      <c r="F762" s="708"/>
      <c r="G762" s="708"/>
      <c r="H762" s="708"/>
      <c r="I762" s="708"/>
    </row>
    <row r="763" spans="1:9" customFormat="1">
      <c r="A763" s="907" t="s">
        <v>535</v>
      </c>
      <c r="B763" s="908" t="s">
        <v>1330</v>
      </c>
      <c r="C763" s="909">
        <v>43134</v>
      </c>
      <c r="D763" s="910">
        <v>4000</v>
      </c>
      <c r="F763" s="708"/>
      <c r="G763" s="708"/>
      <c r="H763" s="708"/>
      <c r="I763" s="708"/>
    </row>
    <row r="764" spans="1:9" customFormat="1">
      <c r="A764" s="915" t="s">
        <v>298</v>
      </c>
      <c r="B764" s="916" t="s">
        <v>299</v>
      </c>
      <c r="C764" s="917">
        <v>43134</v>
      </c>
      <c r="D764" s="918">
        <v>1370</v>
      </c>
      <c r="F764" s="708"/>
      <c r="G764" s="708"/>
      <c r="H764" s="708"/>
      <c r="I764" s="708"/>
    </row>
    <row r="765" spans="1:9" customFormat="1">
      <c r="A765" s="915" t="s">
        <v>560</v>
      </c>
      <c r="B765" s="916" t="s">
        <v>230</v>
      </c>
      <c r="C765" s="917">
        <v>43135</v>
      </c>
      <c r="D765" s="918">
        <v>1180.9000000000001</v>
      </c>
      <c r="F765" s="708"/>
      <c r="G765" s="708"/>
      <c r="H765" s="708"/>
      <c r="I765" s="708"/>
    </row>
    <row r="766" spans="1:9" customFormat="1">
      <c r="A766" s="915" t="s">
        <v>506</v>
      </c>
      <c r="B766" s="916" t="s">
        <v>141</v>
      </c>
      <c r="C766" s="917">
        <v>43135</v>
      </c>
      <c r="D766" s="918">
        <v>500</v>
      </c>
      <c r="F766" s="708"/>
      <c r="G766" s="708"/>
      <c r="H766" s="708"/>
      <c r="I766" s="708"/>
    </row>
    <row r="767" spans="1:9" customFormat="1">
      <c r="A767" s="907" t="s">
        <v>554</v>
      </c>
      <c r="B767" s="908" t="s">
        <v>1223</v>
      </c>
      <c r="C767" s="909">
        <v>43136</v>
      </c>
      <c r="D767" s="910">
        <v>2885.482</v>
      </c>
      <c r="F767" s="708"/>
      <c r="G767" s="708"/>
      <c r="H767" s="708"/>
      <c r="I767" s="708"/>
    </row>
    <row r="768" spans="1:9" customFormat="1">
      <c r="A768" s="907" t="s">
        <v>1197</v>
      </c>
      <c r="B768" s="908" t="s">
        <v>1196</v>
      </c>
      <c r="C768" s="909">
        <v>43136</v>
      </c>
      <c r="D768" s="910">
        <v>6047.5630000000001</v>
      </c>
      <c r="F768" s="708"/>
      <c r="G768" s="708"/>
      <c r="H768" s="708"/>
      <c r="I768" s="708"/>
    </row>
    <row r="769" spans="1:9" customFormat="1">
      <c r="A769" s="915" t="s">
        <v>163</v>
      </c>
      <c r="B769" s="916" t="s">
        <v>162</v>
      </c>
      <c r="C769" s="917">
        <v>43136</v>
      </c>
      <c r="D769" s="918">
        <v>2000</v>
      </c>
      <c r="F769" s="708"/>
      <c r="G769" s="708"/>
      <c r="H769" s="708"/>
      <c r="I769" s="708"/>
    </row>
    <row r="770" spans="1:9" customFormat="1">
      <c r="A770" s="915" t="s">
        <v>944</v>
      </c>
      <c r="B770" s="916" t="s">
        <v>942</v>
      </c>
      <c r="C770" s="917">
        <v>43136</v>
      </c>
      <c r="D770" s="918">
        <v>885.14</v>
      </c>
      <c r="F770" s="708"/>
      <c r="G770" s="708"/>
      <c r="H770" s="708"/>
      <c r="I770" s="708"/>
    </row>
    <row r="771" spans="1:9" customFormat="1">
      <c r="A771" s="915" t="s">
        <v>797</v>
      </c>
      <c r="B771" s="916" t="s">
        <v>266</v>
      </c>
      <c r="C771" s="917">
        <v>43136</v>
      </c>
      <c r="D771" s="918">
        <v>976.44</v>
      </c>
      <c r="F771" s="708"/>
      <c r="G771" s="708"/>
      <c r="H771" s="708"/>
      <c r="I771" s="708"/>
    </row>
    <row r="772" spans="1:9" customFormat="1">
      <c r="A772" s="915" t="s">
        <v>636</v>
      </c>
      <c r="B772" s="916" t="s">
        <v>637</v>
      </c>
      <c r="C772" s="917">
        <v>43136</v>
      </c>
      <c r="D772" s="918">
        <v>1300</v>
      </c>
      <c r="F772" s="708"/>
      <c r="G772" s="708"/>
      <c r="H772" s="708"/>
      <c r="I772" s="708"/>
    </row>
    <row r="773" spans="1:9" customFormat="1">
      <c r="A773" s="915" t="s">
        <v>723</v>
      </c>
      <c r="B773" s="916" t="s">
        <v>238</v>
      </c>
      <c r="C773" s="917">
        <v>43136</v>
      </c>
      <c r="D773" s="918">
        <v>900</v>
      </c>
      <c r="F773" s="708"/>
      <c r="G773" s="708"/>
      <c r="H773" s="708"/>
      <c r="I773" s="708"/>
    </row>
    <row r="774" spans="1:9" customFormat="1">
      <c r="A774" s="915" t="s">
        <v>313</v>
      </c>
      <c r="B774" s="916" t="s">
        <v>314</v>
      </c>
      <c r="C774" s="917">
        <v>43136</v>
      </c>
      <c r="D774" s="918">
        <v>2500</v>
      </c>
      <c r="F774" s="708"/>
      <c r="G774" s="708"/>
      <c r="H774" s="708"/>
      <c r="I774" s="708"/>
    </row>
    <row r="775" spans="1:9" customFormat="1">
      <c r="A775" s="915" t="s">
        <v>147</v>
      </c>
      <c r="B775" s="916" t="s">
        <v>146</v>
      </c>
      <c r="C775" s="917">
        <v>43136</v>
      </c>
      <c r="D775" s="918">
        <v>1250</v>
      </c>
      <c r="F775" s="708"/>
      <c r="G775" s="708"/>
      <c r="H775" s="708"/>
      <c r="I775" s="708"/>
    </row>
    <row r="776" spans="1:9" customFormat="1">
      <c r="A776" s="915" t="s">
        <v>256</v>
      </c>
      <c r="B776" s="916" t="s">
        <v>255</v>
      </c>
      <c r="C776" s="917">
        <v>43136</v>
      </c>
      <c r="D776" s="918">
        <v>1119.92</v>
      </c>
      <c r="F776" s="708"/>
      <c r="G776" s="708"/>
      <c r="H776" s="708"/>
      <c r="I776" s="708"/>
    </row>
    <row r="777" spans="1:9" customFormat="1">
      <c r="A777" s="915" t="s">
        <v>1066</v>
      </c>
      <c r="B777" s="916" t="s">
        <v>1168</v>
      </c>
      <c r="C777" s="917">
        <v>43136</v>
      </c>
      <c r="D777" s="918">
        <v>1570.69</v>
      </c>
      <c r="F777" s="708"/>
      <c r="G777" s="708"/>
      <c r="H777" s="708"/>
      <c r="I777" s="708"/>
    </row>
    <row r="778" spans="1:9" customFormat="1">
      <c r="A778" s="915" t="s">
        <v>917</v>
      </c>
      <c r="B778" s="916" t="s">
        <v>342</v>
      </c>
      <c r="C778" s="917">
        <v>43136</v>
      </c>
      <c r="D778" s="918">
        <v>4543.08</v>
      </c>
      <c r="F778" s="708"/>
      <c r="G778" s="708"/>
      <c r="H778" s="708"/>
      <c r="I778" s="708"/>
    </row>
    <row r="779" spans="1:9" customFormat="1">
      <c r="A779" s="915" t="s">
        <v>217</v>
      </c>
      <c r="B779" s="916" t="s">
        <v>216</v>
      </c>
      <c r="C779" s="917">
        <v>43136</v>
      </c>
      <c r="D779" s="918">
        <v>985.64</v>
      </c>
      <c r="F779" s="708"/>
      <c r="G779" s="708"/>
      <c r="H779" s="708"/>
      <c r="I779" s="708"/>
    </row>
    <row r="780" spans="1:9" customFormat="1">
      <c r="A780" s="915" t="s">
        <v>885</v>
      </c>
      <c r="B780" s="916" t="s">
        <v>166</v>
      </c>
      <c r="C780" s="917">
        <v>43136</v>
      </c>
      <c r="D780" s="918">
        <v>501.81</v>
      </c>
      <c r="F780" s="708"/>
      <c r="G780" s="708"/>
      <c r="H780" s="708"/>
      <c r="I780" s="708"/>
    </row>
    <row r="781" spans="1:9" customFormat="1">
      <c r="A781" s="915" t="s">
        <v>518</v>
      </c>
      <c r="B781" s="916" t="s">
        <v>166</v>
      </c>
      <c r="C781" s="917">
        <v>43136</v>
      </c>
      <c r="D781" s="918">
        <v>501.81</v>
      </c>
      <c r="F781" s="708"/>
      <c r="G781" s="708"/>
      <c r="H781" s="708"/>
      <c r="I781" s="708"/>
    </row>
    <row r="782" spans="1:9" customFormat="1">
      <c r="A782" s="915" t="s">
        <v>876</v>
      </c>
      <c r="B782" s="916" t="s">
        <v>168</v>
      </c>
      <c r="C782" s="917">
        <v>43136</v>
      </c>
      <c r="D782" s="918">
        <v>701.1</v>
      </c>
      <c r="F782" s="708"/>
      <c r="G782" s="708"/>
      <c r="H782" s="708"/>
      <c r="I782" s="708"/>
    </row>
    <row r="783" spans="1:9" customFormat="1">
      <c r="A783" s="915" t="s">
        <v>139</v>
      </c>
      <c r="B783" s="916" t="s">
        <v>138</v>
      </c>
      <c r="C783" s="917">
        <v>43136</v>
      </c>
      <c r="D783" s="918">
        <v>1500</v>
      </c>
      <c r="F783" s="708"/>
      <c r="G783" s="708"/>
      <c r="H783" s="708"/>
      <c r="I783" s="708"/>
    </row>
    <row r="784" spans="1:9" customFormat="1">
      <c r="A784" s="915" t="s">
        <v>477</v>
      </c>
      <c r="B784" s="916" t="s">
        <v>199</v>
      </c>
      <c r="C784" s="917">
        <v>43136</v>
      </c>
      <c r="D784" s="918">
        <v>2753.91</v>
      </c>
      <c r="F784" s="708"/>
      <c r="G784" s="708"/>
      <c r="H784" s="708"/>
      <c r="I784" s="708"/>
    </row>
    <row r="785" spans="1:9" customFormat="1">
      <c r="A785" s="915" t="s">
        <v>515</v>
      </c>
      <c r="B785" s="916" t="s">
        <v>481</v>
      </c>
      <c r="C785" s="917">
        <v>43136</v>
      </c>
      <c r="D785" s="918">
        <v>1627.49</v>
      </c>
      <c r="F785" s="708"/>
      <c r="G785" s="708"/>
      <c r="H785" s="708"/>
      <c r="I785" s="708"/>
    </row>
    <row r="786" spans="1:9" customFormat="1">
      <c r="A786" s="915" t="s">
        <v>456</v>
      </c>
      <c r="B786" s="916" t="s">
        <v>417</v>
      </c>
      <c r="C786" s="917">
        <v>43137</v>
      </c>
      <c r="D786" s="918">
        <v>669.37</v>
      </c>
      <c r="F786" s="708"/>
      <c r="G786" s="708"/>
      <c r="H786" s="708"/>
      <c r="I786" s="708"/>
    </row>
    <row r="787" spans="1:9" customFormat="1">
      <c r="A787" s="915" t="s">
        <v>635</v>
      </c>
      <c r="B787" s="916" t="s">
        <v>189</v>
      </c>
      <c r="C787" s="917">
        <v>43137</v>
      </c>
      <c r="D787" s="918">
        <v>725</v>
      </c>
      <c r="F787" s="708"/>
      <c r="G787" s="708"/>
      <c r="H787" s="708"/>
      <c r="I787" s="708"/>
    </row>
    <row r="788" spans="1:9" customFormat="1">
      <c r="A788" s="915" t="s">
        <v>474</v>
      </c>
      <c r="B788" s="916" t="s">
        <v>180</v>
      </c>
      <c r="C788" s="917">
        <v>43138</v>
      </c>
      <c r="D788" s="918">
        <v>779</v>
      </c>
      <c r="F788" s="708"/>
      <c r="G788" s="708"/>
      <c r="H788" s="708"/>
      <c r="I788" s="708"/>
    </row>
    <row r="789" spans="1:9" customFormat="1">
      <c r="A789" s="915" t="s">
        <v>537</v>
      </c>
      <c r="B789" s="916" t="s">
        <v>271</v>
      </c>
      <c r="C789" s="917">
        <v>43138</v>
      </c>
      <c r="D789" s="918">
        <v>3879.46</v>
      </c>
      <c r="F789" s="708"/>
      <c r="G789" s="708"/>
      <c r="H789" s="708"/>
      <c r="I789" s="708"/>
    </row>
    <row r="790" spans="1:9" customFormat="1">
      <c r="A790" s="915" t="s">
        <v>939</v>
      </c>
      <c r="B790" s="916" t="s">
        <v>439</v>
      </c>
      <c r="C790" s="917">
        <v>43138</v>
      </c>
      <c r="D790" s="918">
        <v>1500</v>
      </c>
      <c r="F790" s="708"/>
      <c r="G790" s="708"/>
      <c r="H790" s="708"/>
      <c r="I790" s="708"/>
    </row>
    <row r="791" spans="1:9" customFormat="1">
      <c r="A791" s="915" t="s">
        <v>256</v>
      </c>
      <c r="B791" s="916" t="s">
        <v>255</v>
      </c>
      <c r="C791" s="917">
        <v>43138</v>
      </c>
      <c r="D791" s="918">
        <v>630</v>
      </c>
      <c r="F791" s="708"/>
      <c r="G791" s="708"/>
      <c r="H791" s="708"/>
      <c r="I791" s="708"/>
    </row>
    <row r="792" spans="1:9" customFormat="1">
      <c r="A792" s="915" t="s">
        <v>683</v>
      </c>
      <c r="B792" s="916" t="s">
        <v>268</v>
      </c>
      <c r="C792" s="917">
        <v>43138</v>
      </c>
      <c r="D792" s="918">
        <v>1226.3499999999999</v>
      </c>
      <c r="F792" s="708"/>
      <c r="G792" s="708"/>
      <c r="H792" s="708"/>
      <c r="I792" s="708"/>
    </row>
    <row r="793" spans="1:9" customFormat="1">
      <c r="A793" s="915" t="s">
        <v>799</v>
      </c>
      <c r="B793" s="916" t="s">
        <v>292</v>
      </c>
      <c r="C793" s="917">
        <v>43138</v>
      </c>
      <c r="D793" s="918">
        <v>1242.45</v>
      </c>
      <c r="F793" s="708"/>
      <c r="G793" s="708"/>
      <c r="H793" s="708"/>
      <c r="I793" s="708"/>
    </row>
    <row r="794" spans="1:9" customFormat="1">
      <c r="A794" s="915" t="s">
        <v>375</v>
      </c>
      <c r="B794" s="916" t="s">
        <v>376</v>
      </c>
      <c r="C794" s="917">
        <v>43139</v>
      </c>
      <c r="D794" s="918">
        <v>1448.19</v>
      </c>
      <c r="F794" s="708"/>
      <c r="G794" s="708"/>
      <c r="H794" s="708"/>
      <c r="I794" s="708"/>
    </row>
    <row r="795" spans="1:9" customFormat="1">
      <c r="A795" s="915" t="s">
        <v>899</v>
      </c>
      <c r="B795" s="916" t="s">
        <v>237</v>
      </c>
      <c r="C795" s="917">
        <v>43139</v>
      </c>
      <c r="D795" s="918">
        <v>3000</v>
      </c>
      <c r="F795" s="708"/>
      <c r="G795" s="708"/>
      <c r="H795" s="708"/>
      <c r="I795" s="708"/>
    </row>
    <row r="796" spans="1:9" customFormat="1">
      <c r="A796" s="915" t="s">
        <v>506</v>
      </c>
      <c r="B796" s="916" t="s">
        <v>141</v>
      </c>
      <c r="C796" s="917">
        <v>43139</v>
      </c>
      <c r="D796" s="918">
        <v>700</v>
      </c>
      <c r="F796" s="708"/>
      <c r="G796" s="708"/>
      <c r="H796" s="708"/>
      <c r="I796" s="708"/>
    </row>
    <row r="797" spans="1:9" customFormat="1">
      <c r="A797" s="915" t="s">
        <v>492</v>
      </c>
      <c r="B797" s="916" t="s">
        <v>493</v>
      </c>
      <c r="C797" s="917">
        <v>43140</v>
      </c>
      <c r="D797" s="918">
        <v>1500</v>
      </c>
      <c r="F797" s="708"/>
      <c r="G797" s="708"/>
      <c r="H797" s="708"/>
      <c r="I797" s="708"/>
    </row>
    <row r="798" spans="1:9" customFormat="1">
      <c r="A798" s="915" t="s">
        <v>311</v>
      </c>
      <c r="B798" s="916" t="s">
        <v>312</v>
      </c>
      <c r="C798" s="917">
        <v>43140</v>
      </c>
      <c r="D798" s="918">
        <v>880</v>
      </c>
      <c r="F798" s="708"/>
      <c r="G798" s="708"/>
      <c r="H798" s="708"/>
      <c r="I798" s="708"/>
    </row>
    <row r="799" spans="1:9" customFormat="1">
      <c r="A799" s="915" t="s">
        <v>382</v>
      </c>
      <c r="B799" s="916" t="s">
        <v>168</v>
      </c>
      <c r="C799" s="917">
        <v>43140</v>
      </c>
      <c r="D799" s="918">
        <v>948.77</v>
      </c>
      <c r="F799" s="708"/>
      <c r="G799" s="708"/>
      <c r="H799" s="708"/>
      <c r="I799" s="708"/>
    </row>
    <row r="800" spans="1:9" customFormat="1">
      <c r="A800" s="907" t="s">
        <v>1326</v>
      </c>
      <c r="B800" s="908" t="s">
        <v>1325</v>
      </c>
      <c r="C800" s="909">
        <v>43141</v>
      </c>
      <c r="D800" s="910">
        <v>1000</v>
      </c>
      <c r="F800" s="708"/>
      <c r="G800" s="708"/>
      <c r="H800" s="708"/>
      <c r="I800" s="708"/>
    </row>
    <row r="801" spans="1:9" customFormat="1">
      <c r="A801" s="907" t="s">
        <v>604</v>
      </c>
      <c r="B801" s="908" t="s">
        <v>1307</v>
      </c>
      <c r="C801" s="909">
        <v>43141</v>
      </c>
      <c r="D801" s="910">
        <v>3963.489</v>
      </c>
      <c r="F801" s="708"/>
      <c r="G801" s="708"/>
      <c r="H801" s="708"/>
      <c r="I801" s="708"/>
    </row>
    <row r="802" spans="1:9" customFormat="1">
      <c r="A802" s="907" t="s">
        <v>475</v>
      </c>
      <c r="B802" s="908" t="s">
        <v>476</v>
      </c>
      <c r="C802" s="909">
        <v>43141</v>
      </c>
      <c r="D802" s="910">
        <v>903.37400000000002</v>
      </c>
      <c r="F802" s="708"/>
      <c r="G802" s="708"/>
      <c r="H802" s="708"/>
      <c r="I802" s="708"/>
    </row>
    <row r="803" spans="1:9" customFormat="1">
      <c r="A803" s="907" t="s">
        <v>597</v>
      </c>
      <c r="B803" s="908" t="s">
        <v>572</v>
      </c>
      <c r="C803" s="909">
        <v>43141</v>
      </c>
      <c r="D803" s="910">
        <v>2500</v>
      </c>
      <c r="F803" s="708"/>
      <c r="G803" s="708"/>
      <c r="H803" s="708"/>
      <c r="I803" s="708"/>
    </row>
    <row r="804" spans="1:9" customFormat="1">
      <c r="A804" s="907" t="s">
        <v>440</v>
      </c>
      <c r="B804" s="908" t="s">
        <v>1220</v>
      </c>
      <c r="C804" s="909">
        <v>43141</v>
      </c>
      <c r="D804" s="910">
        <v>1331.1759999999999</v>
      </c>
      <c r="F804" s="708"/>
      <c r="G804" s="708"/>
      <c r="H804" s="708"/>
      <c r="I804" s="708"/>
    </row>
    <row r="805" spans="1:9" customFormat="1">
      <c r="A805" s="907" t="s">
        <v>440</v>
      </c>
      <c r="B805" s="908" t="s">
        <v>1220</v>
      </c>
      <c r="C805" s="909">
        <v>43141</v>
      </c>
      <c r="D805" s="910">
        <v>1000</v>
      </c>
      <c r="F805" s="708"/>
      <c r="G805" s="708"/>
      <c r="H805" s="708"/>
      <c r="I805" s="708"/>
    </row>
    <row r="806" spans="1:9" customFormat="1">
      <c r="A806" s="915" t="s">
        <v>536</v>
      </c>
      <c r="B806" s="916" t="s">
        <v>194</v>
      </c>
      <c r="C806" s="917">
        <v>43141</v>
      </c>
      <c r="D806" s="918">
        <v>700</v>
      </c>
      <c r="F806" s="708"/>
      <c r="G806" s="708"/>
      <c r="H806" s="708"/>
      <c r="I806" s="708"/>
    </row>
    <row r="807" spans="1:9" customFormat="1">
      <c r="A807" s="915" t="s">
        <v>898</v>
      </c>
      <c r="B807" s="916" t="s">
        <v>897</v>
      </c>
      <c r="C807" s="917">
        <v>43141</v>
      </c>
      <c r="D807" s="918">
        <v>3947.32</v>
      </c>
      <c r="F807" s="708"/>
      <c r="G807" s="708"/>
      <c r="H807" s="708"/>
      <c r="I807" s="708"/>
    </row>
    <row r="808" spans="1:9" customFormat="1">
      <c r="A808" s="915" t="s">
        <v>757</v>
      </c>
      <c r="B808" s="916" t="s">
        <v>758</v>
      </c>
      <c r="C808" s="917">
        <v>43141</v>
      </c>
      <c r="D808" s="918">
        <v>2931.57</v>
      </c>
      <c r="F808" s="708"/>
      <c r="G808" s="708"/>
      <c r="H808" s="708"/>
      <c r="I808" s="708"/>
    </row>
    <row r="809" spans="1:9" customFormat="1">
      <c r="A809" s="915" t="s">
        <v>531</v>
      </c>
      <c r="B809" s="916" t="s">
        <v>530</v>
      </c>
      <c r="C809" s="917">
        <v>43141</v>
      </c>
      <c r="D809" s="918">
        <v>2164</v>
      </c>
      <c r="F809" s="708"/>
      <c r="G809" s="708"/>
      <c r="H809" s="708"/>
      <c r="I809" s="708"/>
    </row>
    <row r="810" spans="1:9" customFormat="1">
      <c r="A810" s="915" t="s">
        <v>313</v>
      </c>
      <c r="B810" s="916" t="s">
        <v>314</v>
      </c>
      <c r="C810" s="917">
        <v>43141</v>
      </c>
      <c r="D810" s="918">
        <v>2500</v>
      </c>
      <c r="F810" s="708"/>
      <c r="G810" s="708"/>
      <c r="H810" s="708"/>
      <c r="I810" s="708"/>
    </row>
    <row r="811" spans="1:9" customFormat="1">
      <c r="A811" s="915" t="s">
        <v>203</v>
      </c>
      <c r="B811" s="916" t="s">
        <v>202</v>
      </c>
      <c r="C811" s="917">
        <v>43141</v>
      </c>
      <c r="D811" s="918">
        <v>2900</v>
      </c>
      <c r="F811" s="708"/>
      <c r="G811" s="708"/>
      <c r="H811" s="708"/>
      <c r="I811" s="708"/>
    </row>
    <row r="812" spans="1:9" customFormat="1">
      <c r="A812" s="915" t="s">
        <v>165</v>
      </c>
      <c r="B812" s="916" t="s">
        <v>164</v>
      </c>
      <c r="C812" s="917">
        <v>43141</v>
      </c>
      <c r="D812" s="918">
        <v>10815.16</v>
      </c>
      <c r="F812" s="708"/>
      <c r="G812" s="708"/>
      <c r="H812" s="708"/>
      <c r="I812" s="708"/>
    </row>
    <row r="813" spans="1:9" customFormat="1">
      <c r="A813" s="915" t="s">
        <v>228</v>
      </c>
      <c r="B813" s="916" t="s">
        <v>227</v>
      </c>
      <c r="C813" s="917">
        <v>43141</v>
      </c>
      <c r="D813" s="918">
        <v>987</v>
      </c>
      <c r="F813" s="708"/>
      <c r="G813" s="708"/>
      <c r="H813" s="708"/>
      <c r="I813" s="708"/>
    </row>
    <row r="814" spans="1:9" customFormat="1">
      <c r="A814" s="915" t="s">
        <v>1043</v>
      </c>
      <c r="B814" s="916" t="s">
        <v>1169</v>
      </c>
      <c r="C814" s="917">
        <v>43141</v>
      </c>
      <c r="D814" s="918">
        <v>1260</v>
      </c>
      <c r="F814" s="708"/>
      <c r="G814" s="708"/>
      <c r="H814" s="708"/>
      <c r="I814" s="708"/>
    </row>
    <row r="815" spans="1:9" customFormat="1">
      <c r="A815" s="915" t="s">
        <v>222</v>
      </c>
      <c r="B815" s="916" t="s">
        <v>221</v>
      </c>
      <c r="C815" s="917">
        <v>43141</v>
      </c>
      <c r="D815" s="918">
        <v>1722.47</v>
      </c>
      <c r="F815" s="708"/>
      <c r="G815" s="708"/>
      <c r="H815" s="708"/>
      <c r="I815" s="708"/>
    </row>
    <row r="816" spans="1:9" customFormat="1">
      <c r="A816" s="915" t="s">
        <v>262</v>
      </c>
      <c r="B816" s="916" t="s">
        <v>261</v>
      </c>
      <c r="C816" s="917">
        <v>43141</v>
      </c>
      <c r="D816" s="918">
        <v>5125.0200000000004</v>
      </c>
      <c r="F816" s="708"/>
      <c r="G816" s="708"/>
      <c r="H816" s="708"/>
      <c r="I816" s="708"/>
    </row>
    <row r="817" spans="1:9" customFormat="1">
      <c r="A817" s="915" t="s">
        <v>159</v>
      </c>
      <c r="B817" s="916" t="s">
        <v>158</v>
      </c>
      <c r="C817" s="917">
        <v>43141</v>
      </c>
      <c r="D817" s="918">
        <v>1000</v>
      </c>
      <c r="F817" s="708"/>
      <c r="G817" s="708"/>
      <c r="H817" s="708"/>
      <c r="I817" s="708"/>
    </row>
    <row r="818" spans="1:9" customFormat="1">
      <c r="A818" s="915" t="s">
        <v>196</v>
      </c>
      <c r="B818" s="916" t="s">
        <v>195</v>
      </c>
      <c r="C818" s="917">
        <v>43141</v>
      </c>
      <c r="D818" s="918">
        <v>480.18</v>
      </c>
      <c r="F818" s="708"/>
      <c r="G818" s="708"/>
      <c r="H818" s="708"/>
      <c r="I818" s="708"/>
    </row>
    <row r="819" spans="1:9" customFormat="1">
      <c r="A819" s="915" t="s">
        <v>337</v>
      </c>
      <c r="B819" s="916" t="s">
        <v>336</v>
      </c>
      <c r="C819" s="917">
        <v>43141</v>
      </c>
      <c r="D819" s="918">
        <v>2088.73</v>
      </c>
      <c r="F819" s="708"/>
      <c r="G819" s="708"/>
      <c r="H819" s="708"/>
      <c r="I819" s="708"/>
    </row>
    <row r="820" spans="1:9" customFormat="1">
      <c r="A820" s="915" t="s">
        <v>560</v>
      </c>
      <c r="B820" s="916" t="s">
        <v>230</v>
      </c>
      <c r="C820" s="917">
        <v>43141</v>
      </c>
      <c r="D820" s="918">
        <v>1175.52</v>
      </c>
      <c r="F820" s="708"/>
      <c r="G820" s="708"/>
      <c r="H820" s="708"/>
      <c r="I820" s="708"/>
    </row>
    <row r="821" spans="1:9" customFormat="1">
      <c r="A821" s="915" t="s">
        <v>373</v>
      </c>
      <c r="B821" s="916" t="s">
        <v>280</v>
      </c>
      <c r="C821" s="917">
        <v>43141</v>
      </c>
      <c r="D821" s="918">
        <v>2733.62</v>
      </c>
      <c r="F821" s="708"/>
      <c r="G821" s="708"/>
      <c r="H821" s="708"/>
      <c r="I821" s="708"/>
    </row>
    <row r="822" spans="1:9" customFormat="1">
      <c r="A822" s="915" t="s">
        <v>478</v>
      </c>
      <c r="B822" s="916" t="s">
        <v>479</v>
      </c>
      <c r="C822" s="917">
        <v>43141</v>
      </c>
      <c r="D822" s="918">
        <v>1595.49</v>
      </c>
      <c r="F822" s="708"/>
      <c r="G822" s="708"/>
      <c r="H822" s="708"/>
      <c r="I822" s="708"/>
    </row>
    <row r="823" spans="1:9" customFormat="1">
      <c r="A823" s="915" t="s">
        <v>916</v>
      </c>
      <c r="B823" s="916" t="s">
        <v>264</v>
      </c>
      <c r="C823" s="917">
        <v>43141</v>
      </c>
      <c r="D823" s="918">
        <v>1543.44</v>
      </c>
      <c r="F823" s="708"/>
      <c r="G823" s="708"/>
      <c r="H823" s="708"/>
      <c r="I823" s="708"/>
    </row>
    <row r="824" spans="1:9" customFormat="1">
      <c r="A824" s="915" t="s">
        <v>477</v>
      </c>
      <c r="B824" s="916" t="s">
        <v>199</v>
      </c>
      <c r="C824" s="917">
        <v>43141</v>
      </c>
      <c r="D824" s="918">
        <v>995.06</v>
      </c>
      <c r="F824" s="708"/>
      <c r="G824" s="708"/>
      <c r="H824" s="708"/>
      <c r="I824" s="708"/>
    </row>
    <row r="825" spans="1:9" customFormat="1">
      <c r="A825" s="915" t="s">
        <v>569</v>
      </c>
      <c r="B825" s="916" t="s">
        <v>186</v>
      </c>
      <c r="C825" s="917">
        <v>43141</v>
      </c>
      <c r="D825" s="918">
        <v>500</v>
      </c>
      <c r="F825" s="708"/>
      <c r="G825" s="708"/>
      <c r="H825" s="708"/>
      <c r="I825" s="708"/>
    </row>
    <row r="826" spans="1:9" customFormat="1">
      <c r="A826" s="915" t="s">
        <v>915</v>
      </c>
      <c r="B826" s="916" t="s">
        <v>468</v>
      </c>
      <c r="C826" s="917">
        <v>43141</v>
      </c>
      <c r="D826" s="918">
        <v>1419.88</v>
      </c>
      <c r="F826" s="708"/>
      <c r="G826" s="708"/>
      <c r="H826" s="708"/>
      <c r="I826" s="708"/>
    </row>
    <row r="827" spans="1:9" customFormat="1">
      <c r="A827" s="915" t="s">
        <v>1141</v>
      </c>
      <c r="B827" s="916" t="s">
        <v>601</v>
      </c>
      <c r="C827" s="917">
        <v>43141</v>
      </c>
      <c r="D827" s="918">
        <v>13470.8</v>
      </c>
      <c r="F827" s="708"/>
      <c r="G827" s="708"/>
      <c r="H827" s="708"/>
      <c r="I827" s="708"/>
    </row>
    <row r="828" spans="1:9" customFormat="1">
      <c r="A828" s="915" t="s">
        <v>414</v>
      </c>
      <c r="B828" s="916" t="s">
        <v>378</v>
      </c>
      <c r="C828" s="917">
        <v>43141</v>
      </c>
      <c r="D828" s="918">
        <v>3426.99</v>
      </c>
      <c r="F828" s="708"/>
      <c r="G828" s="708"/>
      <c r="H828" s="708"/>
      <c r="I828" s="708"/>
    </row>
    <row r="829" spans="1:9" customFormat="1">
      <c r="A829" s="915" t="s">
        <v>441</v>
      </c>
      <c r="B829" s="916" t="s">
        <v>416</v>
      </c>
      <c r="C829" s="917">
        <v>43141</v>
      </c>
      <c r="D829" s="918">
        <v>519.19000000000005</v>
      </c>
      <c r="F829" s="708"/>
      <c r="G829" s="708"/>
      <c r="H829" s="708"/>
      <c r="I829" s="708"/>
    </row>
    <row r="830" spans="1:9" customFormat="1">
      <c r="A830" s="907" t="s">
        <v>900</v>
      </c>
      <c r="B830" s="908" t="s">
        <v>1198</v>
      </c>
      <c r="C830" s="909">
        <v>43142</v>
      </c>
      <c r="D830" s="910">
        <v>819.63599999999997</v>
      </c>
      <c r="F830" s="708"/>
      <c r="G830" s="708"/>
      <c r="H830" s="708"/>
      <c r="I830" s="708"/>
    </row>
    <row r="831" spans="1:9" customFormat="1">
      <c r="A831" s="915" t="s">
        <v>737</v>
      </c>
      <c r="B831" s="916" t="s">
        <v>389</v>
      </c>
      <c r="C831" s="917">
        <v>43142</v>
      </c>
      <c r="D831" s="918">
        <v>1084.4000000000001</v>
      </c>
      <c r="F831" s="708"/>
      <c r="G831" s="708"/>
      <c r="H831" s="708"/>
      <c r="I831" s="708"/>
    </row>
    <row r="832" spans="1:9" customFormat="1">
      <c r="A832" s="915" t="s">
        <v>515</v>
      </c>
      <c r="B832" s="916" t="s">
        <v>481</v>
      </c>
      <c r="C832" s="917">
        <v>43142</v>
      </c>
      <c r="D832" s="918">
        <v>2000</v>
      </c>
      <c r="F832" s="708"/>
      <c r="G832" s="708"/>
      <c r="H832" s="708"/>
      <c r="I832" s="708"/>
    </row>
    <row r="833" spans="1:9" customFormat="1">
      <c r="A833" s="907" t="s">
        <v>939</v>
      </c>
      <c r="B833" s="908" t="s">
        <v>1203</v>
      </c>
      <c r="C833" s="909">
        <v>43143</v>
      </c>
      <c r="D833" s="910">
        <v>1500</v>
      </c>
      <c r="F833" s="708"/>
      <c r="G833" s="708"/>
      <c r="H833" s="708"/>
      <c r="I833" s="708"/>
    </row>
    <row r="834" spans="1:9" customFormat="1">
      <c r="A834" s="915" t="s">
        <v>658</v>
      </c>
      <c r="B834" s="916" t="s">
        <v>162</v>
      </c>
      <c r="C834" s="917">
        <v>43143</v>
      </c>
      <c r="D834" s="918">
        <v>1500</v>
      </c>
      <c r="F834" s="708"/>
      <c r="G834" s="708"/>
      <c r="H834" s="708"/>
      <c r="I834" s="708"/>
    </row>
    <row r="835" spans="1:9" customFormat="1">
      <c r="A835" s="915" t="s">
        <v>270</v>
      </c>
      <c r="B835" s="916" t="s">
        <v>460</v>
      </c>
      <c r="C835" s="917">
        <v>43143</v>
      </c>
      <c r="D835" s="918">
        <v>1500</v>
      </c>
      <c r="F835" s="708"/>
      <c r="G835" s="708"/>
      <c r="H835" s="708"/>
      <c r="I835" s="708"/>
    </row>
    <row r="836" spans="1:9" customFormat="1">
      <c r="A836" s="915" t="s">
        <v>924</v>
      </c>
      <c r="B836" s="916" t="s">
        <v>923</v>
      </c>
      <c r="C836" s="917">
        <v>43143</v>
      </c>
      <c r="D836" s="918">
        <v>1007.34</v>
      </c>
      <c r="F836" s="708"/>
      <c r="G836" s="708"/>
      <c r="H836" s="708"/>
      <c r="I836" s="708"/>
    </row>
    <row r="837" spans="1:9" customFormat="1">
      <c r="A837" s="915" t="s">
        <v>139</v>
      </c>
      <c r="B837" s="916" t="s">
        <v>138</v>
      </c>
      <c r="C837" s="917">
        <v>43143</v>
      </c>
      <c r="D837" s="918">
        <v>1500</v>
      </c>
      <c r="F837" s="708"/>
      <c r="G837" s="708"/>
      <c r="H837" s="708"/>
      <c r="I837" s="708"/>
    </row>
    <row r="838" spans="1:9" customFormat="1">
      <c r="A838" s="915" t="s">
        <v>533</v>
      </c>
      <c r="B838" s="916" t="s">
        <v>532</v>
      </c>
      <c r="C838" s="917">
        <v>43143</v>
      </c>
      <c r="D838" s="918">
        <v>3262.53</v>
      </c>
      <c r="F838" s="708"/>
      <c r="G838" s="708"/>
      <c r="H838" s="708"/>
      <c r="I838" s="708"/>
    </row>
    <row r="839" spans="1:9" customFormat="1">
      <c r="A839" s="915" t="s">
        <v>635</v>
      </c>
      <c r="B839" s="916" t="s">
        <v>189</v>
      </c>
      <c r="C839" s="917">
        <v>43143</v>
      </c>
      <c r="D839" s="918">
        <v>730</v>
      </c>
      <c r="F839" s="708"/>
      <c r="G839" s="708"/>
      <c r="H839" s="708"/>
      <c r="I839" s="708"/>
    </row>
    <row r="840" spans="1:9" customFormat="1">
      <c r="A840" s="915" t="s">
        <v>799</v>
      </c>
      <c r="B840" s="916" t="s">
        <v>292</v>
      </c>
      <c r="C840" s="917">
        <v>43144</v>
      </c>
      <c r="D840" s="918">
        <v>1359.65</v>
      </c>
      <c r="F840" s="708"/>
      <c r="G840" s="708"/>
      <c r="H840" s="708"/>
      <c r="I840" s="708"/>
    </row>
    <row r="841" spans="1:9" customFormat="1">
      <c r="A841" s="915" t="s">
        <v>711</v>
      </c>
      <c r="B841" s="916" t="s">
        <v>765</v>
      </c>
      <c r="C841" s="917">
        <v>43145</v>
      </c>
      <c r="D841" s="918">
        <v>3000</v>
      </c>
      <c r="F841" s="708"/>
      <c r="G841" s="708"/>
      <c r="H841" s="708"/>
      <c r="I841" s="708"/>
    </row>
    <row r="842" spans="1:9" customFormat="1">
      <c r="A842" s="915" t="s">
        <v>387</v>
      </c>
      <c r="B842" s="916" t="s">
        <v>154</v>
      </c>
      <c r="C842" s="917">
        <v>43145</v>
      </c>
      <c r="D842" s="918">
        <v>2300</v>
      </c>
      <c r="F842" s="708"/>
      <c r="G842" s="708"/>
      <c r="H842" s="708"/>
      <c r="I842" s="708"/>
    </row>
    <row r="843" spans="1:9" customFormat="1">
      <c r="A843" s="907" t="s">
        <v>1336</v>
      </c>
      <c r="B843" s="908" t="s">
        <v>1335</v>
      </c>
      <c r="C843" s="909">
        <v>43146</v>
      </c>
      <c r="D843" s="910">
        <v>3000</v>
      </c>
      <c r="F843" s="708"/>
      <c r="G843" s="708"/>
      <c r="H843" s="708"/>
      <c r="I843" s="708"/>
    </row>
    <row r="844" spans="1:9" customFormat="1">
      <c r="A844" s="907" t="s">
        <v>1302</v>
      </c>
      <c r="B844" s="908" t="s">
        <v>1301</v>
      </c>
      <c r="C844" s="909">
        <v>43146</v>
      </c>
      <c r="D844" s="910">
        <v>1989.3779999999999</v>
      </c>
      <c r="F844" s="708"/>
      <c r="G844" s="708"/>
      <c r="H844" s="708"/>
      <c r="I844" s="708"/>
    </row>
    <row r="845" spans="1:9" customFormat="1">
      <c r="A845" s="907" t="s">
        <v>254</v>
      </c>
      <c r="B845" s="908" t="s">
        <v>1193</v>
      </c>
      <c r="C845" s="909">
        <v>43146</v>
      </c>
      <c r="D845" s="910">
        <v>693.65899999999999</v>
      </c>
      <c r="F845" s="708"/>
      <c r="G845" s="708"/>
      <c r="H845" s="708"/>
      <c r="I845" s="708"/>
    </row>
    <row r="846" spans="1:9" customFormat="1">
      <c r="A846" s="907" t="s">
        <v>215</v>
      </c>
      <c r="B846" s="908" t="s">
        <v>214</v>
      </c>
      <c r="C846" s="909">
        <v>43146</v>
      </c>
      <c r="D846" s="910">
        <v>2573.9929999999999</v>
      </c>
      <c r="F846" s="708"/>
      <c r="G846" s="708"/>
      <c r="H846" s="708"/>
      <c r="I846" s="708"/>
    </row>
    <row r="847" spans="1:9" customFormat="1">
      <c r="A847" s="915" t="s">
        <v>474</v>
      </c>
      <c r="B847" s="916" t="s">
        <v>180</v>
      </c>
      <c r="C847" s="917">
        <v>43146</v>
      </c>
      <c r="D847" s="918">
        <v>779</v>
      </c>
      <c r="F847" s="708"/>
      <c r="G847" s="708"/>
      <c r="H847" s="708"/>
      <c r="I847" s="708"/>
    </row>
    <row r="848" spans="1:9" customFormat="1">
      <c r="A848" s="915" t="s">
        <v>789</v>
      </c>
      <c r="B848" s="916" t="s">
        <v>190</v>
      </c>
      <c r="C848" s="917">
        <v>43146</v>
      </c>
      <c r="D848" s="918">
        <v>4000</v>
      </c>
      <c r="F848" s="708"/>
      <c r="G848" s="708"/>
      <c r="H848" s="708"/>
      <c r="I848" s="708"/>
    </row>
    <row r="849" spans="1:9" customFormat="1">
      <c r="A849" s="915" t="s">
        <v>277</v>
      </c>
      <c r="B849" s="916" t="s">
        <v>276</v>
      </c>
      <c r="C849" s="917">
        <v>43146</v>
      </c>
      <c r="D849" s="918">
        <v>904.95</v>
      </c>
      <c r="F849" s="708"/>
      <c r="G849" s="708"/>
      <c r="H849" s="708"/>
      <c r="I849" s="708"/>
    </row>
    <row r="850" spans="1:9" customFormat="1">
      <c r="A850" s="915" t="s">
        <v>543</v>
      </c>
      <c r="B850" s="916" t="s">
        <v>542</v>
      </c>
      <c r="C850" s="917">
        <v>43146</v>
      </c>
      <c r="D850" s="918">
        <v>350</v>
      </c>
      <c r="F850" s="708"/>
      <c r="G850" s="708"/>
      <c r="H850" s="708"/>
      <c r="I850" s="708"/>
    </row>
    <row r="851" spans="1:9" customFormat="1">
      <c r="A851" s="915" t="s">
        <v>772</v>
      </c>
      <c r="B851" s="916" t="s">
        <v>773</v>
      </c>
      <c r="C851" s="917">
        <v>43146</v>
      </c>
      <c r="D851" s="918">
        <v>606.36</v>
      </c>
      <c r="F851" s="708"/>
      <c r="G851" s="708"/>
      <c r="H851" s="708"/>
      <c r="I851" s="708"/>
    </row>
    <row r="852" spans="1:9" customFormat="1">
      <c r="A852" s="915" t="s">
        <v>905</v>
      </c>
      <c r="B852" s="916" t="s">
        <v>904</v>
      </c>
      <c r="C852" s="917">
        <v>43146</v>
      </c>
      <c r="D852" s="918">
        <v>1400</v>
      </c>
      <c r="F852" s="708"/>
      <c r="G852" s="708"/>
      <c r="H852" s="708"/>
      <c r="I852" s="708"/>
    </row>
    <row r="853" spans="1:9" customFormat="1">
      <c r="A853" s="915" t="s">
        <v>697</v>
      </c>
      <c r="B853" s="916" t="s">
        <v>541</v>
      </c>
      <c r="C853" s="917">
        <v>43146</v>
      </c>
      <c r="D853" s="918">
        <v>1750</v>
      </c>
      <c r="F853" s="708"/>
      <c r="G853" s="708"/>
      <c r="H853" s="708"/>
      <c r="I853" s="708"/>
    </row>
    <row r="854" spans="1:9" customFormat="1">
      <c r="A854" s="915" t="s">
        <v>313</v>
      </c>
      <c r="B854" s="916" t="s">
        <v>314</v>
      </c>
      <c r="C854" s="917">
        <v>43146</v>
      </c>
      <c r="D854" s="918">
        <v>2500</v>
      </c>
      <c r="F854" s="708"/>
      <c r="G854" s="708"/>
      <c r="H854" s="708"/>
      <c r="I854" s="708"/>
    </row>
    <row r="855" spans="1:9" customFormat="1">
      <c r="A855" s="915" t="s">
        <v>147</v>
      </c>
      <c r="B855" s="916" t="s">
        <v>146</v>
      </c>
      <c r="C855" s="917">
        <v>43146</v>
      </c>
      <c r="D855" s="918">
        <v>1329.27</v>
      </c>
      <c r="F855" s="708"/>
      <c r="G855" s="708"/>
      <c r="H855" s="708"/>
      <c r="I855" s="708"/>
    </row>
    <row r="856" spans="1:9" customFormat="1">
      <c r="A856" s="915" t="s">
        <v>228</v>
      </c>
      <c r="B856" s="916" t="s">
        <v>227</v>
      </c>
      <c r="C856" s="917">
        <v>43146</v>
      </c>
      <c r="D856" s="918">
        <v>987</v>
      </c>
      <c r="F856" s="708"/>
      <c r="G856" s="708"/>
      <c r="H856" s="708"/>
      <c r="I856" s="708"/>
    </row>
    <row r="857" spans="1:9" customFormat="1">
      <c r="A857" s="915" t="s">
        <v>482</v>
      </c>
      <c r="B857" s="916" t="s">
        <v>483</v>
      </c>
      <c r="C857" s="917">
        <v>43146</v>
      </c>
      <c r="D857" s="918">
        <v>1300</v>
      </c>
      <c r="F857" s="708"/>
      <c r="G857" s="708"/>
      <c r="H857" s="708"/>
      <c r="I857" s="708"/>
    </row>
    <row r="858" spans="1:9" customFormat="1">
      <c r="A858" s="915" t="s">
        <v>212</v>
      </c>
      <c r="B858" s="916" t="s">
        <v>211</v>
      </c>
      <c r="C858" s="917">
        <v>43146</v>
      </c>
      <c r="D858" s="918">
        <v>2049</v>
      </c>
      <c r="F858" s="708"/>
      <c r="G858" s="708"/>
      <c r="H858" s="708"/>
      <c r="I858" s="708"/>
    </row>
    <row r="859" spans="1:9" customFormat="1">
      <c r="A859" s="915" t="s">
        <v>307</v>
      </c>
      <c r="B859" s="916" t="s">
        <v>308</v>
      </c>
      <c r="C859" s="917">
        <v>43146</v>
      </c>
      <c r="D859" s="918">
        <v>500</v>
      </c>
      <c r="F859" s="708"/>
      <c r="G859" s="708"/>
      <c r="H859" s="708"/>
      <c r="I859" s="708"/>
    </row>
    <row r="860" spans="1:9" customFormat="1">
      <c r="A860" s="915" t="s">
        <v>741</v>
      </c>
      <c r="B860" s="916" t="s">
        <v>153</v>
      </c>
      <c r="C860" s="917">
        <v>43146</v>
      </c>
      <c r="D860" s="918">
        <v>5000</v>
      </c>
      <c r="F860" s="708"/>
      <c r="G860" s="708"/>
      <c r="H860" s="708"/>
      <c r="I860" s="708"/>
    </row>
    <row r="861" spans="1:9" customFormat="1">
      <c r="A861" s="915" t="s">
        <v>390</v>
      </c>
      <c r="B861" s="916" t="s">
        <v>153</v>
      </c>
      <c r="C861" s="917">
        <v>43146</v>
      </c>
      <c r="D861" s="918">
        <v>6000</v>
      </c>
      <c r="F861" s="708"/>
      <c r="G861" s="708"/>
      <c r="H861" s="708"/>
      <c r="I861" s="708"/>
    </row>
    <row r="862" spans="1:9" customFormat="1">
      <c r="A862" s="915" t="s">
        <v>568</v>
      </c>
      <c r="B862" s="916" t="s">
        <v>229</v>
      </c>
      <c r="C862" s="917">
        <v>43146</v>
      </c>
      <c r="D862" s="918">
        <v>1696.57</v>
      </c>
      <c r="F862" s="708"/>
      <c r="G862" s="708"/>
      <c r="H862" s="708"/>
      <c r="I862" s="708"/>
    </row>
    <row r="863" spans="1:9" customFormat="1">
      <c r="A863" s="915" t="s">
        <v>504</v>
      </c>
      <c r="B863" s="916" t="s">
        <v>184</v>
      </c>
      <c r="C863" s="917">
        <v>43146</v>
      </c>
      <c r="D863" s="918">
        <v>2954.57</v>
      </c>
      <c r="F863" s="708"/>
      <c r="G863" s="708"/>
      <c r="H863" s="708"/>
      <c r="I863" s="708"/>
    </row>
    <row r="864" spans="1:9" customFormat="1">
      <c r="A864" s="915" t="s">
        <v>364</v>
      </c>
      <c r="B864" s="916" t="s">
        <v>186</v>
      </c>
      <c r="C864" s="917">
        <v>43146</v>
      </c>
      <c r="D864" s="918">
        <v>990.5</v>
      </c>
      <c r="F864" s="708"/>
      <c r="G864" s="708"/>
      <c r="H864" s="708"/>
      <c r="I864" s="708"/>
    </row>
    <row r="865" spans="1:9" customFormat="1">
      <c r="A865" s="915" t="s">
        <v>886</v>
      </c>
      <c r="B865" s="916" t="s">
        <v>140</v>
      </c>
      <c r="C865" s="917">
        <v>43146</v>
      </c>
      <c r="D865" s="918">
        <v>2471.88</v>
      </c>
      <c r="F865" s="708"/>
      <c r="G865" s="708"/>
      <c r="H865" s="708"/>
      <c r="I865" s="708"/>
    </row>
    <row r="866" spans="1:9" customFormat="1">
      <c r="A866" s="915" t="s">
        <v>785</v>
      </c>
      <c r="B866" s="916" t="s">
        <v>786</v>
      </c>
      <c r="C866" s="917">
        <v>43146</v>
      </c>
      <c r="D866" s="918">
        <v>511.84</v>
      </c>
      <c r="F866" s="708"/>
      <c r="G866" s="708"/>
      <c r="H866" s="708"/>
      <c r="I866" s="708"/>
    </row>
    <row r="867" spans="1:9" customFormat="1">
      <c r="A867" s="915" t="s">
        <v>693</v>
      </c>
      <c r="B867" s="916" t="s">
        <v>244</v>
      </c>
      <c r="C867" s="917">
        <v>43146</v>
      </c>
      <c r="D867" s="918">
        <v>1561.59</v>
      </c>
      <c r="F867" s="708"/>
      <c r="G867" s="708"/>
      <c r="H867" s="708"/>
      <c r="I867" s="708"/>
    </row>
    <row r="868" spans="1:9" customFormat="1">
      <c r="A868" s="907" t="s">
        <v>368</v>
      </c>
      <c r="B868" s="908" t="s">
        <v>1038</v>
      </c>
      <c r="C868" s="909">
        <v>43147</v>
      </c>
      <c r="D868" s="910">
        <v>1159.96</v>
      </c>
      <c r="F868" s="708"/>
      <c r="G868" s="708"/>
      <c r="H868" s="708"/>
      <c r="I868" s="708"/>
    </row>
    <row r="869" spans="1:9" customFormat="1">
      <c r="A869" s="915" t="s">
        <v>1043</v>
      </c>
      <c r="B869" s="916" t="s">
        <v>1169</v>
      </c>
      <c r="C869" s="917">
        <v>43147</v>
      </c>
      <c r="D869" s="918">
        <v>1260</v>
      </c>
      <c r="F869" s="708"/>
      <c r="G869" s="708"/>
      <c r="H869" s="708"/>
      <c r="I869" s="708"/>
    </row>
    <row r="870" spans="1:9" customFormat="1">
      <c r="A870" s="915" t="s">
        <v>508</v>
      </c>
      <c r="B870" s="916" t="s">
        <v>507</v>
      </c>
      <c r="C870" s="917">
        <v>43147</v>
      </c>
      <c r="D870" s="918">
        <v>1785</v>
      </c>
      <c r="F870" s="708"/>
      <c r="G870" s="708"/>
      <c r="H870" s="708"/>
      <c r="I870" s="708"/>
    </row>
    <row r="871" spans="1:9" customFormat="1">
      <c r="A871" s="915" t="s">
        <v>746</v>
      </c>
      <c r="B871" s="916" t="s">
        <v>155</v>
      </c>
      <c r="C871" s="917">
        <v>43147</v>
      </c>
      <c r="D871" s="918">
        <v>1270.3499999999999</v>
      </c>
      <c r="F871" s="708"/>
      <c r="G871" s="708"/>
      <c r="H871" s="708"/>
      <c r="I871" s="708"/>
    </row>
    <row r="872" spans="1:9" customFormat="1">
      <c r="A872" s="915" t="s">
        <v>515</v>
      </c>
      <c r="B872" s="916" t="s">
        <v>481</v>
      </c>
      <c r="C872" s="917">
        <v>43147</v>
      </c>
      <c r="D872" s="918">
        <v>1900.87</v>
      </c>
      <c r="F872" s="708"/>
      <c r="G872" s="708"/>
      <c r="H872" s="708"/>
      <c r="I872" s="708"/>
    </row>
    <row r="873" spans="1:9" customFormat="1">
      <c r="A873" s="907" t="s">
        <v>535</v>
      </c>
      <c r="B873" s="908" t="s">
        <v>1330</v>
      </c>
      <c r="C873" s="909">
        <v>43148</v>
      </c>
      <c r="D873" s="910">
        <v>4128.95</v>
      </c>
      <c r="F873" s="708"/>
      <c r="G873" s="708"/>
      <c r="H873" s="708"/>
      <c r="I873" s="708"/>
    </row>
    <row r="874" spans="1:9" customFormat="1">
      <c r="A874" s="907" t="s">
        <v>1215</v>
      </c>
      <c r="B874" s="908" t="s">
        <v>1214</v>
      </c>
      <c r="C874" s="909">
        <v>43148</v>
      </c>
      <c r="D874" s="910">
        <v>4000</v>
      </c>
      <c r="F874" s="708"/>
      <c r="G874" s="708"/>
      <c r="H874" s="708"/>
      <c r="I874" s="708"/>
    </row>
    <row r="875" spans="1:9" customFormat="1">
      <c r="A875" s="915" t="s">
        <v>645</v>
      </c>
      <c r="B875" s="916" t="s">
        <v>646</v>
      </c>
      <c r="C875" s="917">
        <v>43148</v>
      </c>
      <c r="D875" s="918">
        <v>1130</v>
      </c>
      <c r="F875" s="708"/>
      <c r="G875" s="708"/>
      <c r="H875" s="708"/>
      <c r="I875" s="708"/>
    </row>
    <row r="876" spans="1:9" customFormat="1">
      <c r="A876" s="915" t="s">
        <v>1062</v>
      </c>
      <c r="B876" s="916" t="s">
        <v>416</v>
      </c>
      <c r="C876" s="917">
        <v>43148</v>
      </c>
      <c r="D876" s="918">
        <v>541.95000000000005</v>
      </c>
      <c r="F876" s="708"/>
      <c r="G876" s="708"/>
      <c r="H876" s="708"/>
      <c r="I876" s="708"/>
    </row>
    <row r="877" spans="1:9" customFormat="1">
      <c r="A877" s="907" t="s">
        <v>311</v>
      </c>
      <c r="B877" s="908" t="s">
        <v>312</v>
      </c>
      <c r="C877" s="909">
        <v>43149</v>
      </c>
      <c r="D877" s="910">
        <v>701.02800000000002</v>
      </c>
      <c r="F877" s="708"/>
      <c r="G877" s="708"/>
      <c r="H877" s="708"/>
      <c r="I877" s="708"/>
    </row>
    <row r="878" spans="1:9" customFormat="1">
      <c r="A878" s="907" t="s">
        <v>440</v>
      </c>
      <c r="B878" s="908" t="s">
        <v>1220</v>
      </c>
      <c r="C878" s="909">
        <v>43149</v>
      </c>
      <c r="D878" s="910">
        <v>1000</v>
      </c>
      <c r="F878" s="708"/>
      <c r="G878" s="708"/>
      <c r="H878" s="708"/>
      <c r="I878" s="708"/>
    </row>
    <row r="879" spans="1:9" customFormat="1">
      <c r="A879" s="915" t="s">
        <v>391</v>
      </c>
      <c r="B879" s="916" t="s">
        <v>134</v>
      </c>
      <c r="C879" s="917">
        <v>43149</v>
      </c>
      <c r="D879" s="918">
        <v>505.33</v>
      </c>
      <c r="F879" s="708"/>
      <c r="G879" s="708"/>
      <c r="H879" s="708"/>
      <c r="I879" s="708"/>
    </row>
    <row r="880" spans="1:9" customFormat="1">
      <c r="A880" s="915" t="s">
        <v>939</v>
      </c>
      <c r="B880" s="916" t="s">
        <v>439</v>
      </c>
      <c r="C880" s="917">
        <v>43150</v>
      </c>
      <c r="D880" s="918">
        <v>1446.08</v>
      </c>
      <c r="F880" s="708"/>
      <c r="G880" s="708"/>
      <c r="H880" s="708"/>
      <c r="I880" s="708"/>
    </row>
    <row r="881" spans="1:9" customFormat="1">
      <c r="A881" s="915" t="s">
        <v>533</v>
      </c>
      <c r="B881" s="916" t="s">
        <v>532</v>
      </c>
      <c r="C881" s="917">
        <v>43150</v>
      </c>
      <c r="D881" s="918">
        <v>3000</v>
      </c>
      <c r="F881" s="708"/>
      <c r="G881" s="708"/>
      <c r="H881" s="708"/>
      <c r="I881" s="708"/>
    </row>
    <row r="882" spans="1:9" customFormat="1">
      <c r="A882" s="915" t="s">
        <v>635</v>
      </c>
      <c r="B882" s="916" t="s">
        <v>189</v>
      </c>
      <c r="C882" s="917">
        <v>43150</v>
      </c>
      <c r="D882" s="918">
        <v>715</v>
      </c>
      <c r="F882" s="708"/>
      <c r="G882" s="708"/>
      <c r="H882" s="708"/>
      <c r="I882" s="708"/>
    </row>
    <row r="883" spans="1:9" customFormat="1">
      <c r="A883" s="915" t="s">
        <v>408</v>
      </c>
      <c r="B883" s="916" t="s">
        <v>204</v>
      </c>
      <c r="C883" s="917">
        <v>43150</v>
      </c>
      <c r="D883" s="918">
        <v>2343</v>
      </c>
      <c r="F883" s="708"/>
      <c r="G883" s="708"/>
      <c r="H883" s="708"/>
      <c r="I883" s="708"/>
    </row>
    <row r="884" spans="1:9" customFormat="1">
      <c r="A884" s="907" t="s">
        <v>729</v>
      </c>
      <c r="B884" s="908" t="s">
        <v>730</v>
      </c>
      <c r="C884" s="909">
        <v>43151</v>
      </c>
      <c r="D884" s="910">
        <v>391.69499999999999</v>
      </c>
      <c r="F884" s="708"/>
      <c r="G884" s="708"/>
      <c r="H884" s="708"/>
      <c r="I884" s="708"/>
    </row>
    <row r="885" spans="1:9" customFormat="1">
      <c r="A885" s="907" t="s">
        <v>604</v>
      </c>
      <c r="B885" s="908" t="s">
        <v>1307</v>
      </c>
      <c r="C885" s="909">
        <v>43151</v>
      </c>
      <c r="D885" s="910">
        <v>3963.489</v>
      </c>
      <c r="F885" s="708"/>
      <c r="G885" s="708"/>
      <c r="H885" s="708"/>
      <c r="I885" s="708"/>
    </row>
    <row r="886" spans="1:9">
      <c r="A886" s="907" t="s">
        <v>811</v>
      </c>
      <c r="B886" s="908" t="s">
        <v>1286</v>
      </c>
      <c r="C886" s="909">
        <v>43151</v>
      </c>
      <c r="D886" s="910">
        <v>1496.5530000000001</v>
      </c>
    </row>
    <row r="887" spans="1:9" customFormat="1">
      <c r="A887" s="907" t="s">
        <v>215</v>
      </c>
      <c r="B887" s="908" t="s">
        <v>214</v>
      </c>
      <c r="C887" s="909">
        <v>43151</v>
      </c>
      <c r="D887" s="910">
        <v>2500</v>
      </c>
      <c r="F887" s="708"/>
      <c r="G887" s="708"/>
      <c r="H887" s="708"/>
      <c r="I887" s="708"/>
    </row>
    <row r="888" spans="1:9" customFormat="1">
      <c r="A888" s="915" t="s">
        <v>943</v>
      </c>
      <c r="B888" s="916" t="s">
        <v>942</v>
      </c>
      <c r="C888" s="917">
        <v>43151</v>
      </c>
      <c r="D888" s="918">
        <v>885.14</v>
      </c>
      <c r="F888" s="708"/>
      <c r="G888" s="708"/>
      <c r="H888" s="708"/>
      <c r="I888" s="708"/>
    </row>
    <row r="889" spans="1:9" customFormat="1">
      <c r="A889" s="915" t="s">
        <v>789</v>
      </c>
      <c r="B889" s="916" t="s">
        <v>190</v>
      </c>
      <c r="C889" s="917">
        <v>43151</v>
      </c>
      <c r="D889" s="918">
        <v>4000</v>
      </c>
      <c r="F889" s="708"/>
      <c r="G889" s="708"/>
      <c r="H889" s="708"/>
      <c r="I889" s="708"/>
    </row>
    <row r="890" spans="1:9" customFormat="1">
      <c r="A890" s="915" t="s">
        <v>742</v>
      </c>
      <c r="B890" s="916" t="s">
        <v>265</v>
      </c>
      <c r="C890" s="917">
        <v>43151</v>
      </c>
      <c r="D890" s="918">
        <v>2812.98</v>
      </c>
      <c r="F890" s="708"/>
      <c r="G890" s="708"/>
      <c r="H890" s="708"/>
      <c r="I890" s="708"/>
    </row>
    <row r="891" spans="1:9" customFormat="1">
      <c r="A891" s="915" t="s">
        <v>536</v>
      </c>
      <c r="B891" s="916" t="s">
        <v>194</v>
      </c>
      <c r="C891" s="917">
        <v>43151</v>
      </c>
      <c r="D891" s="918">
        <v>700</v>
      </c>
      <c r="F891" s="708"/>
      <c r="G891" s="708"/>
      <c r="H891" s="708"/>
      <c r="I891" s="708"/>
    </row>
    <row r="892" spans="1:9" customFormat="1">
      <c r="A892" s="915" t="s">
        <v>1131</v>
      </c>
      <c r="B892" s="916" t="s">
        <v>1130</v>
      </c>
      <c r="C892" s="917">
        <v>43151</v>
      </c>
      <c r="D892" s="918">
        <v>1500</v>
      </c>
      <c r="F892" s="708"/>
      <c r="G892" s="708"/>
      <c r="H892" s="708"/>
      <c r="I892" s="708"/>
    </row>
    <row r="893" spans="1:9" customFormat="1">
      <c r="A893" s="915" t="s">
        <v>757</v>
      </c>
      <c r="B893" s="916" t="s">
        <v>758</v>
      </c>
      <c r="C893" s="917">
        <v>43151</v>
      </c>
      <c r="D893" s="918">
        <v>2330.86</v>
      </c>
      <c r="F893" s="708"/>
      <c r="G893" s="708"/>
      <c r="H893" s="708"/>
      <c r="I893" s="708"/>
    </row>
    <row r="894" spans="1:9" customFormat="1">
      <c r="A894" s="915" t="s">
        <v>721</v>
      </c>
      <c r="B894" s="916" t="s">
        <v>722</v>
      </c>
      <c r="C894" s="917">
        <v>43151</v>
      </c>
      <c r="D894" s="918">
        <v>6519.39</v>
      </c>
      <c r="F894" s="708"/>
      <c r="G894" s="708"/>
      <c r="H894" s="708"/>
      <c r="I894" s="708"/>
    </row>
    <row r="895" spans="1:9" customFormat="1">
      <c r="A895" s="915" t="s">
        <v>531</v>
      </c>
      <c r="B895" s="916" t="s">
        <v>530</v>
      </c>
      <c r="C895" s="917">
        <v>43151</v>
      </c>
      <c r="D895" s="918">
        <v>2164</v>
      </c>
      <c r="F895" s="708"/>
      <c r="G895" s="708"/>
      <c r="H895" s="708"/>
      <c r="I895" s="708"/>
    </row>
    <row r="896" spans="1:9" customFormat="1">
      <c r="A896" s="915" t="s">
        <v>313</v>
      </c>
      <c r="B896" s="916" t="s">
        <v>314</v>
      </c>
      <c r="C896" s="917">
        <v>43151</v>
      </c>
      <c r="D896" s="918">
        <v>2500</v>
      </c>
      <c r="F896" s="708"/>
      <c r="G896" s="708"/>
      <c r="H896" s="708"/>
      <c r="I896" s="708"/>
    </row>
    <row r="897" spans="1:9" customFormat="1">
      <c r="A897" s="915" t="s">
        <v>258</v>
      </c>
      <c r="B897" s="916" t="s">
        <v>257</v>
      </c>
      <c r="C897" s="917">
        <v>43151</v>
      </c>
      <c r="D897" s="918">
        <v>475.45</v>
      </c>
      <c r="F897" s="708"/>
      <c r="G897" s="708"/>
      <c r="H897" s="708"/>
      <c r="I897" s="708"/>
    </row>
    <row r="898" spans="1:9" customFormat="1">
      <c r="A898" s="915" t="s">
        <v>228</v>
      </c>
      <c r="B898" s="916" t="s">
        <v>227</v>
      </c>
      <c r="C898" s="917">
        <v>43151</v>
      </c>
      <c r="D898" s="918">
        <v>987</v>
      </c>
      <c r="F898" s="708"/>
      <c r="G898" s="708"/>
      <c r="H898" s="708"/>
      <c r="I898" s="708"/>
    </row>
    <row r="899" spans="1:9" customFormat="1">
      <c r="A899" s="915" t="s">
        <v>311</v>
      </c>
      <c r="B899" s="916" t="s">
        <v>312</v>
      </c>
      <c r="C899" s="917">
        <v>43151</v>
      </c>
      <c r="D899" s="918">
        <v>880</v>
      </c>
      <c r="F899" s="708"/>
      <c r="G899" s="708"/>
      <c r="H899" s="708"/>
      <c r="I899" s="708"/>
    </row>
    <row r="900" spans="1:9" customFormat="1">
      <c r="A900" s="915" t="s">
        <v>226</v>
      </c>
      <c r="B900" s="916" t="s">
        <v>225</v>
      </c>
      <c r="C900" s="917">
        <v>43151</v>
      </c>
      <c r="D900" s="918">
        <v>3713.54</v>
      </c>
      <c r="F900" s="708"/>
      <c r="G900" s="708"/>
      <c r="H900" s="708"/>
      <c r="I900" s="708"/>
    </row>
    <row r="901" spans="1:9" customFormat="1">
      <c r="A901" s="915" t="s">
        <v>1066</v>
      </c>
      <c r="B901" s="916" t="s">
        <v>1168</v>
      </c>
      <c r="C901" s="917">
        <v>43151</v>
      </c>
      <c r="D901" s="918">
        <v>1614.24</v>
      </c>
      <c r="F901" s="708"/>
      <c r="G901" s="708"/>
      <c r="H901" s="708"/>
      <c r="I901" s="708"/>
    </row>
    <row r="902" spans="1:9" customFormat="1">
      <c r="A902" s="915" t="s">
        <v>874</v>
      </c>
      <c r="B902" s="916" t="s">
        <v>141</v>
      </c>
      <c r="C902" s="917">
        <v>43151</v>
      </c>
      <c r="D902" s="918">
        <v>400</v>
      </c>
      <c r="F902" s="708"/>
      <c r="G902" s="708"/>
      <c r="H902" s="708"/>
      <c r="I902" s="708"/>
    </row>
    <row r="903" spans="1:9" customFormat="1">
      <c r="A903" s="915" t="s">
        <v>759</v>
      </c>
      <c r="B903" s="916" t="s">
        <v>185</v>
      </c>
      <c r="C903" s="917">
        <v>43151</v>
      </c>
      <c r="D903" s="918">
        <v>2415.2199999999998</v>
      </c>
      <c r="F903" s="708"/>
      <c r="G903" s="708"/>
      <c r="H903" s="708"/>
      <c r="I903" s="708"/>
    </row>
    <row r="904" spans="1:9" customFormat="1">
      <c r="A904" s="915" t="s">
        <v>746</v>
      </c>
      <c r="B904" s="916" t="s">
        <v>155</v>
      </c>
      <c r="C904" s="917">
        <v>43151</v>
      </c>
      <c r="D904" s="918">
        <v>1800</v>
      </c>
      <c r="F904" s="708"/>
      <c r="G904" s="708"/>
      <c r="H904" s="708"/>
      <c r="I904" s="708"/>
    </row>
    <row r="905" spans="1:9" customFormat="1">
      <c r="A905" s="915" t="s">
        <v>139</v>
      </c>
      <c r="B905" s="916" t="s">
        <v>138</v>
      </c>
      <c r="C905" s="917">
        <v>43151</v>
      </c>
      <c r="D905" s="918">
        <v>880</v>
      </c>
      <c r="F905" s="708"/>
      <c r="G905" s="708"/>
      <c r="H905" s="708"/>
      <c r="I905" s="708"/>
    </row>
    <row r="906" spans="1:9" customFormat="1">
      <c r="A906" s="915" t="s">
        <v>557</v>
      </c>
      <c r="B906" s="916" t="s">
        <v>188</v>
      </c>
      <c r="C906" s="917">
        <v>43151</v>
      </c>
      <c r="D906" s="918">
        <v>1853.62</v>
      </c>
      <c r="F906" s="708"/>
      <c r="G906" s="708"/>
      <c r="H906" s="708"/>
      <c r="I906" s="708"/>
    </row>
    <row r="907" spans="1:9" customFormat="1">
      <c r="A907" s="915" t="s">
        <v>735</v>
      </c>
      <c r="B907" s="916" t="s">
        <v>622</v>
      </c>
      <c r="C907" s="917">
        <v>43151</v>
      </c>
      <c r="D907" s="918">
        <v>1566</v>
      </c>
      <c r="F907" s="708"/>
      <c r="G907" s="708"/>
      <c r="H907" s="708"/>
      <c r="I907" s="708"/>
    </row>
    <row r="908" spans="1:9" customFormat="1">
      <c r="A908" s="915" t="s">
        <v>364</v>
      </c>
      <c r="B908" s="916" t="s">
        <v>186</v>
      </c>
      <c r="C908" s="917">
        <v>43151</v>
      </c>
      <c r="D908" s="918">
        <v>400</v>
      </c>
      <c r="F908" s="708"/>
      <c r="G908" s="708"/>
      <c r="H908" s="708"/>
      <c r="I908" s="708"/>
    </row>
    <row r="909" spans="1:9" customFormat="1">
      <c r="A909" s="915" t="s">
        <v>455</v>
      </c>
      <c r="B909" s="916" t="s">
        <v>187</v>
      </c>
      <c r="C909" s="917">
        <v>43151</v>
      </c>
      <c r="D909" s="918">
        <v>3000</v>
      </c>
      <c r="F909" s="708"/>
      <c r="G909" s="708"/>
      <c r="H909" s="708"/>
      <c r="I909" s="708"/>
    </row>
    <row r="910" spans="1:9" customFormat="1">
      <c r="A910" s="915" t="s">
        <v>163</v>
      </c>
      <c r="B910" s="916" t="s">
        <v>162</v>
      </c>
      <c r="C910" s="917">
        <v>43152</v>
      </c>
      <c r="D910" s="918">
        <v>1500</v>
      </c>
      <c r="F910" s="708"/>
      <c r="G910" s="708"/>
      <c r="H910" s="708"/>
      <c r="I910" s="708"/>
    </row>
    <row r="911" spans="1:9" customFormat="1">
      <c r="A911" s="915" t="s">
        <v>207</v>
      </c>
      <c r="B911" s="916" t="s">
        <v>206</v>
      </c>
      <c r="C911" s="917">
        <v>43152</v>
      </c>
      <c r="D911" s="918">
        <v>2500</v>
      </c>
      <c r="F911" s="708"/>
      <c r="G911" s="708"/>
      <c r="H911" s="708"/>
      <c r="I911" s="708"/>
    </row>
    <row r="912" spans="1:9" customFormat="1">
      <c r="A912" s="915" t="s">
        <v>492</v>
      </c>
      <c r="B912" s="916" t="s">
        <v>493</v>
      </c>
      <c r="C912" s="917">
        <v>43152</v>
      </c>
      <c r="D912" s="918">
        <v>846.89</v>
      </c>
      <c r="F912" s="708"/>
      <c r="G912" s="708"/>
      <c r="H912" s="708"/>
      <c r="I912" s="708"/>
    </row>
    <row r="913" spans="1:9" customFormat="1">
      <c r="A913" s="915" t="s">
        <v>228</v>
      </c>
      <c r="B913" s="916" t="s">
        <v>227</v>
      </c>
      <c r="C913" s="917">
        <v>43152</v>
      </c>
      <c r="D913" s="918">
        <v>987.05</v>
      </c>
      <c r="F913" s="708"/>
      <c r="G913" s="708"/>
      <c r="H913" s="708"/>
      <c r="I913" s="708"/>
    </row>
    <row r="914" spans="1:9" customFormat="1">
      <c r="A914" s="915" t="s">
        <v>799</v>
      </c>
      <c r="B914" s="916" t="s">
        <v>292</v>
      </c>
      <c r="C914" s="917">
        <v>43152</v>
      </c>
      <c r="D914" s="918">
        <v>1359.65</v>
      </c>
      <c r="F914" s="708"/>
      <c r="G914" s="708"/>
      <c r="H914" s="708"/>
      <c r="I914" s="708"/>
    </row>
    <row r="915" spans="1:9" customFormat="1">
      <c r="A915" s="915" t="s">
        <v>391</v>
      </c>
      <c r="B915" s="916" t="s">
        <v>134</v>
      </c>
      <c r="C915" s="917">
        <v>43152</v>
      </c>
      <c r="D915" s="918">
        <v>1000</v>
      </c>
      <c r="F915" s="708"/>
      <c r="G915" s="708"/>
      <c r="H915" s="708"/>
      <c r="I915" s="708"/>
    </row>
    <row r="916" spans="1:9" customFormat="1">
      <c r="A916" s="907" t="s">
        <v>368</v>
      </c>
      <c r="B916" s="908" t="s">
        <v>1038</v>
      </c>
      <c r="C916" s="909">
        <v>43153</v>
      </c>
      <c r="D916" s="910">
        <v>1159.9649999999999</v>
      </c>
      <c r="F916" s="708"/>
      <c r="G916" s="708"/>
      <c r="H916" s="708"/>
      <c r="I916" s="708"/>
    </row>
    <row r="917" spans="1:9" customFormat="1">
      <c r="A917" s="907" t="s">
        <v>685</v>
      </c>
      <c r="B917" s="908" t="s">
        <v>1183</v>
      </c>
      <c r="C917" s="909">
        <v>43153</v>
      </c>
      <c r="D917" s="910">
        <v>1500</v>
      </c>
      <c r="F917" s="708"/>
      <c r="G917" s="708"/>
      <c r="H917" s="708"/>
      <c r="I917" s="708"/>
    </row>
    <row r="918" spans="1:9" customFormat="1">
      <c r="A918" s="915" t="s">
        <v>270</v>
      </c>
      <c r="B918" s="916" t="s">
        <v>460</v>
      </c>
      <c r="C918" s="917">
        <v>43153</v>
      </c>
      <c r="D918" s="918">
        <v>1321.87</v>
      </c>
      <c r="F918" s="708"/>
      <c r="G918" s="708"/>
      <c r="H918" s="708"/>
      <c r="I918" s="708"/>
    </row>
    <row r="919" spans="1:9" customFormat="1">
      <c r="A919" s="915" t="s">
        <v>203</v>
      </c>
      <c r="B919" s="916" t="s">
        <v>202</v>
      </c>
      <c r="C919" s="917">
        <v>43153</v>
      </c>
      <c r="D919" s="918">
        <v>2900</v>
      </c>
      <c r="F919" s="708"/>
      <c r="G919" s="708"/>
      <c r="H919" s="708"/>
      <c r="I919" s="708"/>
    </row>
    <row r="920" spans="1:9" customFormat="1">
      <c r="A920" s="915" t="s">
        <v>161</v>
      </c>
      <c r="B920" s="916" t="s">
        <v>160</v>
      </c>
      <c r="C920" s="917">
        <v>43153</v>
      </c>
      <c r="D920" s="918">
        <v>3417.89</v>
      </c>
      <c r="F920" s="708"/>
      <c r="G920" s="708"/>
      <c r="H920" s="708"/>
      <c r="I920" s="708"/>
    </row>
    <row r="921" spans="1:9" customFormat="1">
      <c r="A921" s="915" t="s">
        <v>256</v>
      </c>
      <c r="B921" s="916" t="s">
        <v>255</v>
      </c>
      <c r="C921" s="917">
        <v>43153</v>
      </c>
      <c r="D921" s="918">
        <v>630</v>
      </c>
      <c r="F921" s="708"/>
      <c r="G921" s="708"/>
      <c r="H921" s="708"/>
      <c r="I921" s="708"/>
    </row>
    <row r="922" spans="1:9" customFormat="1">
      <c r="A922" s="915" t="s">
        <v>515</v>
      </c>
      <c r="B922" s="916" t="s">
        <v>481</v>
      </c>
      <c r="C922" s="917">
        <v>43153</v>
      </c>
      <c r="D922" s="918">
        <v>2000</v>
      </c>
      <c r="F922" s="708"/>
      <c r="G922" s="708"/>
      <c r="H922" s="708"/>
      <c r="I922" s="708"/>
    </row>
    <row r="923" spans="1:9" customFormat="1">
      <c r="A923" s="915" t="s">
        <v>645</v>
      </c>
      <c r="B923" s="916" t="s">
        <v>646</v>
      </c>
      <c r="C923" s="917">
        <v>43154</v>
      </c>
      <c r="D923" s="918">
        <v>1130</v>
      </c>
      <c r="F923" s="708"/>
      <c r="G923" s="708"/>
      <c r="H923" s="708"/>
      <c r="I923" s="708"/>
    </row>
    <row r="924" spans="1:9" customFormat="1">
      <c r="A924" s="915" t="s">
        <v>700</v>
      </c>
      <c r="B924" s="916" t="s">
        <v>699</v>
      </c>
      <c r="C924" s="917">
        <v>43154</v>
      </c>
      <c r="D924" s="918">
        <v>4721.97</v>
      </c>
      <c r="F924" s="708"/>
      <c r="G924" s="708"/>
      <c r="H924" s="708"/>
      <c r="I924" s="708"/>
    </row>
    <row r="925" spans="1:9" customFormat="1">
      <c r="A925" s="915" t="s">
        <v>508</v>
      </c>
      <c r="B925" s="916" t="s">
        <v>507</v>
      </c>
      <c r="C925" s="917">
        <v>43154</v>
      </c>
      <c r="D925" s="918">
        <v>1785</v>
      </c>
      <c r="F925" s="708"/>
      <c r="G925" s="708"/>
      <c r="H925" s="708"/>
      <c r="I925" s="708"/>
    </row>
    <row r="926" spans="1:9" customFormat="1">
      <c r="A926" s="915" t="s">
        <v>638</v>
      </c>
      <c r="B926" s="916" t="s">
        <v>639</v>
      </c>
      <c r="C926" s="917">
        <v>43154</v>
      </c>
      <c r="D926" s="918">
        <v>1300</v>
      </c>
      <c r="F926" s="708"/>
      <c r="G926" s="708"/>
      <c r="H926" s="708"/>
      <c r="I926" s="708"/>
    </row>
    <row r="927" spans="1:9" customFormat="1">
      <c r="A927" s="915" t="s">
        <v>400</v>
      </c>
      <c r="B927" s="916" t="s">
        <v>401</v>
      </c>
      <c r="C927" s="917">
        <v>43155</v>
      </c>
      <c r="D927" s="918">
        <v>3300</v>
      </c>
      <c r="F927" s="708"/>
      <c r="G927" s="708"/>
      <c r="H927" s="708"/>
      <c r="I927" s="708"/>
    </row>
    <row r="928" spans="1:9" customFormat="1">
      <c r="A928" s="915" t="s">
        <v>135</v>
      </c>
      <c r="B928" s="916" t="s">
        <v>134</v>
      </c>
      <c r="C928" s="917">
        <v>43155</v>
      </c>
      <c r="D928" s="918">
        <v>1090</v>
      </c>
      <c r="F928" s="708"/>
      <c r="G928" s="708"/>
      <c r="H928" s="708"/>
      <c r="I928" s="708"/>
    </row>
    <row r="929" spans="1:9" customFormat="1">
      <c r="A929" s="915" t="s">
        <v>408</v>
      </c>
      <c r="B929" s="916" t="s">
        <v>204</v>
      </c>
      <c r="C929" s="917">
        <v>43155</v>
      </c>
      <c r="D929" s="918">
        <v>2400</v>
      </c>
      <c r="F929" s="708"/>
      <c r="G929" s="708"/>
      <c r="H929" s="708"/>
      <c r="I929" s="708"/>
    </row>
    <row r="930" spans="1:9" customFormat="1">
      <c r="A930" s="915" t="s">
        <v>543</v>
      </c>
      <c r="B930" s="916" t="s">
        <v>542</v>
      </c>
      <c r="C930" s="917">
        <v>43156</v>
      </c>
      <c r="D930" s="918">
        <v>357.97</v>
      </c>
      <c r="F930" s="708"/>
      <c r="G930" s="708"/>
      <c r="H930" s="708"/>
      <c r="I930" s="708"/>
    </row>
    <row r="931" spans="1:9" customFormat="1">
      <c r="A931" s="915" t="s">
        <v>905</v>
      </c>
      <c r="B931" s="916" t="s">
        <v>904</v>
      </c>
      <c r="C931" s="917">
        <v>43156</v>
      </c>
      <c r="D931" s="918">
        <v>1400</v>
      </c>
      <c r="F931" s="708"/>
      <c r="G931" s="708"/>
      <c r="H931" s="708"/>
      <c r="I931" s="708"/>
    </row>
    <row r="932" spans="1:9" customFormat="1">
      <c r="A932" s="915" t="s">
        <v>313</v>
      </c>
      <c r="B932" s="916" t="s">
        <v>314</v>
      </c>
      <c r="C932" s="917">
        <v>43156</v>
      </c>
      <c r="D932" s="918">
        <v>2500</v>
      </c>
      <c r="F932" s="708"/>
      <c r="G932" s="708"/>
      <c r="H932" s="708"/>
      <c r="I932" s="708"/>
    </row>
    <row r="933" spans="1:9" customFormat="1">
      <c r="A933" s="915" t="s">
        <v>133</v>
      </c>
      <c r="B933" s="916" t="s">
        <v>132</v>
      </c>
      <c r="C933" s="917">
        <v>43156</v>
      </c>
      <c r="D933" s="918">
        <v>1800</v>
      </c>
      <c r="F933" s="708"/>
      <c r="G933" s="708"/>
      <c r="H933" s="708"/>
      <c r="I933" s="708"/>
    </row>
    <row r="934" spans="1:9" customFormat="1">
      <c r="A934" s="915" t="s">
        <v>450</v>
      </c>
      <c r="B934" s="916" t="s">
        <v>197</v>
      </c>
      <c r="C934" s="917">
        <v>43156</v>
      </c>
      <c r="D934" s="918">
        <v>1798</v>
      </c>
      <c r="F934" s="708"/>
      <c r="G934" s="708"/>
      <c r="H934" s="708"/>
      <c r="I934" s="708"/>
    </row>
    <row r="935" spans="1:9" customFormat="1">
      <c r="A935" s="915" t="s">
        <v>228</v>
      </c>
      <c r="B935" s="916" t="s">
        <v>227</v>
      </c>
      <c r="C935" s="917">
        <v>43156</v>
      </c>
      <c r="D935" s="918">
        <v>987</v>
      </c>
      <c r="F935" s="708"/>
      <c r="G935" s="708"/>
      <c r="H935" s="708"/>
      <c r="I935" s="708"/>
    </row>
    <row r="936" spans="1:9" customFormat="1">
      <c r="A936" s="915" t="s">
        <v>638</v>
      </c>
      <c r="B936" s="916" t="s">
        <v>639</v>
      </c>
      <c r="C936" s="917">
        <v>43156</v>
      </c>
      <c r="D936" s="918">
        <v>1315.82</v>
      </c>
      <c r="F936" s="708"/>
      <c r="G936" s="708"/>
      <c r="H936" s="708"/>
      <c r="I936" s="708"/>
    </row>
    <row r="937" spans="1:9" customFormat="1">
      <c r="A937" s="915" t="s">
        <v>662</v>
      </c>
      <c r="B937" s="916" t="s">
        <v>661</v>
      </c>
      <c r="C937" s="917">
        <v>43156</v>
      </c>
      <c r="D937" s="918">
        <v>1318.05</v>
      </c>
      <c r="F937" s="708"/>
      <c r="G937" s="708"/>
      <c r="H937" s="708"/>
      <c r="I937" s="708"/>
    </row>
    <row r="938" spans="1:9" customFormat="1">
      <c r="A938" s="915" t="s">
        <v>516</v>
      </c>
      <c r="B938" s="916" t="s">
        <v>319</v>
      </c>
      <c r="C938" s="917">
        <v>43156</v>
      </c>
      <c r="D938" s="918">
        <v>1610.59</v>
      </c>
      <c r="F938" s="708"/>
      <c r="G938" s="708"/>
      <c r="H938" s="708"/>
      <c r="I938" s="708"/>
    </row>
    <row r="939" spans="1:9" customFormat="1">
      <c r="A939" s="915" t="s">
        <v>760</v>
      </c>
      <c r="B939" s="916" t="s">
        <v>415</v>
      </c>
      <c r="C939" s="917">
        <v>43156</v>
      </c>
      <c r="D939" s="918">
        <v>8000</v>
      </c>
      <c r="F939" s="708"/>
      <c r="G939" s="708"/>
      <c r="H939" s="708"/>
      <c r="I939" s="708"/>
    </row>
    <row r="940" spans="1:9" customFormat="1">
      <c r="A940" s="915" t="s">
        <v>390</v>
      </c>
      <c r="B940" s="916" t="s">
        <v>153</v>
      </c>
      <c r="C940" s="917">
        <v>43156</v>
      </c>
      <c r="D940" s="918">
        <v>5000</v>
      </c>
      <c r="F940" s="708"/>
      <c r="G940" s="708"/>
      <c r="H940" s="708"/>
      <c r="I940" s="708"/>
    </row>
    <row r="941" spans="1:9" customFormat="1">
      <c r="A941" s="915" t="s">
        <v>759</v>
      </c>
      <c r="B941" s="916" t="s">
        <v>185</v>
      </c>
      <c r="C941" s="917">
        <v>43156</v>
      </c>
      <c r="D941" s="918">
        <v>2415.2199999999998</v>
      </c>
      <c r="F941" s="708"/>
      <c r="G941" s="708"/>
      <c r="H941" s="708"/>
      <c r="I941" s="708"/>
    </row>
    <row r="942" spans="1:9" customFormat="1">
      <c r="A942" s="915" t="s">
        <v>381</v>
      </c>
      <c r="B942" s="916" t="s">
        <v>250</v>
      </c>
      <c r="C942" s="917">
        <v>43156</v>
      </c>
      <c r="D942" s="918">
        <v>1480.19</v>
      </c>
      <c r="F942" s="708"/>
      <c r="G942" s="708"/>
      <c r="H942" s="708"/>
      <c r="I942" s="708"/>
    </row>
    <row r="943" spans="1:9" customFormat="1">
      <c r="A943" s="915" t="s">
        <v>391</v>
      </c>
      <c r="B943" s="916" t="s">
        <v>134</v>
      </c>
      <c r="C943" s="917">
        <v>43156</v>
      </c>
      <c r="D943" s="918">
        <v>1000</v>
      </c>
      <c r="F943" s="708"/>
      <c r="G943" s="708"/>
      <c r="H943" s="708"/>
      <c r="I943" s="708"/>
    </row>
    <row r="944" spans="1:9" customFormat="1">
      <c r="A944" s="915" t="s">
        <v>364</v>
      </c>
      <c r="B944" s="916" t="s">
        <v>186</v>
      </c>
      <c r="C944" s="917">
        <v>43156</v>
      </c>
      <c r="D944" s="918">
        <v>750</v>
      </c>
      <c r="F944" s="708"/>
      <c r="G944" s="708"/>
      <c r="H944" s="708"/>
      <c r="I944" s="708"/>
    </row>
    <row r="945" spans="1:9" customFormat="1">
      <c r="A945" s="915" t="s">
        <v>635</v>
      </c>
      <c r="B945" s="916" t="s">
        <v>189</v>
      </c>
      <c r="C945" s="917">
        <v>43156</v>
      </c>
      <c r="D945" s="918">
        <v>720.88</v>
      </c>
      <c r="F945" s="708"/>
      <c r="G945" s="708"/>
      <c r="H945" s="708"/>
      <c r="I945" s="708"/>
    </row>
    <row r="946" spans="1:9" customFormat="1">
      <c r="A946" s="915" t="s">
        <v>799</v>
      </c>
      <c r="B946" s="916" t="s">
        <v>292</v>
      </c>
      <c r="C946" s="917">
        <v>43157</v>
      </c>
      <c r="D946" s="918">
        <v>1359.65</v>
      </c>
      <c r="F946" s="708"/>
      <c r="G946" s="708"/>
      <c r="H946" s="708"/>
      <c r="I946" s="708"/>
    </row>
    <row r="947" spans="1:9" customFormat="1">
      <c r="A947" s="915" t="s">
        <v>135</v>
      </c>
      <c r="B947" s="916" t="s">
        <v>134</v>
      </c>
      <c r="C947" s="917">
        <v>43157</v>
      </c>
      <c r="D947" s="918">
        <v>1087.5999999999999</v>
      </c>
      <c r="F947" s="708"/>
      <c r="G947" s="708"/>
      <c r="H947" s="708"/>
      <c r="I947" s="708"/>
    </row>
    <row r="948" spans="1:9" customFormat="1">
      <c r="A948" s="915" t="s">
        <v>1062</v>
      </c>
      <c r="B948" s="916" t="s">
        <v>416</v>
      </c>
      <c r="C948" s="917">
        <v>43157</v>
      </c>
      <c r="D948" s="918">
        <v>541.95000000000005</v>
      </c>
      <c r="F948" s="708"/>
      <c r="G948" s="708"/>
      <c r="H948" s="708"/>
      <c r="I948" s="708"/>
    </row>
    <row r="949" spans="1:9" customFormat="1">
      <c r="A949" s="907" t="s">
        <v>900</v>
      </c>
      <c r="B949" s="908" t="s">
        <v>1198</v>
      </c>
      <c r="C949" s="909">
        <v>43158</v>
      </c>
      <c r="D949" s="910">
        <v>819.63599999999997</v>
      </c>
      <c r="F949" s="708"/>
      <c r="G949" s="708"/>
      <c r="H949" s="708"/>
      <c r="I949" s="708"/>
    </row>
    <row r="950" spans="1:9" customFormat="1">
      <c r="A950" s="915" t="s">
        <v>137</v>
      </c>
      <c r="B950" s="916" t="s">
        <v>136</v>
      </c>
      <c r="C950" s="917">
        <v>43158</v>
      </c>
      <c r="D950" s="918">
        <v>8656.2199999999993</v>
      </c>
      <c r="F950" s="708"/>
      <c r="G950" s="708"/>
      <c r="H950" s="708"/>
      <c r="I950" s="708"/>
    </row>
    <row r="951" spans="1:9" customFormat="1">
      <c r="A951" s="915" t="s">
        <v>492</v>
      </c>
      <c r="B951" s="916" t="s">
        <v>493</v>
      </c>
      <c r="C951" s="917">
        <v>43158</v>
      </c>
      <c r="D951" s="918">
        <v>1306.27</v>
      </c>
      <c r="F951" s="708"/>
      <c r="G951" s="708"/>
      <c r="H951" s="708"/>
      <c r="I951" s="708"/>
    </row>
    <row r="952" spans="1:9" customFormat="1">
      <c r="A952" s="915" t="s">
        <v>400</v>
      </c>
      <c r="B952" s="916" t="s">
        <v>401</v>
      </c>
      <c r="C952" s="917">
        <v>43158</v>
      </c>
      <c r="D952" s="918">
        <v>3390.99</v>
      </c>
      <c r="F952" s="708"/>
      <c r="G952" s="708"/>
      <c r="H952" s="708"/>
      <c r="I952" s="708"/>
    </row>
    <row r="953" spans="1:9" customFormat="1">
      <c r="A953" s="915" t="s">
        <v>203</v>
      </c>
      <c r="B953" s="916" t="s">
        <v>202</v>
      </c>
      <c r="C953" s="917">
        <v>43158</v>
      </c>
      <c r="D953" s="918">
        <v>2900</v>
      </c>
      <c r="F953" s="708"/>
      <c r="G953" s="708"/>
      <c r="H953" s="708"/>
      <c r="I953" s="708"/>
    </row>
    <row r="954" spans="1:9" customFormat="1">
      <c r="A954" s="915" t="s">
        <v>387</v>
      </c>
      <c r="B954" s="916" t="s">
        <v>154</v>
      </c>
      <c r="C954" s="917">
        <v>43158</v>
      </c>
      <c r="D954" s="918">
        <v>2374.73</v>
      </c>
      <c r="F954" s="708"/>
      <c r="G954" s="708"/>
      <c r="H954" s="708"/>
      <c r="I954" s="708"/>
    </row>
    <row r="955" spans="1:9" customFormat="1">
      <c r="A955" s="915" t="s">
        <v>478</v>
      </c>
      <c r="B955" s="916" t="s">
        <v>479</v>
      </c>
      <c r="C955" s="917">
        <v>43158</v>
      </c>
      <c r="D955" s="918">
        <v>2000</v>
      </c>
      <c r="F955" s="708"/>
      <c r="G955" s="708"/>
      <c r="H955" s="708"/>
      <c r="I955" s="708"/>
    </row>
    <row r="956" spans="1:9" customFormat="1">
      <c r="A956" s="915" t="s">
        <v>878</v>
      </c>
      <c r="B956" s="916" t="s">
        <v>210</v>
      </c>
      <c r="C956" s="917">
        <v>43158</v>
      </c>
      <c r="D956" s="918">
        <v>5149.67</v>
      </c>
      <c r="F956" s="708"/>
      <c r="G956" s="708"/>
      <c r="H956" s="708"/>
      <c r="I956" s="708"/>
    </row>
    <row r="957" spans="1:9" customFormat="1">
      <c r="A957" s="907" t="s">
        <v>729</v>
      </c>
      <c r="B957" s="908" t="s">
        <v>730</v>
      </c>
      <c r="C957" s="909">
        <v>43159</v>
      </c>
      <c r="D957" s="910">
        <v>391.69499999999999</v>
      </c>
      <c r="F957" s="708"/>
      <c r="G957" s="708"/>
      <c r="H957" s="708"/>
      <c r="I957" s="708"/>
    </row>
    <row r="958" spans="1:9" customFormat="1">
      <c r="A958" s="907" t="s">
        <v>1336</v>
      </c>
      <c r="B958" s="908" t="s">
        <v>1335</v>
      </c>
      <c r="C958" s="909">
        <v>43159</v>
      </c>
      <c r="D958" s="910">
        <v>3747.4360000000001</v>
      </c>
      <c r="F958" s="708"/>
      <c r="G958" s="708"/>
      <c r="H958" s="708"/>
      <c r="I958" s="708"/>
    </row>
    <row r="959" spans="1:9" customFormat="1">
      <c r="A959" s="907" t="s">
        <v>540</v>
      </c>
      <c r="B959" s="908" t="s">
        <v>539</v>
      </c>
      <c r="C959" s="909">
        <v>43159</v>
      </c>
      <c r="D959" s="910">
        <v>2203.232</v>
      </c>
      <c r="F959" s="708"/>
      <c r="G959" s="708"/>
      <c r="H959" s="708"/>
      <c r="I959" s="708"/>
    </row>
    <row r="960" spans="1:9" customFormat="1">
      <c r="A960" s="907" t="s">
        <v>791</v>
      </c>
      <c r="B960" s="908" t="s">
        <v>792</v>
      </c>
      <c r="C960" s="909">
        <v>43159</v>
      </c>
      <c r="D960" s="910">
        <v>4000</v>
      </c>
      <c r="F960" s="708"/>
      <c r="G960" s="708"/>
      <c r="H960" s="708"/>
      <c r="I960" s="708"/>
    </row>
    <row r="961" spans="1:9" customFormat="1">
      <c r="A961" s="907" t="s">
        <v>612</v>
      </c>
      <c r="B961" s="908" t="s">
        <v>613</v>
      </c>
      <c r="C961" s="909">
        <v>43159</v>
      </c>
      <c r="D961" s="910">
        <v>1512.3879999999999</v>
      </c>
      <c r="F961" s="708"/>
      <c r="G961" s="708"/>
      <c r="H961" s="708"/>
      <c r="I961" s="708"/>
    </row>
    <row r="962" spans="1:9" customFormat="1">
      <c r="A962" s="907" t="s">
        <v>1304</v>
      </c>
      <c r="B962" s="908" t="s">
        <v>1303</v>
      </c>
      <c r="C962" s="909">
        <v>43159</v>
      </c>
      <c r="D962" s="910">
        <v>2636.4639999999999</v>
      </c>
      <c r="F962" s="708"/>
      <c r="G962" s="708"/>
      <c r="H962" s="708"/>
      <c r="I962" s="708"/>
    </row>
    <row r="963" spans="1:9" customFormat="1">
      <c r="A963" s="907" t="s">
        <v>374</v>
      </c>
      <c r="B963" s="908" t="s">
        <v>234</v>
      </c>
      <c r="C963" s="909">
        <v>43159</v>
      </c>
      <c r="D963" s="910">
        <v>1226.3979999999999</v>
      </c>
      <c r="F963" s="708"/>
      <c r="G963" s="708"/>
      <c r="H963" s="708"/>
      <c r="I963" s="708"/>
    </row>
    <row r="964" spans="1:9" customFormat="1">
      <c r="A964" s="907" t="s">
        <v>1293</v>
      </c>
      <c r="B964" s="908" t="s">
        <v>627</v>
      </c>
      <c r="C964" s="909">
        <v>43159</v>
      </c>
      <c r="D964" s="910">
        <v>1357.9839999999999</v>
      </c>
      <c r="F964" s="708"/>
      <c r="G964" s="708"/>
      <c r="H964" s="708"/>
      <c r="I964" s="708"/>
    </row>
    <row r="965" spans="1:9" customFormat="1">
      <c r="A965" s="907" t="s">
        <v>929</v>
      </c>
      <c r="B965" s="908" t="s">
        <v>928</v>
      </c>
      <c r="C965" s="909">
        <v>43159</v>
      </c>
      <c r="D965" s="910">
        <v>986.53300000000002</v>
      </c>
      <c r="F965" s="708"/>
      <c r="G965" s="708"/>
      <c r="H965" s="708"/>
      <c r="I965" s="708"/>
    </row>
    <row r="966" spans="1:9" customFormat="1">
      <c r="A966" s="907" t="s">
        <v>1291</v>
      </c>
      <c r="B966" s="908" t="s">
        <v>611</v>
      </c>
      <c r="C966" s="909">
        <v>43159</v>
      </c>
      <c r="D966" s="910">
        <v>336.524</v>
      </c>
      <c r="F966" s="708"/>
      <c r="G966" s="708"/>
      <c r="H966" s="708"/>
      <c r="I966" s="708"/>
    </row>
    <row r="967" spans="1:9" customFormat="1">
      <c r="A967" s="907" t="s">
        <v>368</v>
      </c>
      <c r="B967" s="908" t="s">
        <v>1038</v>
      </c>
      <c r="C967" s="909">
        <v>43159</v>
      </c>
      <c r="D967" s="910">
        <v>1159.925</v>
      </c>
      <c r="F967" s="708"/>
      <c r="G967" s="708"/>
      <c r="H967" s="708"/>
      <c r="I967" s="708"/>
    </row>
    <row r="968" spans="1:9">
      <c r="A968" s="907" t="s">
        <v>1288</v>
      </c>
      <c r="B968" s="908" t="s">
        <v>1287</v>
      </c>
      <c r="C968" s="909">
        <v>43159</v>
      </c>
      <c r="D968" s="910">
        <v>3321.7809999999999</v>
      </c>
    </row>
    <row r="969" spans="1:9" customFormat="1">
      <c r="A969" s="907" t="s">
        <v>1005</v>
      </c>
      <c r="B969" s="908" t="s">
        <v>1285</v>
      </c>
      <c r="C969" s="909">
        <v>43159</v>
      </c>
      <c r="D969" s="910">
        <v>2613.6579999999999</v>
      </c>
      <c r="F969" s="708"/>
      <c r="G969" s="708"/>
      <c r="H969" s="708"/>
      <c r="I969" s="708"/>
    </row>
    <row r="970" spans="1:9" customFormat="1">
      <c r="A970" s="907" t="s">
        <v>1004</v>
      </c>
      <c r="B970" s="908" t="s">
        <v>1283</v>
      </c>
      <c r="C970" s="909">
        <v>43159</v>
      </c>
      <c r="D970" s="910">
        <v>1100</v>
      </c>
      <c r="F970" s="708"/>
      <c r="G970" s="708"/>
      <c r="H970" s="708"/>
      <c r="I970" s="708"/>
    </row>
    <row r="971" spans="1:9" customFormat="1">
      <c r="A971" s="907" t="s">
        <v>490</v>
      </c>
      <c r="B971" s="908" t="s">
        <v>491</v>
      </c>
      <c r="C971" s="909">
        <v>43159</v>
      </c>
      <c r="D971" s="910">
        <v>3700</v>
      </c>
      <c r="F971" s="708"/>
      <c r="G971" s="708"/>
      <c r="H971" s="708"/>
      <c r="I971" s="708"/>
    </row>
    <row r="972" spans="1:9" customFormat="1">
      <c r="A972" s="907" t="s">
        <v>723</v>
      </c>
      <c r="B972" s="908" t="s">
        <v>1248</v>
      </c>
      <c r="C972" s="909">
        <v>43159</v>
      </c>
      <c r="D972" s="910">
        <v>1500</v>
      </c>
      <c r="F972" s="708"/>
      <c r="G972" s="708"/>
      <c r="H972" s="708"/>
      <c r="I972" s="708"/>
    </row>
    <row r="973" spans="1:9" customFormat="1">
      <c r="A973" s="907" t="s">
        <v>404</v>
      </c>
      <c r="B973" s="908" t="s">
        <v>1226</v>
      </c>
      <c r="C973" s="909">
        <v>43159</v>
      </c>
      <c r="D973" s="910">
        <v>2525.9499999999998</v>
      </c>
      <c r="F973" s="708"/>
      <c r="G973" s="708"/>
      <c r="H973" s="708"/>
      <c r="I973" s="708"/>
    </row>
    <row r="974" spans="1:9" customFormat="1">
      <c r="A974" s="907" t="s">
        <v>377</v>
      </c>
      <c r="B974" s="908" t="s">
        <v>263</v>
      </c>
      <c r="C974" s="909">
        <v>43159</v>
      </c>
      <c r="D974" s="910">
        <v>3731.1329999999998</v>
      </c>
      <c r="F974" s="708"/>
      <c r="G974" s="708"/>
      <c r="H974" s="708"/>
      <c r="I974" s="708"/>
    </row>
    <row r="975" spans="1:9" customFormat="1">
      <c r="A975" s="907" t="s">
        <v>440</v>
      </c>
      <c r="B975" s="908" t="s">
        <v>1220</v>
      </c>
      <c r="C975" s="909">
        <v>43159</v>
      </c>
      <c r="D975" s="910">
        <v>1000</v>
      </c>
      <c r="F975" s="708"/>
      <c r="G975" s="708"/>
      <c r="H975" s="708"/>
      <c r="I975" s="708"/>
    </row>
    <row r="976" spans="1:9" customFormat="1">
      <c r="A976" s="907" t="s">
        <v>605</v>
      </c>
      <c r="B976" s="908" t="s">
        <v>606</v>
      </c>
      <c r="C976" s="909">
        <v>43159</v>
      </c>
      <c r="D976" s="910">
        <v>2743.3290000000002</v>
      </c>
      <c r="F976" s="708"/>
      <c r="G976" s="708"/>
      <c r="H976" s="708"/>
      <c r="I976" s="708"/>
    </row>
    <row r="977" spans="1:9" customFormat="1">
      <c r="A977" s="907" t="s">
        <v>1215</v>
      </c>
      <c r="B977" s="908" t="s">
        <v>1214</v>
      </c>
      <c r="C977" s="909">
        <v>43159</v>
      </c>
      <c r="D977" s="910">
        <v>4000</v>
      </c>
      <c r="F977" s="708"/>
      <c r="G977" s="708"/>
      <c r="H977" s="708"/>
      <c r="I977" s="708"/>
    </row>
    <row r="978" spans="1:9" customFormat="1">
      <c r="A978" s="907" t="s">
        <v>1199</v>
      </c>
      <c r="B978" s="908" t="s">
        <v>547</v>
      </c>
      <c r="C978" s="909">
        <v>43159</v>
      </c>
      <c r="D978" s="910">
        <v>368.18900000000002</v>
      </c>
      <c r="F978" s="708"/>
      <c r="G978" s="708"/>
      <c r="H978" s="708"/>
      <c r="I978" s="708"/>
    </row>
    <row r="979" spans="1:9" customFormat="1">
      <c r="A979" s="907" t="s">
        <v>191</v>
      </c>
      <c r="B979" s="908" t="s">
        <v>190</v>
      </c>
      <c r="C979" s="909">
        <v>43159</v>
      </c>
      <c r="D979" s="910">
        <v>6430.5720000000001</v>
      </c>
      <c r="F979" s="708"/>
      <c r="G979" s="708"/>
      <c r="H979" s="708"/>
      <c r="I979" s="708"/>
    </row>
    <row r="980" spans="1:9" customFormat="1">
      <c r="A980" s="907" t="s">
        <v>657</v>
      </c>
      <c r="B980" s="908" t="s">
        <v>1194</v>
      </c>
      <c r="C980" s="909">
        <v>43159</v>
      </c>
      <c r="D980" s="910">
        <v>1451.1369999999999</v>
      </c>
      <c r="F980" s="708"/>
      <c r="G980" s="708"/>
      <c r="H980" s="708"/>
      <c r="I980" s="708"/>
    </row>
    <row r="981" spans="1:9" customFormat="1">
      <c r="A981" s="907" t="s">
        <v>461</v>
      </c>
      <c r="B981" s="908" t="s">
        <v>220</v>
      </c>
      <c r="C981" s="909">
        <v>43159</v>
      </c>
      <c r="D981" s="910">
        <v>6453.8029999999999</v>
      </c>
      <c r="F981" s="708"/>
      <c r="G981" s="708"/>
      <c r="H981" s="708"/>
      <c r="I981" s="708"/>
    </row>
    <row r="982" spans="1:9" customFormat="1">
      <c r="A982" s="907" t="s">
        <v>720</v>
      </c>
      <c r="B982" s="908" t="s">
        <v>269</v>
      </c>
      <c r="C982" s="909">
        <v>43159</v>
      </c>
      <c r="D982" s="910">
        <v>4919.0940000000001</v>
      </c>
      <c r="F982" s="708"/>
      <c r="G982" s="708"/>
      <c r="H982" s="708"/>
      <c r="I982" s="708"/>
    </row>
    <row r="983" spans="1:9">
      <c r="A983" s="907" t="s">
        <v>719</v>
      </c>
      <c r="B983" s="908" t="s">
        <v>1177</v>
      </c>
      <c r="C983" s="909">
        <v>43159</v>
      </c>
      <c r="D983" s="910">
        <v>2359.4969999999998</v>
      </c>
    </row>
    <row r="984" spans="1:9">
      <c r="A984" s="907" t="s">
        <v>309</v>
      </c>
      <c r="B984" s="908" t="s">
        <v>1178</v>
      </c>
      <c r="C984" s="909">
        <v>43159</v>
      </c>
      <c r="D984" s="910">
        <v>7137.9449999999997</v>
      </c>
    </row>
    <row r="985" spans="1:9">
      <c r="A985" s="907" t="s">
        <v>872</v>
      </c>
      <c r="B985" s="908" t="s">
        <v>873</v>
      </c>
      <c r="C985" s="909">
        <v>43159</v>
      </c>
      <c r="D985" s="910">
        <v>1340.1990000000001</v>
      </c>
    </row>
    <row r="986" spans="1:9">
      <c r="A986" s="915" t="s">
        <v>163</v>
      </c>
      <c r="B986" s="916" t="s">
        <v>162</v>
      </c>
      <c r="C986" s="917">
        <v>43159</v>
      </c>
      <c r="D986" s="918">
        <v>1500</v>
      </c>
    </row>
    <row r="987" spans="1:9">
      <c r="A987" s="915" t="s">
        <v>536</v>
      </c>
      <c r="B987" s="916" t="s">
        <v>194</v>
      </c>
      <c r="C987" s="917">
        <v>43159</v>
      </c>
      <c r="D987" s="918">
        <v>771.32</v>
      </c>
    </row>
    <row r="988" spans="1:9">
      <c r="A988" s="915" t="s">
        <v>1134</v>
      </c>
      <c r="B988" s="916" t="s">
        <v>1133</v>
      </c>
      <c r="C988" s="917">
        <v>43159</v>
      </c>
      <c r="D988" s="918">
        <v>10574.46</v>
      </c>
    </row>
    <row r="989" spans="1:9">
      <c r="A989" s="915" t="s">
        <v>667</v>
      </c>
      <c r="B989" s="916" t="s">
        <v>666</v>
      </c>
      <c r="C989" s="917">
        <v>43159</v>
      </c>
      <c r="D989" s="918">
        <v>2983.13</v>
      </c>
    </row>
    <row r="990" spans="1:9">
      <c r="A990" s="915" t="s">
        <v>179</v>
      </c>
      <c r="B990" s="916" t="s">
        <v>178</v>
      </c>
      <c r="C990" s="917">
        <v>43159</v>
      </c>
      <c r="D990" s="918">
        <v>3508.71</v>
      </c>
    </row>
    <row r="991" spans="1:9">
      <c r="A991" s="915" t="s">
        <v>409</v>
      </c>
      <c r="B991" s="916" t="s">
        <v>145</v>
      </c>
      <c r="C991" s="917">
        <v>43159</v>
      </c>
      <c r="D991" s="918">
        <v>2900</v>
      </c>
    </row>
    <row r="992" spans="1:9">
      <c r="A992" s="915" t="s">
        <v>298</v>
      </c>
      <c r="B992" s="916" t="s">
        <v>299</v>
      </c>
      <c r="C992" s="917">
        <v>43159</v>
      </c>
      <c r="D992" s="918">
        <v>4014</v>
      </c>
    </row>
    <row r="993" spans="1:4">
      <c r="A993" s="915" t="s">
        <v>321</v>
      </c>
      <c r="B993" s="916" t="s">
        <v>322</v>
      </c>
      <c r="C993" s="917">
        <v>43159</v>
      </c>
      <c r="D993" s="918">
        <v>6727.59</v>
      </c>
    </row>
    <row r="994" spans="1:4">
      <c r="A994" s="915" t="s">
        <v>411</v>
      </c>
      <c r="B994" s="916" t="s">
        <v>403</v>
      </c>
      <c r="C994" s="917">
        <v>43159</v>
      </c>
      <c r="D994" s="918">
        <v>600</v>
      </c>
    </row>
    <row r="995" spans="1:4">
      <c r="A995" s="915" t="s">
        <v>277</v>
      </c>
      <c r="B995" s="916" t="s">
        <v>276</v>
      </c>
      <c r="C995" s="917">
        <v>43159</v>
      </c>
      <c r="D995" s="918">
        <v>904.95</v>
      </c>
    </row>
    <row r="996" spans="1:4">
      <c r="A996" s="915" t="s">
        <v>757</v>
      </c>
      <c r="B996" s="916" t="s">
        <v>758</v>
      </c>
      <c r="C996" s="917">
        <v>43159</v>
      </c>
      <c r="D996" s="918">
        <v>2400</v>
      </c>
    </row>
    <row r="997" spans="1:4">
      <c r="A997" s="915" t="s">
        <v>864</v>
      </c>
      <c r="B997" s="916" t="s">
        <v>865</v>
      </c>
      <c r="C997" s="917">
        <v>43159</v>
      </c>
      <c r="D997" s="918">
        <v>1351.49</v>
      </c>
    </row>
    <row r="998" spans="1:4">
      <c r="A998" s="915" t="s">
        <v>317</v>
      </c>
      <c r="B998" s="916" t="s">
        <v>318</v>
      </c>
      <c r="C998" s="917">
        <v>43159</v>
      </c>
      <c r="D998" s="918">
        <v>1695.2</v>
      </c>
    </row>
    <row r="999" spans="1:4">
      <c r="A999" s="915" t="s">
        <v>711</v>
      </c>
      <c r="B999" s="916" t="s">
        <v>765</v>
      </c>
      <c r="C999" s="917">
        <v>43159</v>
      </c>
      <c r="D999" s="918">
        <v>3500</v>
      </c>
    </row>
    <row r="1000" spans="1:4">
      <c r="A1000" s="915" t="s">
        <v>727</v>
      </c>
      <c r="B1000" s="916" t="s">
        <v>728</v>
      </c>
      <c r="C1000" s="917">
        <v>43159</v>
      </c>
      <c r="D1000" s="918">
        <v>1886.12</v>
      </c>
    </row>
    <row r="1001" spans="1:4">
      <c r="A1001" s="915" t="s">
        <v>157</v>
      </c>
      <c r="B1001" s="916" t="s">
        <v>156</v>
      </c>
      <c r="C1001" s="917">
        <v>43159</v>
      </c>
      <c r="D1001" s="918">
        <v>964.06</v>
      </c>
    </row>
    <row r="1002" spans="1:4">
      <c r="A1002" s="915" t="s">
        <v>369</v>
      </c>
      <c r="B1002" s="916" t="s">
        <v>370</v>
      </c>
      <c r="C1002" s="917">
        <v>43159</v>
      </c>
      <c r="D1002" s="918">
        <v>3847.6</v>
      </c>
    </row>
    <row r="1003" spans="1:4">
      <c r="A1003" s="915" t="s">
        <v>723</v>
      </c>
      <c r="B1003" s="916" t="s">
        <v>238</v>
      </c>
      <c r="C1003" s="917">
        <v>43159</v>
      </c>
      <c r="D1003" s="918">
        <v>974.36</v>
      </c>
    </row>
    <row r="1004" spans="1:4">
      <c r="A1004" s="915" t="s">
        <v>513</v>
      </c>
      <c r="B1004" s="916" t="s">
        <v>512</v>
      </c>
      <c r="C1004" s="917">
        <v>43159</v>
      </c>
      <c r="D1004" s="918">
        <v>6319.77</v>
      </c>
    </row>
    <row r="1005" spans="1:4">
      <c r="A1005" s="915" t="s">
        <v>313</v>
      </c>
      <c r="B1005" s="916" t="s">
        <v>314</v>
      </c>
      <c r="C1005" s="917">
        <v>43159</v>
      </c>
      <c r="D1005" s="918">
        <v>2195.9899999999998</v>
      </c>
    </row>
    <row r="1006" spans="1:4">
      <c r="A1006" s="915" t="s">
        <v>599</v>
      </c>
      <c r="B1006" s="916" t="s">
        <v>600</v>
      </c>
      <c r="C1006" s="917">
        <v>43159</v>
      </c>
      <c r="D1006" s="918">
        <v>478.61</v>
      </c>
    </row>
    <row r="1007" spans="1:4">
      <c r="A1007" s="915" t="s">
        <v>677</v>
      </c>
      <c r="B1007" s="916" t="s">
        <v>676</v>
      </c>
      <c r="C1007" s="917">
        <v>43159</v>
      </c>
      <c r="D1007" s="918">
        <v>1321.15</v>
      </c>
    </row>
    <row r="1008" spans="1:4">
      <c r="A1008" s="915" t="s">
        <v>161</v>
      </c>
      <c r="B1008" s="916" t="s">
        <v>160</v>
      </c>
      <c r="C1008" s="917">
        <v>43159</v>
      </c>
      <c r="D1008" s="918">
        <v>3000</v>
      </c>
    </row>
    <row r="1009" spans="1:4">
      <c r="A1009" s="915" t="s">
        <v>256</v>
      </c>
      <c r="B1009" s="916" t="s">
        <v>255</v>
      </c>
      <c r="C1009" s="917">
        <v>43159</v>
      </c>
      <c r="D1009" s="918">
        <v>626.99</v>
      </c>
    </row>
    <row r="1010" spans="1:4">
      <c r="A1010" s="915" t="s">
        <v>133</v>
      </c>
      <c r="B1010" s="916" t="s">
        <v>132</v>
      </c>
      <c r="C1010" s="917">
        <v>43159</v>
      </c>
      <c r="D1010" s="918">
        <v>1821.78</v>
      </c>
    </row>
    <row r="1011" spans="1:4">
      <c r="A1011" s="915" t="s">
        <v>165</v>
      </c>
      <c r="B1011" s="916" t="s">
        <v>164</v>
      </c>
      <c r="C1011" s="917">
        <v>43159</v>
      </c>
      <c r="D1011" s="918">
        <v>5000</v>
      </c>
    </row>
    <row r="1012" spans="1:4">
      <c r="A1012" s="915" t="s">
        <v>170</v>
      </c>
      <c r="B1012" s="916" t="s">
        <v>169</v>
      </c>
      <c r="C1012" s="917">
        <v>43159</v>
      </c>
      <c r="D1012" s="918">
        <v>3265.24</v>
      </c>
    </row>
    <row r="1013" spans="1:4">
      <c r="A1013" s="915" t="s">
        <v>645</v>
      </c>
      <c r="B1013" s="916" t="s">
        <v>646</v>
      </c>
      <c r="C1013" s="917">
        <v>43159</v>
      </c>
      <c r="D1013" s="918">
        <v>1131.8900000000001</v>
      </c>
    </row>
    <row r="1014" spans="1:4">
      <c r="A1014" s="915" t="s">
        <v>198</v>
      </c>
      <c r="B1014" s="916" t="s">
        <v>197</v>
      </c>
      <c r="C1014" s="917">
        <v>43159</v>
      </c>
      <c r="D1014" s="918">
        <v>1797.72</v>
      </c>
    </row>
    <row r="1015" spans="1:4">
      <c r="A1015" s="915" t="s">
        <v>482</v>
      </c>
      <c r="B1015" s="916" t="s">
        <v>483</v>
      </c>
      <c r="C1015" s="917">
        <v>43159</v>
      </c>
      <c r="D1015" s="918">
        <v>1345.46</v>
      </c>
    </row>
    <row r="1016" spans="1:4">
      <c r="A1016" s="915" t="s">
        <v>172</v>
      </c>
      <c r="B1016" s="916" t="s">
        <v>171</v>
      </c>
      <c r="C1016" s="917">
        <v>43159</v>
      </c>
      <c r="D1016" s="918">
        <v>4142.84</v>
      </c>
    </row>
    <row r="1017" spans="1:4">
      <c r="A1017" s="915" t="s">
        <v>675</v>
      </c>
      <c r="B1017" s="916" t="s">
        <v>674</v>
      </c>
      <c r="C1017" s="917">
        <v>43159</v>
      </c>
      <c r="D1017" s="918">
        <v>1631.37</v>
      </c>
    </row>
    <row r="1018" spans="1:4">
      <c r="A1018" s="915" t="s">
        <v>212</v>
      </c>
      <c r="B1018" s="916" t="s">
        <v>211</v>
      </c>
      <c r="C1018" s="917">
        <v>43159</v>
      </c>
      <c r="D1018" s="918">
        <v>2051.37</v>
      </c>
    </row>
    <row r="1019" spans="1:4">
      <c r="A1019" s="915" t="s">
        <v>508</v>
      </c>
      <c r="B1019" s="916" t="s">
        <v>507</v>
      </c>
      <c r="C1019" s="917">
        <v>43159</v>
      </c>
      <c r="D1019" s="918">
        <v>1786.68</v>
      </c>
    </row>
    <row r="1020" spans="1:4">
      <c r="A1020" s="915" t="s">
        <v>623</v>
      </c>
      <c r="B1020" s="916" t="s">
        <v>624</v>
      </c>
      <c r="C1020" s="917">
        <v>43159</v>
      </c>
      <c r="D1020" s="918">
        <v>926.56</v>
      </c>
    </row>
    <row r="1021" spans="1:4">
      <c r="A1021" s="915" t="s">
        <v>1039</v>
      </c>
      <c r="B1021" s="916" t="s">
        <v>173</v>
      </c>
      <c r="C1021" s="917">
        <v>43159</v>
      </c>
      <c r="D1021" s="918">
        <v>1871.8</v>
      </c>
    </row>
    <row r="1022" spans="1:4">
      <c r="A1022" s="915" t="s">
        <v>1165</v>
      </c>
      <c r="B1022" s="916" t="s">
        <v>1164</v>
      </c>
      <c r="C1022" s="917">
        <v>43159</v>
      </c>
      <c r="D1022" s="918">
        <v>799.09</v>
      </c>
    </row>
    <row r="1023" spans="1:4">
      <c r="A1023" s="915" t="s">
        <v>413</v>
      </c>
      <c r="B1023" s="916" t="s">
        <v>175</v>
      </c>
      <c r="C1023" s="917">
        <v>43159</v>
      </c>
      <c r="D1023" s="918">
        <v>6695.72</v>
      </c>
    </row>
    <row r="1024" spans="1:4">
      <c r="A1024" s="915" t="s">
        <v>1163</v>
      </c>
      <c r="B1024" s="916" t="s">
        <v>248</v>
      </c>
      <c r="C1024" s="917">
        <v>43159</v>
      </c>
      <c r="D1024" s="918">
        <v>1590.74</v>
      </c>
    </row>
    <row r="1025" spans="1:4">
      <c r="A1025" s="915" t="s">
        <v>551</v>
      </c>
      <c r="B1025" s="916" t="s">
        <v>249</v>
      </c>
      <c r="C1025" s="917">
        <v>43159</v>
      </c>
      <c r="D1025" s="918">
        <v>445.54</v>
      </c>
    </row>
    <row r="1026" spans="1:4">
      <c r="A1026" s="915" t="s">
        <v>1162</v>
      </c>
      <c r="B1026" s="916" t="s">
        <v>174</v>
      </c>
      <c r="C1026" s="917">
        <v>43159</v>
      </c>
      <c r="D1026" s="918">
        <v>1900.34</v>
      </c>
    </row>
    <row r="1027" spans="1:4">
      <c r="A1027" s="915" t="s">
        <v>672</v>
      </c>
      <c r="B1027" s="916" t="s">
        <v>566</v>
      </c>
      <c r="C1027" s="917">
        <v>43159</v>
      </c>
      <c r="D1027" s="918">
        <v>1239.47</v>
      </c>
    </row>
    <row r="1028" spans="1:4">
      <c r="A1028" s="915" t="s">
        <v>956</v>
      </c>
      <c r="B1028" s="916" t="s">
        <v>524</v>
      </c>
      <c r="C1028" s="917">
        <v>43159</v>
      </c>
      <c r="D1028" s="918">
        <v>1408.78</v>
      </c>
    </row>
    <row r="1029" spans="1:4">
      <c r="A1029" s="915" t="s">
        <v>632</v>
      </c>
      <c r="B1029" s="916" t="s">
        <v>466</v>
      </c>
      <c r="C1029" s="917">
        <v>43159</v>
      </c>
      <c r="D1029" s="918">
        <v>750.57</v>
      </c>
    </row>
    <row r="1030" spans="1:4">
      <c r="A1030" s="915" t="s">
        <v>307</v>
      </c>
      <c r="B1030" s="916" t="s">
        <v>308</v>
      </c>
      <c r="C1030" s="917">
        <v>43159</v>
      </c>
      <c r="D1030" s="918">
        <v>518.48</v>
      </c>
    </row>
    <row r="1031" spans="1:4">
      <c r="A1031" s="915" t="s">
        <v>760</v>
      </c>
      <c r="B1031" s="916" t="s">
        <v>415</v>
      </c>
      <c r="C1031" s="917">
        <v>43159</v>
      </c>
      <c r="D1031" s="918">
        <v>8000</v>
      </c>
    </row>
    <row r="1032" spans="1:4">
      <c r="A1032" s="915" t="s">
        <v>874</v>
      </c>
      <c r="B1032" s="916" t="s">
        <v>141</v>
      </c>
      <c r="C1032" s="917">
        <v>43159</v>
      </c>
      <c r="D1032" s="918">
        <v>442.94</v>
      </c>
    </row>
    <row r="1033" spans="1:4">
      <c r="A1033" s="915" t="s">
        <v>1160</v>
      </c>
      <c r="B1033" s="916" t="s">
        <v>182</v>
      </c>
      <c r="C1033" s="917">
        <v>43159</v>
      </c>
      <c r="D1033" s="918">
        <v>3114.75</v>
      </c>
    </row>
    <row r="1034" spans="1:4">
      <c r="A1034" s="915" t="s">
        <v>741</v>
      </c>
      <c r="B1034" s="916" t="s">
        <v>153</v>
      </c>
      <c r="C1034" s="917">
        <v>43159</v>
      </c>
      <c r="D1034" s="918">
        <v>4935.6000000000004</v>
      </c>
    </row>
    <row r="1035" spans="1:4">
      <c r="A1035" s="915" t="s">
        <v>712</v>
      </c>
      <c r="B1035" s="916" t="s">
        <v>764</v>
      </c>
      <c r="C1035" s="917">
        <v>43159</v>
      </c>
      <c r="D1035" s="918">
        <v>268.42</v>
      </c>
    </row>
    <row r="1036" spans="1:4">
      <c r="A1036" s="915" t="s">
        <v>759</v>
      </c>
      <c r="B1036" s="916" t="s">
        <v>185</v>
      </c>
      <c r="C1036" s="917">
        <v>43159</v>
      </c>
      <c r="D1036" s="918">
        <v>2415.2199999999998</v>
      </c>
    </row>
    <row r="1037" spans="1:4">
      <c r="A1037" s="915" t="s">
        <v>523</v>
      </c>
      <c r="B1037" s="916" t="s">
        <v>522</v>
      </c>
      <c r="C1037" s="917">
        <v>43159</v>
      </c>
      <c r="D1037" s="918">
        <v>895.96</v>
      </c>
    </row>
    <row r="1038" spans="1:4">
      <c r="A1038" s="915" t="s">
        <v>380</v>
      </c>
      <c r="B1038" s="916" t="s">
        <v>193</v>
      </c>
      <c r="C1038" s="917">
        <v>43159</v>
      </c>
      <c r="D1038" s="918">
        <v>913</v>
      </c>
    </row>
    <row r="1039" spans="1:4">
      <c r="A1039" s="915" t="s">
        <v>749</v>
      </c>
      <c r="B1039" s="916" t="s">
        <v>281</v>
      </c>
      <c r="C1039" s="917">
        <v>43159</v>
      </c>
      <c r="D1039" s="918">
        <v>2659.29</v>
      </c>
    </row>
    <row r="1040" spans="1:4">
      <c r="A1040" s="915" t="s">
        <v>209</v>
      </c>
      <c r="B1040" s="916" t="s">
        <v>208</v>
      </c>
      <c r="C1040" s="917">
        <v>43159</v>
      </c>
      <c r="D1040" s="918">
        <v>2000</v>
      </c>
    </row>
    <row r="1041" spans="1:4">
      <c r="A1041" s="915" t="s">
        <v>814</v>
      </c>
      <c r="B1041" s="916" t="s">
        <v>679</v>
      </c>
      <c r="C1041" s="917">
        <v>43159</v>
      </c>
      <c r="D1041" s="918">
        <v>1113.0899999999999</v>
      </c>
    </row>
    <row r="1042" spans="1:4">
      <c r="A1042" s="915" t="s">
        <v>931</v>
      </c>
      <c r="B1042" s="916" t="s">
        <v>930</v>
      </c>
      <c r="C1042" s="917">
        <v>43159</v>
      </c>
      <c r="D1042" s="918">
        <v>727.81</v>
      </c>
    </row>
    <row r="1043" spans="1:4">
      <c r="A1043" s="915" t="s">
        <v>1155</v>
      </c>
      <c r="B1043" s="916" t="s">
        <v>338</v>
      </c>
      <c r="C1043" s="917">
        <v>43159</v>
      </c>
      <c r="D1043" s="918">
        <v>7625.42</v>
      </c>
    </row>
    <row r="1044" spans="1:4">
      <c r="A1044" s="915" t="s">
        <v>914</v>
      </c>
      <c r="B1044" s="916" t="s">
        <v>252</v>
      </c>
      <c r="C1044" s="917">
        <v>43159</v>
      </c>
      <c r="D1044" s="918">
        <v>2781.59</v>
      </c>
    </row>
    <row r="1045" spans="1:4">
      <c r="A1045" s="915" t="s">
        <v>922</v>
      </c>
      <c r="B1045" s="916" t="s">
        <v>528</v>
      </c>
      <c r="C1045" s="917">
        <v>43159</v>
      </c>
      <c r="D1045" s="918">
        <v>1544.54</v>
      </c>
    </row>
    <row r="1046" spans="1:4">
      <c r="A1046" s="915" t="s">
        <v>1154</v>
      </c>
      <c r="B1046" s="916" t="s">
        <v>802</v>
      </c>
      <c r="C1046" s="917">
        <v>43159</v>
      </c>
      <c r="D1046" s="918">
        <v>1352.51</v>
      </c>
    </row>
    <row r="1047" spans="1:4">
      <c r="A1047" s="915" t="s">
        <v>913</v>
      </c>
      <c r="B1047" s="916" t="s">
        <v>831</v>
      </c>
      <c r="C1047" s="917">
        <v>43159</v>
      </c>
      <c r="D1047" s="918">
        <v>2796.36</v>
      </c>
    </row>
    <row r="1048" spans="1:4">
      <c r="A1048" s="915" t="s">
        <v>1148</v>
      </c>
      <c r="B1048" s="916" t="s">
        <v>341</v>
      </c>
      <c r="C1048" s="917">
        <v>43159</v>
      </c>
      <c r="D1048" s="918">
        <v>365.65</v>
      </c>
    </row>
    <row r="1049" spans="1:4">
      <c r="A1049" s="915" t="s">
        <v>372</v>
      </c>
      <c r="B1049" s="916" t="s">
        <v>339</v>
      </c>
      <c r="C1049" s="917">
        <v>43159</v>
      </c>
      <c r="D1049" s="918">
        <v>2481.25</v>
      </c>
    </row>
    <row r="1050" spans="1:4">
      <c r="A1050" s="915" t="s">
        <v>628</v>
      </c>
      <c r="B1050" s="916" t="s">
        <v>264</v>
      </c>
      <c r="C1050" s="917">
        <v>43159</v>
      </c>
      <c r="D1050" s="918">
        <v>3240.64</v>
      </c>
    </row>
    <row r="1051" spans="1:4">
      <c r="A1051" s="915" t="s">
        <v>952</v>
      </c>
      <c r="B1051" s="916" t="s">
        <v>184</v>
      </c>
      <c r="C1051" s="917">
        <v>43159</v>
      </c>
      <c r="D1051" s="918">
        <v>2315.7800000000002</v>
      </c>
    </row>
    <row r="1052" spans="1:4">
      <c r="A1052" s="915" t="s">
        <v>746</v>
      </c>
      <c r="B1052" s="916" t="s">
        <v>155</v>
      </c>
      <c r="C1052" s="917">
        <v>43159</v>
      </c>
      <c r="D1052" s="918">
        <v>1800</v>
      </c>
    </row>
    <row r="1053" spans="1:4">
      <c r="A1053" s="915" t="s">
        <v>391</v>
      </c>
      <c r="B1053" s="916" t="s">
        <v>134</v>
      </c>
      <c r="C1053" s="917">
        <v>43159</v>
      </c>
      <c r="D1053" s="918">
        <v>1000</v>
      </c>
    </row>
    <row r="1054" spans="1:4">
      <c r="A1054" s="915" t="s">
        <v>139</v>
      </c>
      <c r="B1054" s="916" t="s">
        <v>138</v>
      </c>
      <c r="C1054" s="917">
        <v>43159</v>
      </c>
      <c r="D1054" s="918">
        <v>880</v>
      </c>
    </row>
    <row r="1055" spans="1:4">
      <c r="A1055" s="915" t="s">
        <v>951</v>
      </c>
      <c r="B1055" s="916" t="s">
        <v>753</v>
      </c>
      <c r="C1055" s="917">
        <v>43159</v>
      </c>
      <c r="D1055" s="918">
        <v>1635.41</v>
      </c>
    </row>
    <row r="1056" spans="1:4">
      <c r="A1056" s="915" t="s">
        <v>634</v>
      </c>
      <c r="B1056" s="916" t="s">
        <v>279</v>
      </c>
      <c r="C1056" s="917">
        <v>43159</v>
      </c>
      <c r="D1056" s="918">
        <v>3719.69</v>
      </c>
    </row>
    <row r="1057" spans="1:9">
      <c r="A1057" s="915" t="s">
        <v>822</v>
      </c>
      <c r="B1057" s="916" t="s">
        <v>681</v>
      </c>
      <c r="C1057" s="917">
        <v>43159</v>
      </c>
      <c r="D1057" s="918">
        <v>832.28</v>
      </c>
    </row>
    <row r="1058" spans="1:9">
      <c r="A1058" s="915" t="s">
        <v>1143</v>
      </c>
      <c r="B1058" s="916" t="s">
        <v>714</v>
      </c>
      <c r="C1058" s="917">
        <v>43159</v>
      </c>
      <c r="D1058" s="918">
        <v>541.85</v>
      </c>
    </row>
    <row r="1059" spans="1:9">
      <c r="A1059" s="915" t="s">
        <v>515</v>
      </c>
      <c r="B1059" s="916" t="s">
        <v>481</v>
      </c>
      <c r="C1059" s="917">
        <v>43159</v>
      </c>
      <c r="D1059" s="918">
        <v>1627.49</v>
      </c>
    </row>
    <row r="1060" spans="1:9">
      <c r="A1060" s="915" t="s">
        <v>569</v>
      </c>
      <c r="B1060" s="916" t="s">
        <v>186</v>
      </c>
      <c r="C1060" s="917">
        <v>43159</v>
      </c>
      <c r="D1060" s="918">
        <v>800</v>
      </c>
    </row>
    <row r="1061" spans="1:9">
      <c r="A1061" s="915" t="s">
        <v>364</v>
      </c>
      <c r="B1061" s="916" t="s">
        <v>186</v>
      </c>
      <c r="C1061" s="917">
        <v>43159</v>
      </c>
      <c r="D1061" s="918">
        <v>1500</v>
      </c>
    </row>
    <row r="1062" spans="1:9">
      <c r="A1062" s="915" t="s">
        <v>1142</v>
      </c>
      <c r="B1062" s="916" t="s">
        <v>181</v>
      </c>
      <c r="C1062" s="917">
        <v>43159</v>
      </c>
      <c r="D1062" s="918">
        <v>6280.05</v>
      </c>
    </row>
    <row r="1063" spans="1:9">
      <c r="A1063" s="915" t="s">
        <v>911</v>
      </c>
      <c r="B1063" s="916" t="s">
        <v>152</v>
      </c>
      <c r="C1063" s="917">
        <v>43159</v>
      </c>
      <c r="D1063" s="918">
        <v>1850</v>
      </c>
    </row>
    <row r="1064" spans="1:9">
      <c r="A1064" s="915" t="s">
        <v>455</v>
      </c>
      <c r="B1064" s="916" t="s">
        <v>187</v>
      </c>
      <c r="C1064" s="917">
        <v>43159</v>
      </c>
      <c r="D1064" s="918">
        <v>3000</v>
      </c>
    </row>
    <row r="1065" spans="1:9">
      <c r="A1065" s="915" t="s">
        <v>678</v>
      </c>
      <c r="B1065" s="916" t="s">
        <v>177</v>
      </c>
      <c r="C1065" s="917">
        <v>43159</v>
      </c>
      <c r="D1065" s="918">
        <v>1790</v>
      </c>
    </row>
    <row r="1066" spans="1:9">
      <c r="A1066" s="915" t="s">
        <v>635</v>
      </c>
      <c r="B1066" s="916" t="s">
        <v>189</v>
      </c>
      <c r="C1066" s="917">
        <v>43159</v>
      </c>
      <c r="D1066" s="918">
        <v>685</v>
      </c>
    </row>
    <row r="1067" spans="1:9" ht="15.75" thickBot="1">
      <c r="A1067" s="923" t="s">
        <v>882</v>
      </c>
      <c r="B1067" s="924" t="s">
        <v>176</v>
      </c>
      <c r="C1067" s="925">
        <v>43159</v>
      </c>
      <c r="D1067" s="926">
        <v>1516.43</v>
      </c>
    </row>
    <row r="1068" spans="1:9" ht="15.75" thickBot="1">
      <c r="A1068" s="1057" t="s">
        <v>966</v>
      </c>
      <c r="B1068" s="1058"/>
      <c r="C1068" s="1058"/>
      <c r="D1068" s="730">
        <f>SUM(D756:D1067)</f>
        <v>667268.82199999993</v>
      </c>
      <c r="F1068" s="798"/>
      <c r="G1068" s="798"/>
      <c r="H1068" s="109"/>
      <c r="I1068" s="49"/>
    </row>
    <row r="1069" spans="1:9">
      <c r="A1069" s="919" t="s">
        <v>163</v>
      </c>
      <c r="B1069" s="920" t="s">
        <v>162</v>
      </c>
      <c r="C1069" s="921">
        <v>43160</v>
      </c>
      <c r="D1069" s="922">
        <v>1902.12</v>
      </c>
    </row>
    <row r="1070" spans="1:9">
      <c r="A1070" s="915" t="s">
        <v>740</v>
      </c>
      <c r="B1070" s="916" t="s">
        <v>442</v>
      </c>
      <c r="C1070" s="917">
        <v>43160</v>
      </c>
      <c r="D1070" s="918">
        <v>4884.82</v>
      </c>
    </row>
    <row r="1071" spans="1:9">
      <c r="A1071" s="915" t="s">
        <v>147</v>
      </c>
      <c r="B1071" s="916" t="s">
        <v>146</v>
      </c>
      <c r="C1071" s="917">
        <v>43161</v>
      </c>
      <c r="D1071" s="918">
        <v>1400</v>
      </c>
    </row>
    <row r="1072" spans="1:9">
      <c r="A1072" s="915" t="s">
        <v>1166</v>
      </c>
      <c r="B1072" s="916" t="s">
        <v>259</v>
      </c>
      <c r="C1072" s="917">
        <v>43161</v>
      </c>
      <c r="D1072" s="918">
        <v>1401.83</v>
      </c>
    </row>
    <row r="1073" spans="1:4">
      <c r="A1073" s="915" t="s">
        <v>478</v>
      </c>
      <c r="B1073" s="916" t="s">
        <v>479</v>
      </c>
      <c r="C1073" s="917">
        <v>43161</v>
      </c>
      <c r="D1073" s="918">
        <v>1080</v>
      </c>
    </row>
    <row r="1074" spans="1:4">
      <c r="A1074" s="907" t="s">
        <v>311</v>
      </c>
      <c r="B1074" s="908" t="s">
        <v>312</v>
      </c>
      <c r="C1074" s="909">
        <v>43162</v>
      </c>
      <c r="D1074" s="910">
        <v>720</v>
      </c>
    </row>
    <row r="1075" spans="1:4">
      <c r="A1075" s="907" t="s">
        <v>535</v>
      </c>
      <c r="B1075" s="908" t="s">
        <v>1330</v>
      </c>
      <c r="C1075" s="909">
        <v>43162</v>
      </c>
      <c r="D1075" s="910">
        <v>4000</v>
      </c>
    </row>
    <row r="1076" spans="1:4">
      <c r="A1076" s="907" t="s">
        <v>410</v>
      </c>
      <c r="B1076" s="908" t="s">
        <v>292</v>
      </c>
      <c r="C1076" s="909">
        <v>43162</v>
      </c>
      <c r="D1076" s="910">
        <v>1171.454</v>
      </c>
    </row>
    <row r="1077" spans="1:4">
      <c r="A1077" s="915" t="s">
        <v>874</v>
      </c>
      <c r="B1077" s="916" t="s">
        <v>141</v>
      </c>
      <c r="C1077" s="917">
        <v>43162</v>
      </c>
      <c r="D1077" s="918">
        <v>900</v>
      </c>
    </row>
    <row r="1078" spans="1:4">
      <c r="A1078" s="907" t="s">
        <v>408</v>
      </c>
      <c r="B1078" s="908" t="s">
        <v>204</v>
      </c>
      <c r="C1078" s="909">
        <v>43163</v>
      </c>
      <c r="D1078" s="910">
        <v>5000</v>
      </c>
    </row>
    <row r="1079" spans="1:4">
      <c r="A1079" s="907" t="s">
        <v>791</v>
      </c>
      <c r="B1079" s="908" t="s">
        <v>792</v>
      </c>
      <c r="C1079" s="909">
        <v>43164</v>
      </c>
      <c r="D1079" s="910">
        <v>4916.51</v>
      </c>
    </row>
    <row r="1080" spans="1:4">
      <c r="A1080" s="907" t="s">
        <v>736</v>
      </c>
      <c r="B1080" s="908" t="s">
        <v>213</v>
      </c>
      <c r="C1080" s="909">
        <v>43164</v>
      </c>
      <c r="D1080" s="910">
        <v>869.61099999999999</v>
      </c>
    </row>
    <row r="1081" spans="1:4">
      <c r="A1081" s="907" t="s">
        <v>604</v>
      </c>
      <c r="B1081" s="908" t="s">
        <v>1307</v>
      </c>
      <c r="C1081" s="909">
        <v>43164</v>
      </c>
      <c r="D1081" s="910">
        <v>3963.489</v>
      </c>
    </row>
    <row r="1082" spans="1:4">
      <c r="A1082" s="907" t="s">
        <v>1300</v>
      </c>
      <c r="B1082" s="908" t="s">
        <v>1299</v>
      </c>
      <c r="C1082" s="909">
        <v>43164</v>
      </c>
      <c r="D1082" s="910">
        <v>1105.298</v>
      </c>
    </row>
    <row r="1083" spans="1:4">
      <c r="A1083" s="907" t="s">
        <v>1295</v>
      </c>
      <c r="B1083" s="908" t="s">
        <v>1294</v>
      </c>
      <c r="C1083" s="909">
        <v>43164</v>
      </c>
      <c r="D1083" s="910">
        <v>436.24900000000002</v>
      </c>
    </row>
    <row r="1084" spans="1:4">
      <c r="A1084" s="907" t="s">
        <v>744</v>
      </c>
      <c r="B1084" s="908" t="s">
        <v>1282</v>
      </c>
      <c r="C1084" s="909">
        <v>43164</v>
      </c>
      <c r="D1084" s="910">
        <v>2996.7469999999998</v>
      </c>
    </row>
    <row r="1085" spans="1:4">
      <c r="A1085" s="907" t="s">
        <v>517</v>
      </c>
      <c r="B1085" s="908" t="s">
        <v>1202</v>
      </c>
      <c r="C1085" s="909">
        <v>43164</v>
      </c>
      <c r="D1085" s="910">
        <v>780</v>
      </c>
    </row>
    <row r="1086" spans="1:4">
      <c r="A1086" s="915" t="s">
        <v>163</v>
      </c>
      <c r="B1086" s="916" t="s">
        <v>162</v>
      </c>
      <c r="C1086" s="917">
        <v>43164</v>
      </c>
      <c r="D1086" s="918">
        <v>2000</v>
      </c>
    </row>
    <row r="1087" spans="1:4">
      <c r="A1087" s="915" t="s">
        <v>313</v>
      </c>
      <c r="B1087" s="916" t="s">
        <v>314</v>
      </c>
      <c r="C1087" s="917">
        <v>43164</v>
      </c>
      <c r="D1087" s="918">
        <v>2000</v>
      </c>
    </row>
    <row r="1088" spans="1:4">
      <c r="A1088" s="915" t="s">
        <v>203</v>
      </c>
      <c r="B1088" s="916" t="s">
        <v>202</v>
      </c>
      <c r="C1088" s="917">
        <v>43164</v>
      </c>
      <c r="D1088" s="918">
        <v>2900</v>
      </c>
    </row>
    <row r="1089" spans="1:4">
      <c r="A1089" s="915" t="s">
        <v>311</v>
      </c>
      <c r="B1089" s="916" t="s">
        <v>312</v>
      </c>
      <c r="C1089" s="917">
        <v>43164</v>
      </c>
      <c r="D1089" s="918">
        <v>880</v>
      </c>
    </row>
    <row r="1090" spans="1:4">
      <c r="A1090" s="915" t="s">
        <v>226</v>
      </c>
      <c r="B1090" s="916" t="s">
        <v>225</v>
      </c>
      <c r="C1090" s="917">
        <v>43164</v>
      </c>
      <c r="D1090" s="918">
        <v>1693.87</v>
      </c>
    </row>
    <row r="1091" spans="1:4">
      <c r="A1091" s="915" t="s">
        <v>470</v>
      </c>
      <c r="B1091" s="916" t="s">
        <v>342</v>
      </c>
      <c r="C1091" s="917">
        <v>43164</v>
      </c>
      <c r="D1091" s="918">
        <v>1225.6400000000001</v>
      </c>
    </row>
    <row r="1092" spans="1:4">
      <c r="A1092" s="915" t="s">
        <v>337</v>
      </c>
      <c r="B1092" s="916" t="s">
        <v>336</v>
      </c>
      <c r="C1092" s="917">
        <v>43164</v>
      </c>
      <c r="D1092" s="918">
        <v>2088.73</v>
      </c>
    </row>
    <row r="1093" spans="1:4">
      <c r="A1093" s="915" t="s">
        <v>874</v>
      </c>
      <c r="B1093" s="916" t="s">
        <v>141</v>
      </c>
      <c r="C1093" s="917">
        <v>43164</v>
      </c>
      <c r="D1093" s="918">
        <v>900</v>
      </c>
    </row>
    <row r="1094" spans="1:4">
      <c r="A1094" s="915" t="s">
        <v>443</v>
      </c>
      <c r="B1094" s="916" t="s">
        <v>216</v>
      </c>
      <c r="C1094" s="917">
        <v>43164</v>
      </c>
      <c r="D1094" s="918">
        <v>1985.2</v>
      </c>
    </row>
    <row r="1095" spans="1:4">
      <c r="A1095" s="915" t="s">
        <v>912</v>
      </c>
      <c r="B1095" s="916" t="s">
        <v>199</v>
      </c>
      <c r="C1095" s="917">
        <v>43164</v>
      </c>
      <c r="D1095" s="918">
        <v>2609.09</v>
      </c>
    </row>
    <row r="1096" spans="1:4">
      <c r="A1096" s="915" t="s">
        <v>151</v>
      </c>
      <c r="B1096" s="916" t="s">
        <v>150</v>
      </c>
      <c r="C1096" s="917">
        <v>43164</v>
      </c>
      <c r="D1096" s="918">
        <v>8758.2999999999993</v>
      </c>
    </row>
    <row r="1097" spans="1:4">
      <c r="A1097" s="907" t="s">
        <v>368</v>
      </c>
      <c r="B1097" s="908" t="s">
        <v>1038</v>
      </c>
      <c r="C1097" s="909">
        <v>43165</v>
      </c>
      <c r="D1097" s="910">
        <v>1159.97</v>
      </c>
    </row>
    <row r="1098" spans="1:4">
      <c r="A1098" s="907" t="s">
        <v>944</v>
      </c>
      <c r="B1098" s="908" t="s">
        <v>942</v>
      </c>
      <c r="C1098" s="909">
        <v>43165</v>
      </c>
      <c r="D1098" s="910">
        <v>797.49599999999998</v>
      </c>
    </row>
    <row r="1099" spans="1:4">
      <c r="A1099" s="915" t="s">
        <v>635</v>
      </c>
      <c r="B1099" s="916" t="s">
        <v>189</v>
      </c>
      <c r="C1099" s="917">
        <v>43165</v>
      </c>
      <c r="D1099" s="918">
        <v>580</v>
      </c>
    </row>
    <row r="1100" spans="1:4">
      <c r="A1100" s="907" t="s">
        <v>410</v>
      </c>
      <c r="B1100" s="908" t="s">
        <v>292</v>
      </c>
      <c r="C1100" s="909">
        <v>43166</v>
      </c>
      <c r="D1100" s="910">
        <v>1171.454</v>
      </c>
    </row>
    <row r="1101" spans="1:4">
      <c r="A1101" s="915" t="s">
        <v>537</v>
      </c>
      <c r="B1101" s="916" t="s">
        <v>271</v>
      </c>
      <c r="C1101" s="917">
        <v>43166</v>
      </c>
      <c r="D1101" s="918">
        <v>4426.6499999999996</v>
      </c>
    </row>
    <row r="1102" spans="1:4">
      <c r="A1102" s="915" t="s">
        <v>147</v>
      </c>
      <c r="B1102" s="916" t="s">
        <v>146</v>
      </c>
      <c r="C1102" s="917">
        <v>43166</v>
      </c>
      <c r="D1102" s="918">
        <v>1400</v>
      </c>
    </row>
    <row r="1103" spans="1:4">
      <c r="A1103" s="915" t="s">
        <v>877</v>
      </c>
      <c r="B1103" s="916" t="s">
        <v>315</v>
      </c>
      <c r="C1103" s="917">
        <v>43166</v>
      </c>
      <c r="D1103" s="918">
        <v>671.78</v>
      </c>
    </row>
    <row r="1104" spans="1:4">
      <c r="A1104" s="915" t="s">
        <v>746</v>
      </c>
      <c r="B1104" s="916" t="s">
        <v>155</v>
      </c>
      <c r="C1104" s="917">
        <v>43166</v>
      </c>
      <c r="D1104" s="918">
        <v>1800</v>
      </c>
    </row>
    <row r="1105" spans="1:4">
      <c r="A1105" s="907" t="s">
        <v>517</v>
      </c>
      <c r="B1105" s="908" t="s">
        <v>1202</v>
      </c>
      <c r="C1105" s="909">
        <v>43167</v>
      </c>
      <c r="D1105" s="910">
        <v>792</v>
      </c>
    </row>
    <row r="1106" spans="1:4">
      <c r="A1106" s="915" t="s">
        <v>163</v>
      </c>
      <c r="B1106" s="916" t="s">
        <v>162</v>
      </c>
      <c r="C1106" s="917">
        <v>43167</v>
      </c>
      <c r="D1106" s="918">
        <v>1500</v>
      </c>
    </row>
    <row r="1107" spans="1:4">
      <c r="A1107" s="915" t="s">
        <v>874</v>
      </c>
      <c r="B1107" s="916" t="s">
        <v>141</v>
      </c>
      <c r="C1107" s="917">
        <v>43167</v>
      </c>
      <c r="D1107" s="918">
        <v>900</v>
      </c>
    </row>
    <row r="1108" spans="1:4">
      <c r="A1108" s="915" t="s">
        <v>139</v>
      </c>
      <c r="B1108" s="916" t="s">
        <v>138</v>
      </c>
      <c r="C1108" s="917">
        <v>43167</v>
      </c>
      <c r="D1108" s="918">
        <v>904.67</v>
      </c>
    </row>
    <row r="1109" spans="1:4">
      <c r="A1109" s="915" t="s">
        <v>738</v>
      </c>
      <c r="B1109" s="916" t="s">
        <v>739</v>
      </c>
      <c r="C1109" s="917">
        <v>43168</v>
      </c>
      <c r="D1109" s="918">
        <v>1000</v>
      </c>
    </row>
    <row r="1110" spans="1:4">
      <c r="A1110" s="907" t="s">
        <v>729</v>
      </c>
      <c r="B1110" s="908" t="s">
        <v>730</v>
      </c>
      <c r="C1110" s="909">
        <v>43169</v>
      </c>
      <c r="D1110" s="910">
        <v>783.39</v>
      </c>
    </row>
    <row r="1111" spans="1:4">
      <c r="A1111" s="907" t="s">
        <v>212</v>
      </c>
      <c r="B1111" s="908" t="s">
        <v>211</v>
      </c>
      <c r="C1111" s="909">
        <v>43169</v>
      </c>
      <c r="D1111" s="910">
        <v>2318</v>
      </c>
    </row>
    <row r="1112" spans="1:4">
      <c r="A1112" s="907" t="s">
        <v>1300</v>
      </c>
      <c r="B1112" s="908" t="s">
        <v>1299</v>
      </c>
      <c r="C1112" s="909">
        <v>43169</v>
      </c>
      <c r="D1112" s="910">
        <v>1000</v>
      </c>
    </row>
    <row r="1113" spans="1:4">
      <c r="A1113" s="907" t="s">
        <v>368</v>
      </c>
      <c r="B1113" s="908" t="s">
        <v>1038</v>
      </c>
      <c r="C1113" s="909">
        <v>43169</v>
      </c>
      <c r="D1113" s="910">
        <v>1159.9880000000001</v>
      </c>
    </row>
    <row r="1114" spans="1:4">
      <c r="A1114" s="907" t="s">
        <v>254</v>
      </c>
      <c r="B1114" s="908" t="s">
        <v>1193</v>
      </c>
      <c r="C1114" s="909">
        <v>43169</v>
      </c>
      <c r="D1114" s="910">
        <v>1000</v>
      </c>
    </row>
    <row r="1115" spans="1:4">
      <c r="A1115" s="907" t="s">
        <v>375</v>
      </c>
      <c r="B1115" s="908" t="s">
        <v>376</v>
      </c>
      <c r="C1115" s="909">
        <v>43169</v>
      </c>
      <c r="D1115" s="910">
        <v>1394.635</v>
      </c>
    </row>
    <row r="1116" spans="1:4">
      <c r="A1116" s="907" t="s">
        <v>267</v>
      </c>
      <c r="B1116" s="908" t="s">
        <v>266</v>
      </c>
      <c r="C1116" s="909">
        <v>43169</v>
      </c>
      <c r="D1116" s="910">
        <v>823.53800000000001</v>
      </c>
    </row>
    <row r="1117" spans="1:4">
      <c r="A1117" s="907" t="s">
        <v>1184</v>
      </c>
      <c r="B1117" s="908" t="s">
        <v>1177</v>
      </c>
      <c r="C1117" s="909">
        <v>43169</v>
      </c>
      <c r="D1117" s="910">
        <v>2453.857</v>
      </c>
    </row>
    <row r="1118" spans="1:4">
      <c r="A1118" s="915" t="s">
        <v>149</v>
      </c>
      <c r="B1118" s="916" t="s">
        <v>148</v>
      </c>
      <c r="C1118" s="917">
        <v>43169</v>
      </c>
      <c r="D1118" s="918">
        <v>2518.88</v>
      </c>
    </row>
    <row r="1119" spans="1:4">
      <c r="A1119" s="915" t="s">
        <v>757</v>
      </c>
      <c r="B1119" s="916" t="s">
        <v>758</v>
      </c>
      <c r="C1119" s="917">
        <v>43169</v>
      </c>
      <c r="D1119" s="918">
        <v>2525</v>
      </c>
    </row>
    <row r="1120" spans="1:4">
      <c r="A1120" s="915" t="s">
        <v>531</v>
      </c>
      <c r="B1120" s="916" t="s">
        <v>530</v>
      </c>
      <c r="C1120" s="917">
        <v>43169</v>
      </c>
      <c r="D1120" s="918">
        <v>2164</v>
      </c>
    </row>
    <row r="1121" spans="1:4">
      <c r="A1121" s="915" t="s">
        <v>903</v>
      </c>
      <c r="B1121" s="916" t="s">
        <v>541</v>
      </c>
      <c r="C1121" s="917">
        <v>43169</v>
      </c>
      <c r="D1121" s="918">
        <v>1772.03</v>
      </c>
    </row>
    <row r="1122" spans="1:4">
      <c r="A1122" s="915" t="s">
        <v>313</v>
      </c>
      <c r="B1122" s="916" t="s">
        <v>314</v>
      </c>
      <c r="C1122" s="917">
        <v>43169</v>
      </c>
      <c r="D1122" s="918">
        <v>2000</v>
      </c>
    </row>
    <row r="1123" spans="1:4">
      <c r="A1123" s="915" t="s">
        <v>203</v>
      </c>
      <c r="B1123" s="916" t="s">
        <v>202</v>
      </c>
      <c r="C1123" s="917">
        <v>43169</v>
      </c>
      <c r="D1123" s="918">
        <v>2875.46</v>
      </c>
    </row>
    <row r="1124" spans="1:4">
      <c r="A1124" s="915" t="s">
        <v>165</v>
      </c>
      <c r="B1124" s="916" t="s">
        <v>164</v>
      </c>
      <c r="C1124" s="917">
        <v>43169</v>
      </c>
      <c r="D1124" s="918">
        <v>5917.74</v>
      </c>
    </row>
    <row r="1125" spans="1:4">
      <c r="A1125" s="915" t="s">
        <v>262</v>
      </c>
      <c r="B1125" s="916" t="s">
        <v>261</v>
      </c>
      <c r="C1125" s="917">
        <v>43169</v>
      </c>
      <c r="D1125" s="918">
        <v>3295.6</v>
      </c>
    </row>
    <row r="1126" spans="1:4">
      <c r="A1126" s="915" t="s">
        <v>159</v>
      </c>
      <c r="B1126" s="916" t="s">
        <v>158</v>
      </c>
      <c r="C1126" s="917">
        <v>43169</v>
      </c>
      <c r="D1126" s="918">
        <v>1013.03</v>
      </c>
    </row>
    <row r="1127" spans="1:4">
      <c r="A1127" s="915" t="s">
        <v>444</v>
      </c>
      <c r="B1127" s="916" t="s">
        <v>188</v>
      </c>
      <c r="C1127" s="917">
        <v>43169</v>
      </c>
      <c r="D1127" s="918">
        <v>4115.6499999999996</v>
      </c>
    </row>
    <row r="1128" spans="1:4">
      <c r="A1128" s="915" t="s">
        <v>515</v>
      </c>
      <c r="B1128" s="916" t="s">
        <v>481</v>
      </c>
      <c r="C1128" s="917">
        <v>43169</v>
      </c>
      <c r="D1128" s="918">
        <v>1627.49</v>
      </c>
    </row>
    <row r="1129" spans="1:4">
      <c r="A1129" s="915" t="s">
        <v>915</v>
      </c>
      <c r="B1129" s="916" t="s">
        <v>468</v>
      </c>
      <c r="C1129" s="917">
        <v>43169</v>
      </c>
      <c r="D1129" s="918">
        <v>2000</v>
      </c>
    </row>
    <row r="1130" spans="1:4">
      <c r="A1130" s="915" t="s">
        <v>414</v>
      </c>
      <c r="B1130" s="916" t="s">
        <v>378</v>
      </c>
      <c r="C1130" s="917">
        <v>43169</v>
      </c>
      <c r="D1130" s="918">
        <v>3189.86</v>
      </c>
    </row>
    <row r="1131" spans="1:4">
      <c r="A1131" s="915" t="s">
        <v>737</v>
      </c>
      <c r="B1131" s="916" t="s">
        <v>389</v>
      </c>
      <c r="C1131" s="917">
        <v>43170</v>
      </c>
      <c r="D1131" s="918">
        <v>775.11</v>
      </c>
    </row>
    <row r="1132" spans="1:4">
      <c r="A1132" s="915" t="s">
        <v>1043</v>
      </c>
      <c r="B1132" s="916" t="s">
        <v>1169</v>
      </c>
      <c r="C1132" s="917">
        <v>43170</v>
      </c>
      <c r="D1132" s="918">
        <v>1209</v>
      </c>
    </row>
    <row r="1133" spans="1:4">
      <c r="A1133" s="915" t="s">
        <v>799</v>
      </c>
      <c r="B1133" s="916" t="s">
        <v>292</v>
      </c>
      <c r="C1133" s="917">
        <v>43170</v>
      </c>
      <c r="D1133" s="918">
        <v>1359.65</v>
      </c>
    </row>
    <row r="1134" spans="1:4">
      <c r="A1134" s="915" t="s">
        <v>163</v>
      </c>
      <c r="B1134" s="916" t="s">
        <v>162</v>
      </c>
      <c r="C1134" s="917">
        <v>43171</v>
      </c>
      <c r="D1134" s="918">
        <v>1500</v>
      </c>
    </row>
    <row r="1135" spans="1:4">
      <c r="A1135" s="915" t="s">
        <v>635</v>
      </c>
      <c r="B1135" s="916" t="s">
        <v>189</v>
      </c>
      <c r="C1135" s="917">
        <v>43171</v>
      </c>
      <c r="D1135" s="918">
        <v>590</v>
      </c>
    </row>
    <row r="1136" spans="1:4">
      <c r="A1136" s="907" t="s">
        <v>311</v>
      </c>
      <c r="B1136" s="908" t="s">
        <v>312</v>
      </c>
      <c r="C1136" s="909">
        <v>43172</v>
      </c>
      <c r="D1136" s="910">
        <v>720</v>
      </c>
    </row>
    <row r="1137" spans="1:4">
      <c r="A1137" s="907" t="s">
        <v>878</v>
      </c>
      <c r="B1137" s="908" t="s">
        <v>210</v>
      </c>
      <c r="C1137" s="909">
        <v>43172</v>
      </c>
      <c r="D1137" s="910">
        <v>3937.915</v>
      </c>
    </row>
    <row r="1138" spans="1:4">
      <c r="A1138" s="907" t="s">
        <v>311</v>
      </c>
      <c r="B1138" s="908" t="s">
        <v>312</v>
      </c>
      <c r="C1138" s="909">
        <v>43173</v>
      </c>
      <c r="D1138" s="910">
        <v>720</v>
      </c>
    </row>
    <row r="1139" spans="1:4">
      <c r="A1139" s="907" t="s">
        <v>517</v>
      </c>
      <c r="B1139" s="908" t="s">
        <v>1202</v>
      </c>
      <c r="C1139" s="909">
        <v>43173</v>
      </c>
      <c r="D1139" s="910">
        <v>816.16899999999998</v>
      </c>
    </row>
    <row r="1140" spans="1:4">
      <c r="A1140" s="907" t="s">
        <v>944</v>
      </c>
      <c r="B1140" s="908" t="s">
        <v>942</v>
      </c>
      <c r="C1140" s="909">
        <v>43173</v>
      </c>
      <c r="D1140" s="910">
        <v>797.49599999999998</v>
      </c>
    </row>
    <row r="1141" spans="1:4">
      <c r="A1141" s="907" t="s">
        <v>172</v>
      </c>
      <c r="B1141" s="908" t="s">
        <v>171</v>
      </c>
      <c r="C1141" s="909">
        <v>43174</v>
      </c>
      <c r="D1141" s="910">
        <v>3200</v>
      </c>
    </row>
    <row r="1142" spans="1:4">
      <c r="A1142" s="907" t="s">
        <v>212</v>
      </c>
      <c r="B1142" s="908" t="s">
        <v>211</v>
      </c>
      <c r="C1142" s="909">
        <v>43174</v>
      </c>
      <c r="D1142" s="910">
        <v>2318</v>
      </c>
    </row>
    <row r="1143" spans="1:4">
      <c r="A1143" s="907" t="s">
        <v>858</v>
      </c>
      <c r="B1143" s="908" t="s">
        <v>859</v>
      </c>
      <c r="C1143" s="909">
        <v>43174</v>
      </c>
      <c r="D1143" s="910">
        <v>824.79600000000005</v>
      </c>
    </row>
    <row r="1144" spans="1:4">
      <c r="A1144" s="907" t="s">
        <v>412</v>
      </c>
      <c r="B1144" s="908" t="s">
        <v>219</v>
      </c>
      <c r="C1144" s="909">
        <v>43174</v>
      </c>
      <c r="D1144" s="910">
        <v>5085.5950000000003</v>
      </c>
    </row>
    <row r="1145" spans="1:4">
      <c r="A1145" s="907" t="s">
        <v>191</v>
      </c>
      <c r="B1145" s="908" t="s">
        <v>190</v>
      </c>
      <c r="C1145" s="909">
        <v>43174</v>
      </c>
      <c r="D1145" s="910">
        <v>6000</v>
      </c>
    </row>
    <row r="1146" spans="1:4">
      <c r="A1146" s="907" t="s">
        <v>657</v>
      </c>
      <c r="B1146" s="908" t="s">
        <v>1194</v>
      </c>
      <c r="C1146" s="909">
        <v>43174</v>
      </c>
      <c r="D1146" s="910">
        <v>1400</v>
      </c>
    </row>
    <row r="1147" spans="1:4">
      <c r="A1147" s="907" t="s">
        <v>409</v>
      </c>
      <c r="B1147" s="908" t="s">
        <v>145</v>
      </c>
      <c r="C1147" s="909">
        <v>43174</v>
      </c>
      <c r="D1147" s="910">
        <v>3349</v>
      </c>
    </row>
    <row r="1148" spans="1:4">
      <c r="A1148" s="915" t="s">
        <v>1131</v>
      </c>
      <c r="B1148" s="916" t="s">
        <v>1130</v>
      </c>
      <c r="C1148" s="917">
        <v>43174</v>
      </c>
      <c r="D1148" s="918">
        <v>1500</v>
      </c>
    </row>
    <row r="1149" spans="1:4">
      <c r="A1149" s="915" t="s">
        <v>711</v>
      </c>
      <c r="B1149" s="916" t="s">
        <v>765</v>
      </c>
      <c r="C1149" s="917">
        <v>43174</v>
      </c>
      <c r="D1149" s="918">
        <v>3000</v>
      </c>
    </row>
    <row r="1150" spans="1:4">
      <c r="A1150" s="915" t="s">
        <v>905</v>
      </c>
      <c r="B1150" s="916" t="s">
        <v>904</v>
      </c>
      <c r="C1150" s="917">
        <v>43174</v>
      </c>
      <c r="D1150" s="918">
        <v>1400</v>
      </c>
    </row>
    <row r="1151" spans="1:4">
      <c r="A1151" s="915" t="s">
        <v>313</v>
      </c>
      <c r="B1151" s="916" t="s">
        <v>314</v>
      </c>
      <c r="C1151" s="917">
        <v>43174</v>
      </c>
      <c r="D1151" s="918">
        <v>2000</v>
      </c>
    </row>
    <row r="1152" spans="1:4">
      <c r="A1152" s="915" t="s">
        <v>311</v>
      </c>
      <c r="B1152" s="916" t="s">
        <v>312</v>
      </c>
      <c r="C1152" s="917">
        <v>43174</v>
      </c>
      <c r="D1152" s="918">
        <v>880</v>
      </c>
    </row>
    <row r="1153" spans="1:4">
      <c r="A1153" s="915" t="s">
        <v>482</v>
      </c>
      <c r="B1153" s="916" t="s">
        <v>483</v>
      </c>
      <c r="C1153" s="917">
        <v>43174</v>
      </c>
      <c r="D1153" s="918">
        <v>1300</v>
      </c>
    </row>
    <row r="1154" spans="1:4">
      <c r="A1154" s="915" t="s">
        <v>390</v>
      </c>
      <c r="B1154" s="916" t="s">
        <v>153</v>
      </c>
      <c r="C1154" s="917">
        <v>43174</v>
      </c>
      <c r="D1154" s="918">
        <v>3475.91</v>
      </c>
    </row>
    <row r="1155" spans="1:4">
      <c r="A1155" s="915" t="s">
        <v>568</v>
      </c>
      <c r="B1155" s="916" t="s">
        <v>229</v>
      </c>
      <c r="C1155" s="917">
        <v>43174</v>
      </c>
      <c r="D1155" s="918">
        <v>1648.48</v>
      </c>
    </row>
    <row r="1156" spans="1:4">
      <c r="A1156" s="915" t="s">
        <v>209</v>
      </c>
      <c r="B1156" s="916" t="s">
        <v>208</v>
      </c>
      <c r="C1156" s="917">
        <v>43174</v>
      </c>
      <c r="D1156" s="918">
        <v>6073.85</v>
      </c>
    </row>
    <row r="1157" spans="1:4">
      <c r="A1157" s="915" t="s">
        <v>746</v>
      </c>
      <c r="B1157" s="916" t="s">
        <v>155</v>
      </c>
      <c r="C1157" s="917">
        <v>43174</v>
      </c>
      <c r="D1157" s="918">
        <v>1800</v>
      </c>
    </row>
    <row r="1158" spans="1:4">
      <c r="A1158" s="915" t="s">
        <v>364</v>
      </c>
      <c r="B1158" s="916" t="s">
        <v>186</v>
      </c>
      <c r="C1158" s="917">
        <v>43174</v>
      </c>
      <c r="D1158" s="918">
        <v>990.5</v>
      </c>
    </row>
    <row r="1159" spans="1:4">
      <c r="A1159" s="915" t="s">
        <v>364</v>
      </c>
      <c r="B1159" s="916" t="s">
        <v>186</v>
      </c>
      <c r="C1159" s="917">
        <v>43174</v>
      </c>
      <c r="D1159" s="918">
        <v>800</v>
      </c>
    </row>
    <row r="1160" spans="1:4">
      <c r="A1160" s="915" t="s">
        <v>911</v>
      </c>
      <c r="B1160" s="916" t="s">
        <v>152</v>
      </c>
      <c r="C1160" s="917">
        <v>43174</v>
      </c>
      <c r="D1160" s="918">
        <v>1850</v>
      </c>
    </row>
    <row r="1161" spans="1:4">
      <c r="A1161" s="915" t="s">
        <v>886</v>
      </c>
      <c r="B1161" s="916" t="s">
        <v>140</v>
      </c>
      <c r="C1161" s="917">
        <v>43174</v>
      </c>
      <c r="D1161" s="918">
        <v>4177.51</v>
      </c>
    </row>
    <row r="1162" spans="1:4">
      <c r="A1162" s="915" t="s">
        <v>163</v>
      </c>
      <c r="B1162" s="916" t="s">
        <v>162</v>
      </c>
      <c r="C1162" s="917">
        <v>43175</v>
      </c>
      <c r="D1162" s="918">
        <v>1500</v>
      </c>
    </row>
    <row r="1163" spans="1:4">
      <c r="A1163" s="915" t="s">
        <v>207</v>
      </c>
      <c r="B1163" s="916" t="s">
        <v>206</v>
      </c>
      <c r="C1163" s="917">
        <v>43175</v>
      </c>
      <c r="D1163" s="918">
        <v>2525.35</v>
      </c>
    </row>
    <row r="1164" spans="1:4">
      <c r="A1164" s="915" t="s">
        <v>147</v>
      </c>
      <c r="B1164" s="916" t="s">
        <v>146</v>
      </c>
      <c r="C1164" s="917">
        <v>43175</v>
      </c>
      <c r="D1164" s="918">
        <v>1400</v>
      </c>
    </row>
    <row r="1165" spans="1:4">
      <c r="A1165" s="907" t="s">
        <v>535</v>
      </c>
      <c r="B1165" s="908" t="s">
        <v>1330</v>
      </c>
      <c r="C1165" s="909">
        <v>43176</v>
      </c>
      <c r="D1165" s="910">
        <v>4405.9870000000001</v>
      </c>
    </row>
    <row r="1166" spans="1:4">
      <c r="A1166" s="907" t="s">
        <v>1290</v>
      </c>
      <c r="B1166" s="908" t="s">
        <v>193</v>
      </c>
      <c r="C1166" s="909">
        <v>43176</v>
      </c>
      <c r="D1166" s="910">
        <v>1591.845</v>
      </c>
    </row>
    <row r="1167" spans="1:4">
      <c r="A1167" s="907" t="s">
        <v>408</v>
      </c>
      <c r="B1167" s="908" t="s">
        <v>204</v>
      </c>
      <c r="C1167" s="909">
        <v>43176</v>
      </c>
      <c r="D1167" s="910">
        <v>5000</v>
      </c>
    </row>
    <row r="1168" spans="1:4">
      <c r="A1168" s="915" t="s">
        <v>645</v>
      </c>
      <c r="B1168" s="916" t="s">
        <v>646</v>
      </c>
      <c r="C1168" s="917">
        <v>43176</v>
      </c>
      <c r="D1168" s="918">
        <v>790.84</v>
      </c>
    </row>
    <row r="1169" spans="1:4">
      <c r="A1169" s="915" t="s">
        <v>738</v>
      </c>
      <c r="B1169" s="916" t="s">
        <v>739</v>
      </c>
      <c r="C1169" s="917">
        <v>43176</v>
      </c>
      <c r="D1169" s="918">
        <v>1100</v>
      </c>
    </row>
    <row r="1170" spans="1:4">
      <c r="A1170" s="915" t="s">
        <v>799</v>
      </c>
      <c r="B1170" s="916" t="s">
        <v>292</v>
      </c>
      <c r="C1170" s="917">
        <v>43177</v>
      </c>
      <c r="D1170" s="918">
        <v>1359.65</v>
      </c>
    </row>
    <row r="1171" spans="1:4">
      <c r="A1171" s="915" t="s">
        <v>391</v>
      </c>
      <c r="B1171" s="916" t="s">
        <v>134</v>
      </c>
      <c r="C1171" s="917">
        <v>43177</v>
      </c>
      <c r="D1171" s="918">
        <v>1000</v>
      </c>
    </row>
    <row r="1172" spans="1:4">
      <c r="A1172" s="915" t="s">
        <v>635</v>
      </c>
      <c r="B1172" s="916" t="s">
        <v>189</v>
      </c>
      <c r="C1172" s="917">
        <v>43177</v>
      </c>
      <c r="D1172" s="918">
        <v>600</v>
      </c>
    </row>
    <row r="1173" spans="1:4">
      <c r="A1173" s="907" t="s">
        <v>226</v>
      </c>
      <c r="B1173" s="908" t="s">
        <v>1333</v>
      </c>
      <c r="C1173" s="909">
        <v>43179</v>
      </c>
      <c r="D1173" s="910">
        <v>4084.8719999999998</v>
      </c>
    </row>
    <row r="1174" spans="1:4">
      <c r="A1174" s="907" t="s">
        <v>383</v>
      </c>
      <c r="B1174" s="908" t="s">
        <v>185</v>
      </c>
      <c r="C1174" s="909">
        <v>43179</v>
      </c>
      <c r="D1174" s="910">
        <v>2500</v>
      </c>
    </row>
    <row r="1175" spans="1:4">
      <c r="A1175" s="907" t="s">
        <v>1215</v>
      </c>
      <c r="B1175" s="908" t="s">
        <v>1214</v>
      </c>
      <c r="C1175" s="909">
        <v>43179</v>
      </c>
      <c r="D1175" s="910">
        <v>4000</v>
      </c>
    </row>
    <row r="1176" spans="1:4">
      <c r="A1176" s="915" t="s">
        <v>313</v>
      </c>
      <c r="B1176" s="916" t="s">
        <v>314</v>
      </c>
      <c r="C1176" s="917">
        <v>43179</v>
      </c>
      <c r="D1176" s="918">
        <v>2000</v>
      </c>
    </row>
    <row r="1177" spans="1:4">
      <c r="A1177" s="915" t="s">
        <v>147</v>
      </c>
      <c r="B1177" s="916" t="s">
        <v>146</v>
      </c>
      <c r="C1177" s="917">
        <v>43179</v>
      </c>
      <c r="D1177" s="918">
        <v>1437.05</v>
      </c>
    </row>
    <row r="1178" spans="1:4">
      <c r="A1178" s="915" t="s">
        <v>391</v>
      </c>
      <c r="B1178" s="916" t="s">
        <v>134</v>
      </c>
      <c r="C1178" s="917">
        <v>43179</v>
      </c>
      <c r="D1178" s="918">
        <v>1000</v>
      </c>
    </row>
    <row r="1179" spans="1:4">
      <c r="A1179" s="915" t="s">
        <v>139</v>
      </c>
      <c r="B1179" s="916" t="s">
        <v>138</v>
      </c>
      <c r="C1179" s="917">
        <v>43179</v>
      </c>
      <c r="D1179" s="918">
        <v>1250</v>
      </c>
    </row>
    <row r="1180" spans="1:4">
      <c r="A1180" s="915" t="s">
        <v>480</v>
      </c>
      <c r="B1180" s="916" t="s">
        <v>481</v>
      </c>
      <c r="C1180" s="917">
        <v>43179</v>
      </c>
      <c r="D1180" s="918">
        <v>2000</v>
      </c>
    </row>
    <row r="1181" spans="1:4">
      <c r="A1181" s="915" t="s">
        <v>364</v>
      </c>
      <c r="B1181" s="916" t="s">
        <v>186</v>
      </c>
      <c r="C1181" s="917">
        <v>43179</v>
      </c>
      <c r="D1181" s="918">
        <v>400</v>
      </c>
    </row>
    <row r="1182" spans="1:4">
      <c r="A1182" s="915" t="s">
        <v>455</v>
      </c>
      <c r="B1182" s="916" t="s">
        <v>187</v>
      </c>
      <c r="C1182" s="917">
        <v>43179</v>
      </c>
      <c r="D1182" s="918">
        <v>3000</v>
      </c>
    </row>
    <row r="1183" spans="1:4">
      <c r="A1183" s="915" t="s">
        <v>414</v>
      </c>
      <c r="B1183" s="916" t="s">
        <v>378</v>
      </c>
      <c r="C1183" s="917">
        <v>43179</v>
      </c>
      <c r="D1183" s="918">
        <v>3000</v>
      </c>
    </row>
    <row r="1184" spans="1:4">
      <c r="A1184" s="915" t="s">
        <v>678</v>
      </c>
      <c r="B1184" s="916" t="s">
        <v>177</v>
      </c>
      <c r="C1184" s="917">
        <v>43179</v>
      </c>
      <c r="D1184" s="918">
        <v>1790.67</v>
      </c>
    </row>
    <row r="1185" spans="1:4">
      <c r="A1185" s="915" t="s">
        <v>1062</v>
      </c>
      <c r="B1185" s="916" t="s">
        <v>416</v>
      </c>
      <c r="C1185" s="917">
        <v>43180</v>
      </c>
      <c r="D1185" s="918">
        <v>541.95000000000005</v>
      </c>
    </row>
    <row r="1186" spans="1:4">
      <c r="A1186" s="907" t="s">
        <v>311</v>
      </c>
      <c r="B1186" s="908" t="s">
        <v>312</v>
      </c>
      <c r="C1186" s="909">
        <v>43181</v>
      </c>
      <c r="D1186" s="910">
        <v>720</v>
      </c>
    </row>
    <row r="1187" spans="1:4">
      <c r="A1187" s="907" t="s">
        <v>311</v>
      </c>
      <c r="B1187" s="908" t="s">
        <v>312</v>
      </c>
      <c r="C1187" s="909">
        <v>43181</v>
      </c>
      <c r="D1187" s="910">
        <v>700</v>
      </c>
    </row>
    <row r="1188" spans="1:4">
      <c r="A1188" s="907" t="s">
        <v>685</v>
      </c>
      <c r="B1188" s="908" t="s">
        <v>1183</v>
      </c>
      <c r="C1188" s="909">
        <v>43181</v>
      </c>
      <c r="D1188" s="910">
        <v>1671.136</v>
      </c>
    </row>
    <row r="1189" spans="1:4">
      <c r="A1189" s="907" t="s">
        <v>410</v>
      </c>
      <c r="B1189" s="908" t="s">
        <v>292</v>
      </c>
      <c r="C1189" s="909">
        <v>43182</v>
      </c>
      <c r="D1189" s="910">
        <v>1171.454</v>
      </c>
    </row>
    <row r="1190" spans="1:4">
      <c r="A1190" s="915" t="s">
        <v>163</v>
      </c>
      <c r="B1190" s="916" t="s">
        <v>162</v>
      </c>
      <c r="C1190" s="917">
        <v>43182</v>
      </c>
      <c r="D1190" s="918">
        <v>1500</v>
      </c>
    </row>
    <row r="1191" spans="1:4">
      <c r="A1191" s="915" t="s">
        <v>746</v>
      </c>
      <c r="B1191" s="916" t="s">
        <v>155</v>
      </c>
      <c r="C1191" s="917">
        <v>43182</v>
      </c>
      <c r="D1191" s="918">
        <v>1664.13</v>
      </c>
    </row>
    <row r="1192" spans="1:4">
      <c r="A1192" s="907" t="s">
        <v>408</v>
      </c>
      <c r="B1192" s="908" t="s">
        <v>204</v>
      </c>
      <c r="C1192" s="909">
        <v>43183</v>
      </c>
      <c r="D1192" s="910">
        <v>5282.6530000000002</v>
      </c>
    </row>
    <row r="1193" spans="1:4">
      <c r="A1193" s="915" t="s">
        <v>635</v>
      </c>
      <c r="B1193" s="916" t="s">
        <v>189</v>
      </c>
      <c r="C1193" s="917">
        <v>43183</v>
      </c>
      <c r="D1193" s="918">
        <v>570</v>
      </c>
    </row>
    <row r="1194" spans="1:4">
      <c r="A1194" s="907" t="s">
        <v>165</v>
      </c>
      <c r="B1194" s="908" t="s">
        <v>164</v>
      </c>
      <c r="C1194" s="909">
        <v>43184</v>
      </c>
      <c r="D1194" s="910">
        <v>5500</v>
      </c>
    </row>
    <row r="1195" spans="1:4">
      <c r="A1195" s="907" t="s">
        <v>212</v>
      </c>
      <c r="B1195" s="908" t="s">
        <v>211</v>
      </c>
      <c r="C1195" s="909">
        <v>43184</v>
      </c>
      <c r="D1195" s="910">
        <v>2318</v>
      </c>
    </row>
    <row r="1196" spans="1:4">
      <c r="A1196" s="907" t="s">
        <v>641</v>
      </c>
      <c r="B1196" s="908" t="s">
        <v>1308</v>
      </c>
      <c r="C1196" s="909">
        <v>43184</v>
      </c>
      <c r="D1196" s="910">
        <v>2069.3029999999999</v>
      </c>
    </row>
    <row r="1197" spans="1:4">
      <c r="A1197" s="907" t="s">
        <v>157</v>
      </c>
      <c r="B1197" s="908" t="s">
        <v>156</v>
      </c>
      <c r="C1197" s="909">
        <v>43184</v>
      </c>
      <c r="D1197" s="910">
        <v>700</v>
      </c>
    </row>
    <row r="1198" spans="1:4">
      <c r="A1198" s="907" t="s">
        <v>191</v>
      </c>
      <c r="B1198" s="908" t="s">
        <v>190</v>
      </c>
      <c r="C1198" s="909">
        <v>43184</v>
      </c>
      <c r="D1198" s="910">
        <v>6000</v>
      </c>
    </row>
    <row r="1199" spans="1:4">
      <c r="A1199" s="915" t="s">
        <v>1132</v>
      </c>
      <c r="B1199" s="916" t="s">
        <v>322</v>
      </c>
      <c r="C1199" s="917">
        <v>43184</v>
      </c>
      <c r="D1199" s="918">
        <v>4293.07</v>
      </c>
    </row>
    <row r="1200" spans="1:4">
      <c r="A1200" s="915" t="s">
        <v>905</v>
      </c>
      <c r="B1200" s="916" t="s">
        <v>904</v>
      </c>
      <c r="C1200" s="917">
        <v>43184</v>
      </c>
      <c r="D1200" s="918">
        <v>1400</v>
      </c>
    </row>
    <row r="1201" spans="1:4">
      <c r="A1201" s="915" t="s">
        <v>313</v>
      </c>
      <c r="B1201" s="916" t="s">
        <v>314</v>
      </c>
      <c r="C1201" s="917">
        <v>43184</v>
      </c>
      <c r="D1201" s="918">
        <v>2000</v>
      </c>
    </row>
    <row r="1202" spans="1:4">
      <c r="A1202" s="915" t="s">
        <v>133</v>
      </c>
      <c r="B1202" s="916" t="s">
        <v>132</v>
      </c>
      <c r="C1202" s="917">
        <v>43184</v>
      </c>
      <c r="D1202" s="918">
        <v>3000</v>
      </c>
    </row>
    <row r="1203" spans="1:4">
      <c r="A1203" s="915" t="s">
        <v>662</v>
      </c>
      <c r="B1203" s="916" t="s">
        <v>661</v>
      </c>
      <c r="C1203" s="917">
        <v>43184</v>
      </c>
      <c r="D1203" s="918">
        <v>1433.82</v>
      </c>
    </row>
    <row r="1204" spans="1:4">
      <c r="A1204" s="915" t="s">
        <v>738</v>
      </c>
      <c r="B1204" s="916" t="s">
        <v>739</v>
      </c>
      <c r="C1204" s="917">
        <v>43184</v>
      </c>
      <c r="D1204" s="918">
        <v>1200</v>
      </c>
    </row>
    <row r="1205" spans="1:4">
      <c r="A1205" s="915" t="s">
        <v>915</v>
      </c>
      <c r="B1205" s="916" t="s">
        <v>468</v>
      </c>
      <c r="C1205" s="917">
        <v>43184</v>
      </c>
      <c r="D1205" s="918">
        <v>1175.28</v>
      </c>
    </row>
    <row r="1206" spans="1:4">
      <c r="A1206" s="915" t="s">
        <v>391</v>
      </c>
      <c r="B1206" s="916" t="s">
        <v>134</v>
      </c>
      <c r="C1206" s="917">
        <v>43185</v>
      </c>
      <c r="D1206" s="918">
        <v>1000</v>
      </c>
    </row>
    <row r="1207" spans="1:4">
      <c r="A1207" s="907" t="s">
        <v>198</v>
      </c>
      <c r="B1207" s="908" t="s">
        <v>197</v>
      </c>
      <c r="C1207" s="909">
        <v>43186</v>
      </c>
      <c r="D1207" s="910">
        <v>1703.204</v>
      </c>
    </row>
    <row r="1208" spans="1:4">
      <c r="A1208" s="907" t="s">
        <v>410</v>
      </c>
      <c r="B1208" s="908" t="s">
        <v>292</v>
      </c>
      <c r="C1208" s="909">
        <v>43186</v>
      </c>
      <c r="D1208" s="910">
        <v>1171.454</v>
      </c>
    </row>
    <row r="1209" spans="1:4">
      <c r="A1209" s="907" t="s">
        <v>944</v>
      </c>
      <c r="B1209" s="908" t="s">
        <v>942</v>
      </c>
      <c r="C1209" s="909">
        <v>43186</v>
      </c>
      <c r="D1209" s="910">
        <v>797.49599999999998</v>
      </c>
    </row>
    <row r="1210" spans="1:4">
      <c r="A1210" s="915" t="s">
        <v>163</v>
      </c>
      <c r="B1210" s="916" t="s">
        <v>162</v>
      </c>
      <c r="C1210" s="917">
        <v>43186</v>
      </c>
      <c r="D1210" s="918">
        <v>1500</v>
      </c>
    </row>
    <row r="1211" spans="1:4">
      <c r="A1211" s="915" t="s">
        <v>137</v>
      </c>
      <c r="B1211" s="916" t="s">
        <v>136</v>
      </c>
      <c r="C1211" s="917">
        <v>43186</v>
      </c>
      <c r="D1211" s="918">
        <v>11370.89</v>
      </c>
    </row>
    <row r="1212" spans="1:4">
      <c r="A1212" s="915" t="s">
        <v>1065</v>
      </c>
      <c r="B1212" s="916" t="s">
        <v>507</v>
      </c>
      <c r="C1212" s="917">
        <v>43186</v>
      </c>
      <c r="D1212" s="918">
        <v>1702.05</v>
      </c>
    </row>
    <row r="1213" spans="1:4">
      <c r="A1213" s="915" t="s">
        <v>1131</v>
      </c>
      <c r="B1213" s="916" t="s">
        <v>1130</v>
      </c>
      <c r="C1213" s="917">
        <v>43187</v>
      </c>
      <c r="D1213" s="918">
        <v>2315.5</v>
      </c>
    </row>
    <row r="1214" spans="1:4">
      <c r="A1214" s="915" t="s">
        <v>391</v>
      </c>
      <c r="B1214" s="916" t="s">
        <v>134</v>
      </c>
      <c r="C1214" s="917">
        <v>43187</v>
      </c>
      <c r="D1214" s="918">
        <v>1000</v>
      </c>
    </row>
    <row r="1215" spans="1:4">
      <c r="A1215" s="907" t="s">
        <v>833</v>
      </c>
      <c r="B1215" s="908" t="s">
        <v>479</v>
      </c>
      <c r="C1215" s="909">
        <v>43189</v>
      </c>
      <c r="D1215" s="910">
        <v>1271.509</v>
      </c>
    </row>
    <row r="1216" spans="1:4">
      <c r="A1216" s="907" t="s">
        <v>383</v>
      </c>
      <c r="B1216" s="908" t="s">
        <v>185</v>
      </c>
      <c r="C1216" s="909">
        <v>43189</v>
      </c>
      <c r="D1216" s="910">
        <v>2556.3319999999999</v>
      </c>
    </row>
    <row r="1217" spans="1:4">
      <c r="A1217" s="907" t="s">
        <v>749</v>
      </c>
      <c r="B1217" s="908" t="s">
        <v>1036</v>
      </c>
      <c r="C1217" s="909">
        <v>43189</v>
      </c>
      <c r="D1217" s="910">
        <v>763.34100000000001</v>
      </c>
    </row>
    <row r="1218" spans="1:4">
      <c r="A1218" s="907" t="s">
        <v>490</v>
      </c>
      <c r="B1218" s="908" t="s">
        <v>491</v>
      </c>
      <c r="C1218" s="909">
        <v>43189</v>
      </c>
      <c r="D1218" s="910">
        <v>3726.5430000000001</v>
      </c>
    </row>
    <row r="1219" spans="1:4">
      <c r="A1219" s="907" t="s">
        <v>757</v>
      </c>
      <c r="B1219" s="908" t="s">
        <v>758</v>
      </c>
      <c r="C1219" s="909">
        <v>43189</v>
      </c>
      <c r="D1219" s="910">
        <v>2224.1999999999998</v>
      </c>
    </row>
    <row r="1220" spans="1:4">
      <c r="A1220" s="915" t="s">
        <v>313</v>
      </c>
      <c r="B1220" s="916" t="s">
        <v>314</v>
      </c>
      <c r="C1220" s="917">
        <v>43189</v>
      </c>
      <c r="D1220" s="918">
        <v>2264.38</v>
      </c>
    </row>
    <row r="1221" spans="1:4">
      <c r="A1221" s="915" t="s">
        <v>1059</v>
      </c>
      <c r="B1221" s="916" t="s">
        <v>1060</v>
      </c>
      <c r="C1221" s="917">
        <v>43189</v>
      </c>
      <c r="D1221" s="918">
        <v>1387.33</v>
      </c>
    </row>
    <row r="1222" spans="1:4">
      <c r="A1222" s="915" t="s">
        <v>390</v>
      </c>
      <c r="B1222" s="916" t="s">
        <v>153</v>
      </c>
      <c r="C1222" s="917">
        <v>43189</v>
      </c>
      <c r="D1222" s="918">
        <v>5000</v>
      </c>
    </row>
    <row r="1223" spans="1:4">
      <c r="A1223" s="915" t="s">
        <v>391</v>
      </c>
      <c r="B1223" s="916" t="s">
        <v>134</v>
      </c>
      <c r="C1223" s="917">
        <v>43189</v>
      </c>
      <c r="D1223" s="918">
        <v>1000</v>
      </c>
    </row>
    <row r="1224" spans="1:4">
      <c r="A1224" s="915" t="s">
        <v>364</v>
      </c>
      <c r="B1224" s="916" t="s">
        <v>186</v>
      </c>
      <c r="C1224" s="917">
        <v>43189</v>
      </c>
      <c r="D1224" s="918">
        <v>925</v>
      </c>
    </row>
    <row r="1225" spans="1:4">
      <c r="A1225" s="915" t="s">
        <v>364</v>
      </c>
      <c r="B1225" s="916" t="s">
        <v>186</v>
      </c>
      <c r="C1225" s="917">
        <v>43189</v>
      </c>
      <c r="D1225" s="918">
        <v>855</v>
      </c>
    </row>
    <row r="1226" spans="1:4">
      <c r="A1226" s="907" t="s">
        <v>311</v>
      </c>
      <c r="B1226" s="908" t="s">
        <v>312</v>
      </c>
      <c r="C1226" s="909">
        <v>43190</v>
      </c>
      <c r="D1226" s="910">
        <v>720</v>
      </c>
    </row>
    <row r="1227" spans="1:4">
      <c r="A1227" s="907" t="s">
        <v>198</v>
      </c>
      <c r="B1227" s="908" t="s">
        <v>197</v>
      </c>
      <c r="C1227" s="909">
        <v>43190</v>
      </c>
      <c r="D1227" s="910">
        <v>1703.204</v>
      </c>
    </row>
    <row r="1228" spans="1:4">
      <c r="A1228" s="907" t="s">
        <v>172</v>
      </c>
      <c r="B1228" s="908" t="s">
        <v>171</v>
      </c>
      <c r="C1228" s="909">
        <v>43190</v>
      </c>
      <c r="D1228" s="910">
        <v>3263.732</v>
      </c>
    </row>
    <row r="1229" spans="1:4">
      <c r="A1229" s="907" t="s">
        <v>1162</v>
      </c>
      <c r="B1229" s="908" t="s">
        <v>1306</v>
      </c>
      <c r="C1229" s="909">
        <v>43190</v>
      </c>
      <c r="D1229" s="910">
        <v>1378.681</v>
      </c>
    </row>
    <row r="1230" spans="1:4">
      <c r="A1230" s="907" t="s">
        <v>1165</v>
      </c>
      <c r="B1230" s="908" t="s">
        <v>1164</v>
      </c>
      <c r="C1230" s="909">
        <v>43190</v>
      </c>
      <c r="D1230" s="910">
        <v>287.22300000000001</v>
      </c>
    </row>
    <row r="1231" spans="1:4">
      <c r="A1231" s="907" t="s">
        <v>956</v>
      </c>
      <c r="B1231" s="908" t="s">
        <v>1296</v>
      </c>
      <c r="C1231" s="909">
        <v>43190</v>
      </c>
      <c r="D1231" s="910">
        <v>1261.43</v>
      </c>
    </row>
    <row r="1232" spans="1:4">
      <c r="A1232" s="907" t="s">
        <v>920</v>
      </c>
      <c r="B1232" s="908" t="s">
        <v>726</v>
      </c>
      <c r="C1232" s="909">
        <v>43190</v>
      </c>
      <c r="D1232" s="910">
        <v>1019.634</v>
      </c>
    </row>
    <row r="1233" spans="1:4">
      <c r="A1233" s="907" t="s">
        <v>1004</v>
      </c>
      <c r="B1233" s="908" t="s">
        <v>1283</v>
      </c>
      <c r="C1233" s="909">
        <v>43190</v>
      </c>
      <c r="D1233" s="910">
        <v>1123.059</v>
      </c>
    </row>
    <row r="1234" spans="1:4">
      <c r="A1234" s="907" t="s">
        <v>864</v>
      </c>
      <c r="B1234" s="908" t="s">
        <v>1244</v>
      </c>
      <c r="C1234" s="909">
        <v>43190</v>
      </c>
      <c r="D1234" s="910">
        <v>2755.0309999999999</v>
      </c>
    </row>
    <row r="1235" spans="1:4">
      <c r="A1235" s="907" t="s">
        <v>157</v>
      </c>
      <c r="B1235" s="908" t="s">
        <v>156</v>
      </c>
      <c r="C1235" s="909">
        <v>43190</v>
      </c>
      <c r="D1235" s="910">
        <v>706.07399999999996</v>
      </c>
    </row>
    <row r="1236" spans="1:4">
      <c r="A1236" s="907" t="s">
        <v>723</v>
      </c>
      <c r="B1236" s="908" t="s">
        <v>1248</v>
      </c>
      <c r="C1236" s="909">
        <v>43190</v>
      </c>
      <c r="D1236" s="910">
        <v>1415.11</v>
      </c>
    </row>
    <row r="1237" spans="1:4">
      <c r="A1237" s="907" t="s">
        <v>697</v>
      </c>
      <c r="B1237" s="908" t="s">
        <v>541</v>
      </c>
      <c r="C1237" s="909">
        <v>43190</v>
      </c>
      <c r="D1237" s="910">
        <v>707.404</v>
      </c>
    </row>
    <row r="1238" spans="1:4">
      <c r="A1238" s="907" t="s">
        <v>878</v>
      </c>
      <c r="B1238" s="908" t="s">
        <v>210</v>
      </c>
      <c r="C1238" s="909">
        <v>43190</v>
      </c>
      <c r="D1238" s="910">
        <v>3937.915</v>
      </c>
    </row>
    <row r="1239" spans="1:4">
      <c r="A1239" s="907" t="s">
        <v>1215</v>
      </c>
      <c r="B1239" s="908" t="s">
        <v>1214</v>
      </c>
      <c r="C1239" s="909">
        <v>43190</v>
      </c>
      <c r="D1239" s="910">
        <v>4000</v>
      </c>
    </row>
    <row r="1240" spans="1:4">
      <c r="A1240" s="915" t="s">
        <v>163</v>
      </c>
      <c r="B1240" s="916" t="s">
        <v>162</v>
      </c>
      <c r="C1240" s="917">
        <v>43190</v>
      </c>
      <c r="D1240" s="918">
        <v>1500</v>
      </c>
    </row>
    <row r="1241" spans="1:4">
      <c r="A1241" s="915" t="s">
        <v>149</v>
      </c>
      <c r="B1241" s="916" t="s">
        <v>148</v>
      </c>
      <c r="C1241" s="917">
        <v>43190</v>
      </c>
      <c r="D1241" s="918">
        <v>2892.04</v>
      </c>
    </row>
    <row r="1242" spans="1:4">
      <c r="A1242" s="915" t="s">
        <v>207</v>
      </c>
      <c r="B1242" s="916" t="s">
        <v>206</v>
      </c>
      <c r="C1242" s="917">
        <v>43190</v>
      </c>
      <c r="D1242" s="918">
        <v>2863</v>
      </c>
    </row>
    <row r="1243" spans="1:4">
      <c r="A1243" s="915" t="s">
        <v>133</v>
      </c>
      <c r="B1243" s="916" t="s">
        <v>132</v>
      </c>
      <c r="C1243" s="917">
        <v>43190</v>
      </c>
      <c r="D1243" s="918">
        <v>3176.75</v>
      </c>
    </row>
    <row r="1244" spans="1:4">
      <c r="A1244" s="915" t="s">
        <v>645</v>
      </c>
      <c r="B1244" s="916" t="s">
        <v>646</v>
      </c>
      <c r="C1244" s="917">
        <v>43190</v>
      </c>
      <c r="D1244" s="918">
        <v>790.84</v>
      </c>
    </row>
    <row r="1245" spans="1:4">
      <c r="A1245" s="915" t="s">
        <v>482</v>
      </c>
      <c r="B1245" s="916" t="s">
        <v>483</v>
      </c>
      <c r="C1245" s="917">
        <v>43190</v>
      </c>
      <c r="D1245" s="918">
        <v>1364.67</v>
      </c>
    </row>
    <row r="1246" spans="1:4">
      <c r="A1246" s="915" t="s">
        <v>508</v>
      </c>
      <c r="B1246" s="916" t="s">
        <v>507</v>
      </c>
      <c r="C1246" s="917">
        <v>43190</v>
      </c>
      <c r="D1246" s="918">
        <v>1700</v>
      </c>
    </row>
    <row r="1247" spans="1:4">
      <c r="A1247" s="915" t="s">
        <v>413</v>
      </c>
      <c r="B1247" s="916" t="s">
        <v>175</v>
      </c>
      <c r="C1247" s="917">
        <v>43190</v>
      </c>
      <c r="D1247" s="918">
        <v>7658.21</v>
      </c>
    </row>
    <row r="1248" spans="1:4">
      <c r="A1248" s="915" t="s">
        <v>506</v>
      </c>
      <c r="B1248" s="916" t="s">
        <v>141</v>
      </c>
      <c r="C1248" s="917">
        <v>43190</v>
      </c>
      <c r="D1248" s="918">
        <v>300</v>
      </c>
    </row>
    <row r="1249" spans="1:9">
      <c r="A1249" s="915" t="s">
        <v>832</v>
      </c>
      <c r="B1249" s="916" t="s">
        <v>522</v>
      </c>
      <c r="C1249" s="917">
        <v>43190</v>
      </c>
      <c r="D1249" s="918">
        <v>501.14</v>
      </c>
    </row>
    <row r="1250" spans="1:9">
      <c r="A1250" s="915" t="s">
        <v>1157</v>
      </c>
      <c r="B1250" s="916" t="s">
        <v>251</v>
      </c>
      <c r="C1250" s="917">
        <v>43190</v>
      </c>
      <c r="D1250" s="918">
        <v>3692.66</v>
      </c>
    </row>
    <row r="1251" spans="1:9">
      <c r="A1251" s="915" t="s">
        <v>209</v>
      </c>
      <c r="B1251" s="916" t="s">
        <v>208</v>
      </c>
      <c r="C1251" s="917">
        <v>43190</v>
      </c>
      <c r="D1251" s="918">
        <v>2000</v>
      </c>
    </row>
    <row r="1252" spans="1:9">
      <c r="A1252" s="915" t="s">
        <v>391</v>
      </c>
      <c r="B1252" s="916" t="s">
        <v>134</v>
      </c>
      <c r="C1252" s="917">
        <v>43190</v>
      </c>
      <c r="D1252" s="918">
        <v>1000</v>
      </c>
    </row>
    <row r="1253" spans="1:9">
      <c r="A1253" s="915" t="s">
        <v>139</v>
      </c>
      <c r="B1253" s="916" t="s">
        <v>138</v>
      </c>
      <c r="C1253" s="917">
        <v>43190</v>
      </c>
      <c r="D1253" s="918">
        <v>1250</v>
      </c>
    </row>
    <row r="1254" spans="1:9">
      <c r="A1254" s="915" t="s">
        <v>533</v>
      </c>
      <c r="B1254" s="916" t="s">
        <v>532</v>
      </c>
      <c r="C1254" s="917">
        <v>43190</v>
      </c>
      <c r="D1254" s="918">
        <v>13932.89</v>
      </c>
    </row>
    <row r="1255" spans="1:9">
      <c r="A1255" s="915" t="s">
        <v>480</v>
      </c>
      <c r="B1255" s="916" t="s">
        <v>481</v>
      </c>
      <c r="C1255" s="917">
        <v>43190</v>
      </c>
      <c r="D1255" s="918">
        <v>2000</v>
      </c>
    </row>
    <row r="1256" spans="1:9">
      <c r="A1256" s="915" t="s">
        <v>911</v>
      </c>
      <c r="B1256" s="916" t="s">
        <v>152</v>
      </c>
      <c r="C1256" s="917">
        <v>43190</v>
      </c>
      <c r="D1256" s="918">
        <v>1918.59</v>
      </c>
    </row>
    <row r="1257" spans="1:9" ht="15.75" thickBot="1">
      <c r="A1257" s="923" t="s">
        <v>635</v>
      </c>
      <c r="B1257" s="924" t="s">
        <v>189</v>
      </c>
      <c r="C1257" s="925">
        <v>43190</v>
      </c>
      <c r="D1257" s="926">
        <v>545.14</v>
      </c>
    </row>
    <row r="1258" spans="1:9" ht="15.75" thickBot="1">
      <c r="A1258" s="1057" t="s">
        <v>967</v>
      </c>
      <c r="B1258" s="1058"/>
      <c r="C1258" s="1058"/>
      <c r="D1258" s="730">
        <f>SUM(D1069:D1257)</f>
        <v>403665.82300000027</v>
      </c>
      <c r="F1258" s="798"/>
      <c r="G1258" s="798"/>
      <c r="H1258" s="109"/>
      <c r="I1258" s="49"/>
    </row>
    <row r="1259" spans="1:9">
      <c r="A1259" s="919" t="s">
        <v>738</v>
      </c>
      <c r="B1259" s="920" t="s">
        <v>739</v>
      </c>
      <c r="C1259" s="921">
        <v>43191</v>
      </c>
      <c r="D1259" s="922">
        <v>1100</v>
      </c>
    </row>
    <row r="1260" spans="1:9">
      <c r="A1260" s="915" t="s">
        <v>506</v>
      </c>
      <c r="B1260" s="916" t="s">
        <v>141</v>
      </c>
      <c r="C1260" s="917">
        <v>43193</v>
      </c>
      <c r="D1260" s="918">
        <v>900</v>
      </c>
    </row>
    <row r="1261" spans="1:9">
      <c r="A1261" s="907" t="s">
        <v>410</v>
      </c>
      <c r="B1261" s="908" t="s">
        <v>292</v>
      </c>
      <c r="C1261" s="909">
        <v>43194</v>
      </c>
      <c r="D1261" s="910">
        <v>1171.454</v>
      </c>
    </row>
    <row r="1262" spans="1:9">
      <c r="A1262" s="907" t="s">
        <v>165</v>
      </c>
      <c r="B1262" s="908" t="s">
        <v>164</v>
      </c>
      <c r="C1262" s="909">
        <v>43195</v>
      </c>
      <c r="D1262" s="910">
        <v>5500</v>
      </c>
    </row>
    <row r="1263" spans="1:9">
      <c r="A1263" s="907" t="s">
        <v>212</v>
      </c>
      <c r="B1263" s="908" t="s">
        <v>211</v>
      </c>
      <c r="C1263" s="909">
        <v>43195</v>
      </c>
      <c r="D1263" s="910">
        <v>2319.4389999999999</v>
      </c>
    </row>
    <row r="1264" spans="1:9">
      <c r="A1264" s="907" t="s">
        <v>494</v>
      </c>
      <c r="B1264" s="908" t="s">
        <v>1298</v>
      </c>
      <c r="C1264" s="909">
        <v>43195</v>
      </c>
      <c r="D1264" s="910">
        <v>870.71699999999998</v>
      </c>
    </row>
    <row r="1265" spans="1:4">
      <c r="A1265" s="907" t="s">
        <v>531</v>
      </c>
      <c r="B1265" s="908" t="s">
        <v>1245</v>
      </c>
      <c r="C1265" s="909">
        <v>43195</v>
      </c>
      <c r="D1265" s="910">
        <v>2300</v>
      </c>
    </row>
    <row r="1266" spans="1:4">
      <c r="A1266" s="915" t="s">
        <v>1002</v>
      </c>
      <c r="B1266" s="916" t="s">
        <v>1001</v>
      </c>
      <c r="C1266" s="917">
        <v>43195</v>
      </c>
      <c r="D1266" s="918">
        <v>1290.6400000000001</v>
      </c>
    </row>
    <row r="1267" spans="1:4">
      <c r="A1267" s="915" t="s">
        <v>738</v>
      </c>
      <c r="B1267" s="916" t="s">
        <v>739</v>
      </c>
      <c r="C1267" s="917">
        <v>43195</v>
      </c>
      <c r="D1267" s="918">
        <v>1125.07</v>
      </c>
    </row>
    <row r="1268" spans="1:4">
      <c r="A1268" s="915" t="s">
        <v>388</v>
      </c>
      <c r="B1268" s="916" t="s">
        <v>336</v>
      </c>
      <c r="C1268" s="917">
        <v>43195</v>
      </c>
      <c r="D1268" s="918">
        <v>4128.8100000000004</v>
      </c>
    </row>
    <row r="1269" spans="1:4">
      <c r="A1269" s="915" t="s">
        <v>506</v>
      </c>
      <c r="B1269" s="916" t="s">
        <v>141</v>
      </c>
      <c r="C1269" s="917">
        <v>43195</v>
      </c>
      <c r="D1269" s="918">
        <v>518.80999999999995</v>
      </c>
    </row>
    <row r="1270" spans="1:4">
      <c r="A1270" s="915" t="s">
        <v>163</v>
      </c>
      <c r="B1270" s="916" t="s">
        <v>162</v>
      </c>
      <c r="C1270" s="917">
        <v>43196</v>
      </c>
      <c r="D1270" s="918">
        <v>1500</v>
      </c>
    </row>
    <row r="1271" spans="1:4">
      <c r="A1271" s="915" t="s">
        <v>746</v>
      </c>
      <c r="B1271" s="916" t="s">
        <v>155</v>
      </c>
      <c r="C1271" s="917">
        <v>43196</v>
      </c>
      <c r="D1271" s="918">
        <v>1800</v>
      </c>
    </row>
    <row r="1272" spans="1:4">
      <c r="A1272" s="915" t="s">
        <v>640</v>
      </c>
      <c r="B1272" s="916" t="s">
        <v>150</v>
      </c>
      <c r="C1272" s="917">
        <v>43196</v>
      </c>
      <c r="D1272" s="918">
        <v>8330.92</v>
      </c>
    </row>
    <row r="1273" spans="1:4">
      <c r="A1273" s="915" t="s">
        <v>506</v>
      </c>
      <c r="B1273" s="916" t="s">
        <v>141</v>
      </c>
      <c r="C1273" s="917">
        <v>43198</v>
      </c>
      <c r="D1273" s="918">
        <v>900</v>
      </c>
    </row>
    <row r="1274" spans="1:4">
      <c r="A1274" s="915" t="s">
        <v>480</v>
      </c>
      <c r="B1274" s="916" t="s">
        <v>481</v>
      </c>
      <c r="C1274" s="917">
        <v>43199</v>
      </c>
      <c r="D1274" s="918">
        <v>2009.73</v>
      </c>
    </row>
    <row r="1275" spans="1:4">
      <c r="A1275" s="907" t="s">
        <v>198</v>
      </c>
      <c r="B1275" s="908" t="s">
        <v>197</v>
      </c>
      <c r="C1275" s="909">
        <v>43200</v>
      </c>
      <c r="D1275" s="910">
        <v>1703.204</v>
      </c>
    </row>
    <row r="1276" spans="1:4">
      <c r="A1276" s="907" t="s">
        <v>410</v>
      </c>
      <c r="B1276" s="908" t="s">
        <v>292</v>
      </c>
      <c r="C1276" s="909">
        <v>43200</v>
      </c>
      <c r="D1276" s="910">
        <v>1171.454</v>
      </c>
    </row>
    <row r="1277" spans="1:4">
      <c r="A1277" s="907" t="s">
        <v>531</v>
      </c>
      <c r="B1277" s="908" t="s">
        <v>1245</v>
      </c>
      <c r="C1277" s="909">
        <v>43200</v>
      </c>
      <c r="D1277" s="910">
        <v>2300</v>
      </c>
    </row>
    <row r="1278" spans="1:4">
      <c r="A1278" s="915" t="s">
        <v>506</v>
      </c>
      <c r="B1278" s="916" t="s">
        <v>141</v>
      </c>
      <c r="C1278" s="917">
        <v>43200</v>
      </c>
      <c r="D1278" s="918">
        <v>900</v>
      </c>
    </row>
    <row r="1279" spans="1:4">
      <c r="A1279" s="915" t="s">
        <v>139</v>
      </c>
      <c r="B1279" s="916" t="s">
        <v>138</v>
      </c>
      <c r="C1279" s="917">
        <v>43200</v>
      </c>
      <c r="D1279" s="918">
        <v>1292.18</v>
      </c>
    </row>
    <row r="1280" spans="1:4">
      <c r="A1280" s="915" t="s">
        <v>444</v>
      </c>
      <c r="B1280" s="916" t="s">
        <v>188</v>
      </c>
      <c r="C1280" s="917">
        <v>43200</v>
      </c>
      <c r="D1280" s="918">
        <v>5930.39</v>
      </c>
    </row>
    <row r="1281" spans="1:4">
      <c r="A1281" s="907" t="s">
        <v>165</v>
      </c>
      <c r="B1281" s="908" t="s">
        <v>164</v>
      </c>
      <c r="C1281" s="909">
        <v>43205</v>
      </c>
      <c r="D1281" s="910">
        <v>5558.4080000000004</v>
      </c>
    </row>
    <row r="1282" spans="1:4">
      <c r="A1282" s="907" t="s">
        <v>1059</v>
      </c>
      <c r="B1282" s="908" t="s">
        <v>1060</v>
      </c>
      <c r="C1282" s="909">
        <v>43205</v>
      </c>
      <c r="D1282" s="910">
        <v>1461.13</v>
      </c>
    </row>
    <row r="1283" spans="1:4">
      <c r="A1283" s="907" t="s">
        <v>858</v>
      </c>
      <c r="B1283" s="908" t="s">
        <v>859</v>
      </c>
      <c r="C1283" s="909">
        <v>43205</v>
      </c>
      <c r="D1283" s="910">
        <v>821.322</v>
      </c>
    </row>
    <row r="1284" spans="1:4">
      <c r="A1284" s="907" t="s">
        <v>531</v>
      </c>
      <c r="B1284" s="908" t="s">
        <v>1245</v>
      </c>
      <c r="C1284" s="909">
        <v>43205</v>
      </c>
      <c r="D1284" s="910">
        <v>2300</v>
      </c>
    </row>
    <row r="1285" spans="1:4">
      <c r="A1285" s="915" t="s">
        <v>1002</v>
      </c>
      <c r="B1285" s="916" t="s">
        <v>1001</v>
      </c>
      <c r="C1285" s="917">
        <v>43205</v>
      </c>
      <c r="D1285" s="918">
        <v>1300</v>
      </c>
    </row>
    <row r="1286" spans="1:4">
      <c r="A1286" s="915" t="s">
        <v>207</v>
      </c>
      <c r="B1286" s="916" t="s">
        <v>206</v>
      </c>
      <c r="C1286" s="917">
        <v>43205</v>
      </c>
      <c r="D1286" s="918">
        <v>2863.66</v>
      </c>
    </row>
    <row r="1287" spans="1:4">
      <c r="A1287" s="915" t="s">
        <v>905</v>
      </c>
      <c r="B1287" s="916" t="s">
        <v>904</v>
      </c>
      <c r="C1287" s="917">
        <v>43205</v>
      </c>
      <c r="D1287" s="918">
        <v>1500</v>
      </c>
    </row>
    <row r="1288" spans="1:4">
      <c r="A1288" s="915" t="s">
        <v>209</v>
      </c>
      <c r="B1288" s="916" t="s">
        <v>208</v>
      </c>
      <c r="C1288" s="917">
        <v>43205</v>
      </c>
      <c r="D1288" s="918">
        <v>5000</v>
      </c>
    </row>
    <row r="1289" spans="1:4">
      <c r="A1289" s="907" t="s">
        <v>480</v>
      </c>
      <c r="B1289" s="908" t="s">
        <v>1284</v>
      </c>
      <c r="C1289" s="909">
        <v>43206</v>
      </c>
      <c r="D1289" s="910">
        <v>2215.4780000000001</v>
      </c>
    </row>
    <row r="1290" spans="1:4">
      <c r="A1290" s="907" t="s">
        <v>645</v>
      </c>
      <c r="B1290" s="908" t="s">
        <v>646</v>
      </c>
      <c r="C1290" s="909">
        <v>43207</v>
      </c>
      <c r="D1290" s="910">
        <v>1178</v>
      </c>
    </row>
    <row r="1291" spans="1:4">
      <c r="A1291" s="907" t="s">
        <v>531</v>
      </c>
      <c r="B1291" s="908" t="s">
        <v>1245</v>
      </c>
      <c r="C1291" s="909">
        <v>43210</v>
      </c>
      <c r="D1291" s="910">
        <v>2300</v>
      </c>
    </row>
    <row r="1292" spans="1:4">
      <c r="A1292" s="907" t="s">
        <v>1215</v>
      </c>
      <c r="B1292" s="908" t="s">
        <v>1214</v>
      </c>
      <c r="C1292" s="909">
        <v>43210</v>
      </c>
      <c r="D1292" s="910">
        <v>4000</v>
      </c>
    </row>
    <row r="1293" spans="1:4">
      <c r="A1293" s="915" t="s">
        <v>391</v>
      </c>
      <c r="B1293" s="916" t="s">
        <v>134</v>
      </c>
      <c r="C1293" s="917">
        <v>43210</v>
      </c>
      <c r="D1293" s="918">
        <v>1079</v>
      </c>
    </row>
    <row r="1294" spans="1:4">
      <c r="A1294" s="907" t="s">
        <v>480</v>
      </c>
      <c r="B1294" s="908" t="s">
        <v>1284</v>
      </c>
      <c r="C1294" s="909">
        <v>43211</v>
      </c>
      <c r="D1294" s="910">
        <v>2215.4789999999998</v>
      </c>
    </row>
    <row r="1295" spans="1:4">
      <c r="A1295" s="907" t="s">
        <v>198</v>
      </c>
      <c r="B1295" s="908" t="s">
        <v>197</v>
      </c>
      <c r="C1295" s="909">
        <v>43212</v>
      </c>
      <c r="D1295" s="910">
        <v>1703.204</v>
      </c>
    </row>
    <row r="1296" spans="1:4">
      <c r="A1296" s="907" t="s">
        <v>645</v>
      </c>
      <c r="B1296" s="908" t="s">
        <v>646</v>
      </c>
      <c r="C1296" s="909">
        <v>43213</v>
      </c>
      <c r="D1296" s="910">
        <v>1178</v>
      </c>
    </row>
    <row r="1297" spans="1:9">
      <c r="A1297" s="915" t="s">
        <v>391</v>
      </c>
      <c r="B1297" s="916" t="s">
        <v>134</v>
      </c>
      <c r="C1297" s="917">
        <v>43213</v>
      </c>
      <c r="D1297" s="918">
        <v>1078.98</v>
      </c>
    </row>
    <row r="1298" spans="1:9">
      <c r="A1298" s="907" t="s">
        <v>1059</v>
      </c>
      <c r="B1298" s="908" t="s">
        <v>1060</v>
      </c>
      <c r="C1298" s="909">
        <v>43215</v>
      </c>
      <c r="D1298" s="910">
        <v>1461.13</v>
      </c>
    </row>
    <row r="1299" spans="1:9">
      <c r="A1299" s="915" t="s">
        <v>905</v>
      </c>
      <c r="B1299" s="916" t="s">
        <v>904</v>
      </c>
      <c r="C1299" s="917">
        <v>43215</v>
      </c>
      <c r="D1299" s="918">
        <v>1554.84</v>
      </c>
    </row>
    <row r="1300" spans="1:9">
      <c r="A1300" s="907" t="s">
        <v>480</v>
      </c>
      <c r="B1300" s="908" t="s">
        <v>1284</v>
      </c>
      <c r="C1300" s="909">
        <v>43217</v>
      </c>
      <c r="D1300" s="910">
        <v>2215.48</v>
      </c>
    </row>
    <row r="1301" spans="1:9">
      <c r="A1301" s="915" t="s">
        <v>137</v>
      </c>
      <c r="B1301" s="916" t="s">
        <v>136</v>
      </c>
      <c r="C1301" s="917">
        <v>43217</v>
      </c>
      <c r="D1301" s="918">
        <v>11104.33</v>
      </c>
    </row>
    <row r="1302" spans="1:9">
      <c r="A1302" s="907" t="s">
        <v>198</v>
      </c>
      <c r="B1302" s="908" t="s">
        <v>197</v>
      </c>
      <c r="C1302" s="909">
        <v>43220</v>
      </c>
      <c r="D1302" s="910">
        <v>1703.204</v>
      </c>
    </row>
    <row r="1303" spans="1:9">
      <c r="A1303" s="907" t="s">
        <v>645</v>
      </c>
      <c r="B1303" s="908" t="s">
        <v>646</v>
      </c>
      <c r="C1303" s="909">
        <v>43220</v>
      </c>
      <c r="D1303" s="910">
        <v>1180.204</v>
      </c>
    </row>
    <row r="1304" spans="1:9">
      <c r="A1304" s="907" t="s">
        <v>1059</v>
      </c>
      <c r="B1304" s="908" t="s">
        <v>1060</v>
      </c>
      <c r="C1304" s="909">
        <v>43220</v>
      </c>
      <c r="D1304" s="910">
        <v>1461.13</v>
      </c>
    </row>
    <row r="1305" spans="1:9">
      <c r="A1305" s="907" t="s">
        <v>203</v>
      </c>
      <c r="B1305" s="908" t="s">
        <v>202</v>
      </c>
      <c r="C1305" s="909">
        <v>43220</v>
      </c>
      <c r="D1305" s="910">
        <v>11093.128000000001</v>
      </c>
    </row>
    <row r="1306" spans="1:9">
      <c r="A1306" s="907" t="s">
        <v>1215</v>
      </c>
      <c r="B1306" s="908" t="s">
        <v>1214</v>
      </c>
      <c r="C1306" s="909">
        <v>43220</v>
      </c>
      <c r="D1306" s="910">
        <v>4000</v>
      </c>
    </row>
    <row r="1307" spans="1:9" ht="15.75" thickBot="1">
      <c r="A1307" s="923" t="s">
        <v>830</v>
      </c>
      <c r="B1307" s="924" t="s">
        <v>831</v>
      </c>
      <c r="C1307" s="925">
        <v>43220</v>
      </c>
      <c r="D1307" s="926">
        <v>13412.79</v>
      </c>
    </row>
    <row r="1308" spans="1:9" ht="15.75" thickBot="1">
      <c r="A1308" s="1057" t="s">
        <v>968</v>
      </c>
      <c r="B1308" s="1058"/>
      <c r="C1308" s="1058"/>
      <c r="D1308" s="730">
        <f>SUM(D1259:D1307)</f>
        <v>136001.715</v>
      </c>
      <c r="F1308" s="798"/>
      <c r="G1308" s="798"/>
      <c r="H1308" s="109"/>
      <c r="I1308" s="49"/>
    </row>
    <row r="1309" spans="1:9">
      <c r="A1309" s="903" t="s">
        <v>388</v>
      </c>
      <c r="B1309" s="904" t="s">
        <v>1305</v>
      </c>
      <c r="C1309" s="905">
        <v>43225</v>
      </c>
      <c r="D1309" s="906">
        <v>3923.221</v>
      </c>
    </row>
    <row r="1310" spans="1:9">
      <c r="A1310" s="907" t="s">
        <v>480</v>
      </c>
      <c r="B1310" s="908" t="s">
        <v>1284</v>
      </c>
      <c r="C1310" s="909">
        <v>43226</v>
      </c>
      <c r="D1310" s="910">
        <v>2215.4780000000001</v>
      </c>
    </row>
    <row r="1311" spans="1:9">
      <c r="A1311" s="907" t="s">
        <v>531</v>
      </c>
      <c r="B1311" s="908" t="s">
        <v>1245</v>
      </c>
      <c r="C1311" s="909">
        <v>43227</v>
      </c>
      <c r="D1311" s="910">
        <v>2300</v>
      </c>
    </row>
    <row r="1312" spans="1:9">
      <c r="A1312" s="907" t="s">
        <v>1215</v>
      </c>
      <c r="B1312" s="908" t="s">
        <v>1214</v>
      </c>
      <c r="C1312" s="909">
        <v>43230</v>
      </c>
      <c r="D1312" s="910">
        <v>3281.0970000000002</v>
      </c>
    </row>
    <row r="1313" spans="1:9">
      <c r="A1313" s="907" t="s">
        <v>203</v>
      </c>
      <c r="B1313" s="908" t="s">
        <v>202</v>
      </c>
      <c r="C1313" s="909">
        <v>43235</v>
      </c>
      <c r="D1313" s="910">
        <v>15100.286</v>
      </c>
    </row>
    <row r="1314" spans="1:9">
      <c r="A1314" s="907" t="s">
        <v>1002</v>
      </c>
      <c r="B1314" s="908" t="s">
        <v>1001</v>
      </c>
      <c r="C1314" s="909">
        <v>43235</v>
      </c>
      <c r="D1314" s="910">
        <v>1400</v>
      </c>
    </row>
    <row r="1315" spans="1:9">
      <c r="A1315" s="915" t="s">
        <v>209</v>
      </c>
      <c r="B1315" s="916" t="s">
        <v>208</v>
      </c>
      <c r="C1315" s="917">
        <v>43235</v>
      </c>
      <c r="D1315" s="918">
        <v>5000</v>
      </c>
    </row>
    <row r="1316" spans="1:9">
      <c r="A1316" s="907" t="s">
        <v>1215</v>
      </c>
      <c r="B1316" s="908" t="s">
        <v>1214</v>
      </c>
      <c r="C1316" s="909">
        <v>43240</v>
      </c>
      <c r="D1316" s="910">
        <v>3500</v>
      </c>
    </row>
    <row r="1317" spans="1:9">
      <c r="A1317" s="907" t="s">
        <v>1002</v>
      </c>
      <c r="B1317" s="908" t="s">
        <v>1001</v>
      </c>
      <c r="C1317" s="909">
        <v>43250</v>
      </c>
      <c r="D1317" s="910">
        <v>1360.2380000000001</v>
      </c>
    </row>
    <row r="1318" spans="1:9" ht="15.75" thickBot="1">
      <c r="A1318" s="911" t="s">
        <v>1215</v>
      </c>
      <c r="B1318" s="912" t="s">
        <v>1214</v>
      </c>
      <c r="C1318" s="913">
        <v>43251</v>
      </c>
      <c r="D1318" s="914">
        <v>3500</v>
      </c>
    </row>
    <row r="1319" spans="1:9" ht="15.75" thickBot="1">
      <c r="A1319" s="1057" t="s">
        <v>969</v>
      </c>
      <c r="B1319" s="1058"/>
      <c r="C1319" s="1058"/>
      <c r="D1319" s="730">
        <f>SUM(D1309:D1318)</f>
        <v>41580.32</v>
      </c>
      <c r="F1319" s="773"/>
      <c r="G1319" s="773"/>
      <c r="H1319" s="772"/>
      <c r="I1319" s="774"/>
    </row>
    <row r="1320" spans="1:9">
      <c r="A1320" s="903" t="s">
        <v>1215</v>
      </c>
      <c r="B1320" s="904" t="s">
        <v>1214</v>
      </c>
      <c r="C1320" s="905">
        <v>43268</v>
      </c>
      <c r="D1320" s="906">
        <v>3500</v>
      </c>
    </row>
    <row r="1321" spans="1:9">
      <c r="A1321" s="907" t="s">
        <v>531</v>
      </c>
      <c r="B1321" s="908" t="s">
        <v>1245</v>
      </c>
      <c r="C1321" s="909">
        <v>43271</v>
      </c>
      <c r="D1321" s="910">
        <v>2300</v>
      </c>
    </row>
    <row r="1322" spans="1:9" ht="15.75" thickBot="1">
      <c r="A1322" s="911" t="s">
        <v>1215</v>
      </c>
      <c r="B1322" s="912" t="s">
        <v>1214</v>
      </c>
      <c r="C1322" s="913">
        <v>43281</v>
      </c>
      <c r="D1322" s="914">
        <v>3500</v>
      </c>
    </row>
    <row r="1323" spans="1:9" ht="15.75" thickBot="1">
      <c r="A1323" s="1057" t="s">
        <v>1348</v>
      </c>
      <c r="B1323" s="1058"/>
      <c r="C1323" s="1058"/>
      <c r="D1323" s="730">
        <f>SUM(D1320:D1322)</f>
        <v>9300</v>
      </c>
    </row>
    <row r="1324" spans="1:9" ht="15.75" thickBot="1"/>
    <row r="1325" spans="1:9" ht="15.75" thickBot="1">
      <c r="A1325" s="1057" t="s">
        <v>970</v>
      </c>
      <c r="B1325" s="1058"/>
      <c r="C1325" s="1058"/>
      <c r="D1325" s="730">
        <f>D1319+D1308+D1258+D1068+D755+D302+D1323</f>
        <v>2718854.0040000002</v>
      </c>
    </row>
  </sheetData>
  <sortState ref="A2:E1140">
    <sortCondition ref="C2:C1140"/>
  </sortState>
  <mergeCells count="8">
    <mergeCell ref="A1319:C1319"/>
    <mergeCell ref="A1325:C1325"/>
    <mergeCell ref="A302:C302"/>
    <mergeCell ref="A755:C755"/>
    <mergeCell ref="A1068:C1068"/>
    <mergeCell ref="A1258:C1258"/>
    <mergeCell ref="A1308:C1308"/>
    <mergeCell ref="A1323:C1323"/>
  </mergeCells>
  <pageMargins left="0.31496062992125984" right="0.15748031496062992" top="0.82677165354330717" bottom="0.82677165354330717" header="0" footer="0"/>
  <pageSetup paperSize="9" orientation="portrait" verticalDpi="180" r:id="rId1"/>
  <headerFooter>
    <oddFooter>&amp;C&amp;A&amp;R&amp;P/&amp;N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D124"/>
  <sheetViews>
    <sheetView topLeftCell="A58" workbookViewId="0">
      <selection activeCell="D74" sqref="D74"/>
    </sheetView>
  </sheetViews>
  <sheetFormatPr baseColWidth="10" defaultRowHeight="15"/>
  <cols>
    <col min="1" max="1" width="8.28515625" style="712" bestFit="1" customWidth="1"/>
    <col min="2" max="2" width="30.85546875" style="712" bestFit="1" customWidth="1"/>
    <col min="3" max="3" width="10.7109375" style="712" bestFit="1" customWidth="1"/>
    <col min="4" max="4" width="11" style="712" bestFit="1" customWidth="1"/>
    <col min="5" max="16384" width="11.42578125" style="114"/>
  </cols>
  <sheetData>
    <row r="1" spans="1:4" s="636" customFormat="1" ht="15.75" thickBot="1">
      <c r="A1" s="709" t="s">
        <v>888</v>
      </c>
      <c r="B1" s="710" t="s">
        <v>143</v>
      </c>
      <c r="C1" s="710" t="s">
        <v>142</v>
      </c>
      <c r="D1" s="711" t="s">
        <v>889</v>
      </c>
    </row>
    <row r="2" spans="1:4" customFormat="1">
      <c r="A2" s="927" t="s">
        <v>1176</v>
      </c>
      <c r="B2" s="928" t="s">
        <v>1175</v>
      </c>
      <c r="C2" s="929">
        <v>43099</v>
      </c>
      <c r="D2" s="930">
        <v>13302.319</v>
      </c>
    </row>
    <row r="3" spans="1:4" customFormat="1">
      <c r="A3" s="931" t="s">
        <v>1274</v>
      </c>
      <c r="B3" s="932" t="s">
        <v>1273</v>
      </c>
      <c r="C3" s="933">
        <v>43119</v>
      </c>
      <c r="D3" s="934">
        <v>416.17599999999999</v>
      </c>
    </row>
    <row r="4" spans="1:4" customFormat="1">
      <c r="A4" s="931" t="s">
        <v>1272</v>
      </c>
      <c r="B4" s="932" t="s">
        <v>1271</v>
      </c>
      <c r="C4" s="933">
        <v>43119</v>
      </c>
      <c r="D4" s="934">
        <v>269.09800000000001</v>
      </c>
    </row>
    <row r="5" spans="1:4" customFormat="1">
      <c r="A5" s="931" t="s">
        <v>1274</v>
      </c>
      <c r="B5" s="932" t="s">
        <v>1273</v>
      </c>
      <c r="C5" s="933">
        <v>43127</v>
      </c>
      <c r="D5" s="934">
        <v>363.79300000000001</v>
      </c>
    </row>
    <row r="6" spans="1:4" customFormat="1">
      <c r="A6" s="931" t="s">
        <v>1241</v>
      </c>
      <c r="B6" s="932" t="s">
        <v>1240</v>
      </c>
      <c r="C6" s="933">
        <v>43131</v>
      </c>
      <c r="D6" s="934">
        <v>8910.1579999999994</v>
      </c>
    </row>
    <row r="7" spans="1:4" customFormat="1">
      <c r="A7" s="931" t="s">
        <v>1228</v>
      </c>
      <c r="B7" s="932" t="s">
        <v>1227</v>
      </c>
      <c r="C7" s="933">
        <v>43131</v>
      </c>
      <c r="D7" s="934">
        <v>1622.01</v>
      </c>
    </row>
    <row r="8" spans="1:4" customFormat="1">
      <c r="A8" s="931" t="s">
        <v>1270</v>
      </c>
      <c r="B8" s="932" t="s">
        <v>1269</v>
      </c>
      <c r="C8" s="933">
        <v>43131</v>
      </c>
      <c r="D8" s="934">
        <v>841.25</v>
      </c>
    </row>
    <row r="9" spans="1:4" customFormat="1">
      <c r="A9" s="931" t="s">
        <v>1267</v>
      </c>
      <c r="B9" s="932" t="s">
        <v>1266</v>
      </c>
      <c r="C9" s="933">
        <v>43133</v>
      </c>
      <c r="D9" s="934">
        <v>507.62</v>
      </c>
    </row>
    <row r="10" spans="1:4" customFormat="1">
      <c r="A10" s="931" t="s">
        <v>1311</v>
      </c>
      <c r="B10" s="932" t="s">
        <v>1310</v>
      </c>
      <c r="C10" s="933">
        <v>43134</v>
      </c>
      <c r="D10" s="934">
        <v>660.54600000000005</v>
      </c>
    </row>
    <row r="11" spans="1:4" customFormat="1">
      <c r="A11" s="931" t="s">
        <v>1218</v>
      </c>
      <c r="B11" s="932" t="s">
        <v>1217</v>
      </c>
      <c r="C11" s="933">
        <v>43136</v>
      </c>
      <c r="D11" s="934">
        <v>3161.3919999999998</v>
      </c>
    </row>
    <row r="12" spans="1:4" customFormat="1">
      <c r="A12" s="935" t="s">
        <v>1347</v>
      </c>
      <c r="B12" s="936" t="s">
        <v>1346</v>
      </c>
      <c r="C12" s="937">
        <v>43138</v>
      </c>
      <c r="D12" s="938">
        <v>7501.7920000000004</v>
      </c>
    </row>
    <row r="13" spans="1:4" customFormat="1">
      <c r="A13" s="935" t="s">
        <v>1347</v>
      </c>
      <c r="B13" s="936" t="s">
        <v>1346</v>
      </c>
      <c r="C13" s="937">
        <v>43139</v>
      </c>
      <c r="D13" s="938">
        <v>5984.3130000000001</v>
      </c>
    </row>
    <row r="14" spans="1:4" customFormat="1">
      <c r="A14" s="931" t="s">
        <v>1267</v>
      </c>
      <c r="B14" s="932" t="s">
        <v>1266</v>
      </c>
      <c r="C14" s="933">
        <v>43140</v>
      </c>
      <c r="D14" s="934">
        <v>507.62</v>
      </c>
    </row>
    <row r="15" spans="1:4" customFormat="1">
      <c r="A15" s="931" t="s">
        <v>1318</v>
      </c>
      <c r="B15" s="932" t="s">
        <v>1317</v>
      </c>
      <c r="C15" s="933">
        <v>43141</v>
      </c>
      <c r="D15" s="934">
        <v>2340.3710000000001</v>
      </c>
    </row>
    <row r="16" spans="1:4" customFormat="1">
      <c r="A16" s="931" t="s">
        <v>1022</v>
      </c>
      <c r="B16" s="932" t="s">
        <v>1021</v>
      </c>
      <c r="C16" s="933">
        <v>43146</v>
      </c>
      <c r="D16" s="934">
        <v>887.30899999999997</v>
      </c>
    </row>
    <row r="17" spans="1:4" customFormat="1">
      <c r="A17" s="931" t="s">
        <v>1267</v>
      </c>
      <c r="B17" s="932" t="s">
        <v>1266</v>
      </c>
      <c r="C17" s="933">
        <v>43147</v>
      </c>
      <c r="D17" s="934">
        <v>507.62</v>
      </c>
    </row>
    <row r="18" spans="1:4" customFormat="1">
      <c r="A18" s="931" t="s">
        <v>1024</v>
      </c>
      <c r="B18" s="932" t="s">
        <v>1023</v>
      </c>
      <c r="C18" s="933">
        <v>43151</v>
      </c>
      <c r="D18" s="934">
        <v>1448</v>
      </c>
    </row>
    <row r="19" spans="1:4" customFormat="1">
      <c r="A19" s="931" t="s">
        <v>1218</v>
      </c>
      <c r="B19" s="932" t="s">
        <v>1217</v>
      </c>
      <c r="C19" s="933">
        <v>43151</v>
      </c>
      <c r="D19" s="934">
        <v>3161.3919999999998</v>
      </c>
    </row>
    <row r="20" spans="1:4" customFormat="1">
      <c r="A20" s="931" t="s">
        <v>1267</v>
      </c>
      <c r="B20" s="932" t="s">
        <v>1266</v>
      </c>
      <c r="C20" s="933">
        <v>43152</v>
      </c>
      <c r="D20" s="934">
        <v>507.62</v>
      </c>
    </row>
    <row r="21" spans="1:4" customFormat="1">
      <c r="A21" s="931" t="s">
        <v>1267</v>
      </c>
      <c r="B21" s="932" t="s">
        <v>1266</v>
      </c>
      <c r="C21" s="933">
        <v>43157</v>
      </c>
      <c r="D21" s="934">
        <v>507.62900000000002</v>
      </c>
    </row>
    <row r="22" spans="1:4" customFormat="1">
      <c r="A22" s="931" t="s">
        <v>1024</v>
      </c>
      <c r="B22" s="932" t="s">
        <v>1023</v>
      </c>
      <c r="C22" s="933">
        <v>43158</v>
      </c>
      <c r="D22" s="934">
        <v>1449.778</v>
      </c>
    </row>
    <row r="23" spans="1:4" customFormat="1">
      <c r="A23" s="935" t="s">
        <v>1345</v>
      </c>
      <c r="B23" s="936" t="s">
        <v>1344</v>
      </c>
      <c r="C23" s="937">
        <v>43159</v>
      </c>
      <c r="D23" s="938">
        <v>344.53500000000003</v>
      </c>
    </row>
    <row r="24" spans="1:4" customFormat="1">
      <c r="A24" s="935" t="s">
        <v>1343</v>
      </c>
      <c r="B24" s="936" t="s">
        <v>1342</v>
      </c>
      <c r="C24" s="937">
        <v>43159</v>
      </c>
      <c r="D24" s="938">
        <v>6627.15</v>
      </c>
    </row>
    <row r="25" spans="1:4" customFormat="1">
      <c r="A25" s="935" t="s">
        <v>1242</v>
      </c>
      <c r="B25" s="936" t="s">
        <v>1341</v>
      </c>
      <c r="C25" s="937">
        <v>43159</v>
      </c>
      <c r="D25" s="938">
        <v>21842.12</v>
      </c>
    </row>
    <row r="26" spans="1:4" customFormat="1">
      <c r="A26" s="931" t="s">
        <v>1052</v>
      </c>
      <c r="B26" s="932" t="s">
        <v>1051</v>
      </c>
      <c r="C26" s="933">
        <v>43159</v>
      </c>
      <c r="D26" s="934">
        <v>2118.1</v>
      </c>
    </row>
    <row r="27" spans="1:4" customFormat="1">
      <c r="A27" s="931" t="s">
        <v>1172</v>
      </c>
      <c r="B27" s="932" t="s">
        <v>1171</v>
      </c>
      <c r="C27" s="933">
        <v>43159</v>
      </c>
      <c r="D27" s="934">
        <v>4590.259</v>
      </c>
    </row>
    <row r="28" spans="1:4" customFormat="1">
      <c r="A28" s="931" t="s">
        <v>1211</v>
      </c>
      <c r="B28" s="932" t="s">
        <v>1210</v>
      </c>
      <c r="C28" s="933">
        <v>43159</v>
      </c>
      <c r="D28" s="934">
        <v>1651.7139999999999</v>
      </c>
    </row>
    <row r="29" spans="1:4" customFormat="1">
      <c r="A29" s="931" t="s">
        <v>1209</v>
      </c>
      <c r="B29" s="932" t="s">
        <v>1208</v>
      </c>
      <c r="C29" s="933">
        <v>43159</v>
      </c>
      <c r="D29" s="934">
        <v>1464.675</v>
      </c>
    </row>
    <row r="30" spans="1:4" customFormat="1">
      <c r="A30" s="931" t="s">
        <v>1207</v>
      </c>
      <c r="B30" s="932" t="s">
        <v>1206</v>
      </c>
      <c r="C30" s="933">
        <v>43159</v>
      </c>
      <c r="D30" s="934">
        <v>3000.7919999999999</v>
      </c>
    </row>
    <row r="31" spans="1:4" customFormat="1">
      <c r="A31" s="931" t="s">
        <v>1205</v>
      </c>
      <c r="B31" s="932" t="s">
        <v>1204</v>
      </c>
      <c r="C31" s="933">
        <v>43159</v>
      </c>
      <c r="D31" s="934">
        <v>4137.8040000000001</v>
      </c>
    </row>
    <row r="32" spans="1:4" customFormat="1">
      <c r="A32" s="931" t="s">
        <v>1242</v>
      </c>
      <c r="B32" s="932" t="s">
        <v>1067</v>
      </c>
      <c r="C32" s="933">
        <v>43159</v>
      </c>
      <c r="D32" s="934">
        <v>21842.12</v>
      </c>
    </row>
    <row r="33" spans="1:4" customFormat="1">
      <c r="A33" s="931" t="s">
        <v>1241</v>
      </c>
      <c r="B33" s="932" t="s">
        <v>1240</v>
      </c>
      <c r="C33" s="933">
        <v>43159</v>
      </c>
      <c r="D33" s="934">
        <v>6832.0240000000003</v>
      </c>
    </row>
    <row r="34" spans="1:4" customFormat="1">
      <c r="A34" s="931" t="s">
        <v>1053</v>
      </c>
      <c r="B34" s="932" t="s">
        <v>1235</v>
      </c>
      <c r="C34" s="933">
        <v>43159</v>
      </c>
      <c r="D34" s="934">
        <v>522.11</v>
      </c>
    </row>
    <row r="35" spans="1:4" customFormat="1">
      <c r="A35" s="931" t="s">
        <v>1030</v>
      </c>
      <c r="B35" s="932" t="s">
        <v>1029</v>
      </c>
      <c r="C35" s="933">
        <v>43159</v>
      </c>
      <c r="D35" s="934">
        <v>1306.847</v>
      </c>
    </row>
    <row r="36" spans="1:4" customFormat="1">
      <c r="A36" s="931" t="s">
        <v>1276</v>
      </c>
      <c r="B36" s="932" t="s">
        <v>1275</v>
      </c>
      <c r="C36" s="933">
        <v>43159</v>
      </c>
      <c r="D36" s="934">
        <v>1920.046</v>
      </c>
    </row>
    <row r="37" spans="1:4" customFormat="1">
      <c r="A37" s="931" t="s">
        <v>1259</v>
      </c>
      <c r="B37" s="932" t="s">
        <v>1258</v>
      </c>
      <c r="C37" s="933">
        <v>43159</v>
      </c>
      <c r="D37" s="934">
        <v>1349.624</v>
      </c>
    </row>
    <row r="38" spans="1:4" customFormat="1">
      <c r="A38" s="931" t="s">
        <v>1322</v>
      </c>
      <c r="B38" s="932" t="s">
        <v>1321</v>
      </c>
      <c r="C38" s="933">
        <v>43159</v>
      </c>
      <c r="D38" s="934">
        <v>3411.873</v>
      </c>
    </row>
    <row r="39" spans="1:4" customFormat="1">
      <c r="A39" s="931" t="s">
        <v>1320</v>
      </c>
      <c r="B39" s="932" t="s">
        <v>1319</v>
      </c>
      <c r="C39" s="933">
        <v>43159</v>
      </c>
      <c r="D39" s="934">
        <v>3278.7089999999998</v>
      </c>
    </row>
    <row r="40" spans="1:4" customFormat="1">
      <c r="A40" s="931" t="s">
        <v>1313</v>
      </c>
      <c r="B40" s="932" t="s">
        <v>1312</v>
      </c>
      <c r="C40" s="933">
        <v>43159</v>
      </c>
      <c r="D40" s="934">
        <v>1153.04</v>
      </c>
    </row>
    <row r="41" spans="1:4" customFormat="1">
      <c r="A41" s="931" t="s">
        <v>1311</v>
      </c>
      <c r="B41" s="932" t="s">
        <v>1310</v>
      </c>
      <c r="C41" s="933">
        <v>43162</v>
      </c>
      <c r="D41" s="934">
        <v>358.1</v>
      </c>
    </row>
    <row r="42" spans="1:4" customFormat="1">
      <c r="A42" s="935" t="s">
        <v>664</v>
      </c>
      <c r="B42" s="936" t="s">
        <v>663</v>
      </c>
      <c r="C42" s="937">
        <v>43164</v>
      </c>
      <c r="D42" s="938">
        <v>2545.8339999999998</v>
      </c>
    </row>
    <row r="43" spans="1:4" customFormat="1">
      <c r="A43" s="931" t="s">
        <v>1050</v>
      </c>
      <c r="B43" s="932" t="s">
        <v>1049</v>
      </c>
      <c r="C43" s="933">
        <v>43164</v>
      </c>
      <c r="D43" s="934">
        <v>1128.8599999999999</v>
      </c>
    </row>
    <row r="44" spans="1:4" customFormat="1">
      <c r="A44" s="931" t="s">
        <v>1278</v>
      </c>
      <c r="B44" s="932" t="s">
        <v>1277</v>
      </c>
      <c r="C44" s="933">
        <v>43169</v>
      </c>
      <c r="D44" s="934">
        <v>993.928</v>
      </c>
    </row>
    <row r="45" spans="1:4" customFormat="1">
      <c r="A45" s="931" t="s">
        <v>1265</v>
      </c>
      <c r="B45" s="932" t="s">
        <v>1264</v>
      </c>
      <c r="C45" s="933">
        <v>43171</v>
      </c>
      <c r="D45" s="934">
        <v>3232.4009999999998</v>
      </c>
    </row>
    <row r="46" spans="1:4" customFormat="1">
      <c r="A46" s="931" t="s">
        <v>1048</v>
      </c>
      <c r="B46" s="932" t="s">
        <v>1268</v>
      </c>
      <c r="C46" s="933">
        <v>43173</v>
      </c>
      <c r="D46" s="934">
        <v>4846.2179999999998</v>
      </c>
    </row>
    <row r="47" spans="1:4" customFormat="1">
      <c r="A47" s="931" t="s">
        <v>1232</v>
      </c>
      <c r="B47" s="932" t="s">
        <v>1231</v>
      </c>
      <c r="C47" s="933">
        <v>43174</v>
      </c>
      <c r="D47" s="934">
        <v>1669.0260000000001</v>
      </c>
    </row>
    <row r="48" spans="1:4" customFormat="1">
      <c r="A48" s="931" t="s">
        <v>1276</v>
      </c>
      <c r="B48" s="932" t="s">
        <v>1275</v>
      </c>
      <c r="C48" s="933">
        <v>43174</v>
      </c>
      <c r="D48" s="934">
        <v>1920.046</v>
      </c>
    </row>
    <row r="49" spans="1:4" customFormat="1">
      <c r="A49" s="935" t="s">
        <v>1324</v>
      </c>
      <c r="B49" s="936" t="s">
        <v>1323</v>
      </c>
      <c r="C49" s="937">
        <v>43179</v>
      </c>
      <c r="D49" s="938">
        <v>2879.6950000000002</v>
      </c>
    </row>
    <row r="50" spans="1:4">
      <c r="A50" s="935" t="s">
        <v>1339</v>
      </c>
      <c r="B50" s="936" t="s">
        <v>1338</v>
      </c>
      <c r="C50" s="937">
        <v>43179</v>
      </c>
      <c r="D50" s="938">
        <v>1400</v>
      </c>
    </row>
    <row r="51" spans="1:4" customFormat="1">
      <c r="A51" s="931" t="s">
        <v>1174</v>
      </c>
      <c r="B51" s="932" t="s">
        <v>1173</v>
      </c>
      <c r="C51" s="933">
        <v>43179</v>
      </c>
      <c r="D51" s="934">
        <v>1135.0640000000001</v>
      </c>
    </row>
    <row r="52" spans="1:4" customFormat="1">
      <c r="A52" s="931" t="s">
        <v>1218</v>
      </c>
      <c r="B52" s="932" t="s">
        <v>1217</v>
      </c>
      <c r="C52" s="933">
        <v>43179</v>
      </c>
      <c r="D52" s="934">
        <v>3161.3919999999998</v>
      </c>
    </row>
    <row r="53" spans="1:4" customFormat="1">
      <c r="A53" s="931" t="s">
        <v>1263</v>
      </c>
      <c r="B53" s="932" t="s">
        <v>1262</v>
      </c>
      <c r="C53" s="933">
        <v>43179</v>
      </c>
      <c r="D53" s="934">
        <v>1865.3409999999999</v>
      </c>
    </row>
    <row r="54" spans="1:4" customFormat="1">
      <c r="A54" s="931" t="s">
        <v>1324</v>
      </c>
      <c r="B54" s="932" t="s">
        <v>1323</v>
      </c>
      <c r="C54" s="933">
        <v>43179</v>
      </c>
      <c r="D54" s="934">
        <v>2879.6950000000002</v>
      </c>
    </row>
    <row r="55" spans="1:4" customFormat="1">
      <c r="A55" s="935" t="s">
        <v>1339</v>
      </c>
      <c r="B55" s="936" t="s">
        <v>1338</v>
      </c>
      <c r="C55" s="937">
        <v>43184</v>
      </c>
      <c r="D55" s="938">
        <v>1400</v>
      </c>
    </row>
    <row r="56" spans="1:4" customFormat="1">
      <c r="A56" s="935" t="s">
        <v>703</v>
      </c>
      <c r="B56" s="936" t="s">
        <v>704</v>
      </c>
      <c r="C56" s="937">
        <v>43186</v>
      </c>
      <c r="D56" s="938">
        <v>923</v>
      </c>
    </row>
    <row r="57" spans="1:4" customFormat="1">
      <c r="A57" s="931" t="s">
        <v>703</v>
      </c>
      <c r="B57" s="932" t="s">
        <v>704</v>
      </c>
      <c r="C57" s="933">
        <v>43186</v>
      </c>
      <c r="D57" s="934">
        <v>923</v>
      </c>
    </row>
    <row r="58" spans="1:4" customFormat="1">
      <c r="A58" s="931" t="s">
        <v>1048</v>
      </c>
      <c r="B58" s="932" t="s">
        <v>1268</v>
      </c>
      <c r="C58" s="933">
        <v>43186</v>
      </c>
      <c r="D58" s="934">
        <v>4846.2179999999998</v>
      </c>
    </row>
    <row r="59" spans="1:4" customFormat="1">
      <c r="A59" s="931" t="s">
        <v>1026</v>
      </c>
      <c r="B59" s="932" t="s">
        <v>1025</v>
      </c>
      <c r="C59" s="933">
        <v>43187</v>
      </c>
      <c r="D59" s="934">
        <v>5330.0469999999996</v>
      </c>
    </row>
    <row r="60" spans="1:4" customFormat="1">
      <c r="A60" s="931" t="s">
        <v>1230</v>
      </c>
      <c r="B60" s="932" t="s">
        <v>1229</v>
      </c>
      <c r="C60" s="933">
        <v>43189</v>
      </c>
      <c r="D60" s="934">
        <v>7266.7150000000001</v>
      </c>
    </row>
    <row r="61" spans="1:4" customFormat="1">
      <c r="A61" s="935" t="s">
        <v>1324</v>
      </c>
      <c r="B61" s="936" t="s">
        <v>1323</v>
      </c>
      <c r="C61" s="937">
        <v>43190</v>
      </c>
      <c r="D61" s="938">
        <v>2879.6950000000002</v>
      </c>
    </row>
    <row r="62" spans="1:4" customFormat="1">
      <c r="A62" s="935" t="s">
        <v>1339</v>
      </c>
      <c r="B62" s="936" t="s">
        <v>1338</v>
      </c>
      <c r="C62" s="937">
        <v>43190</v>
      </c>
      <c r="D62" s="938">
        <v>1400</v>
      </c>
    </row>
    <row r="63" spans="1:4" customFormat="1">
      <c r="A63" s="931" t="s">
        <v>1190</v>
      </c>
      <c r="B63" s="932" t="s">
        <v>1189</v>
      </c>
      <c r="C63" s="933">
        <v>43190</v>
      </c>
      <c r="D63" s="934">
        <v>3530.665</v>
      </c>
    </row>
    <row r="64" spans="1:4" customFormat="1">
      <c r="A64" s="931" t="s">
        <v>1186</v>
      </c>
      <c r="B64" s="932" t="s">
        <v>1185</v>
      </c>
      <c r="C64" s="933">
        <v>43190</v>
      </c>
      <c r="D64" s="934">
        <v>3463.2570000000001</v>
      </c>
    </row>
    <row r="65" spans="1:4" customFormat="1">
      <c r="A65" s="931" t="s">
        <v>1176</v>
      </c>
      <c r="B65" s="932" t="s">
        <v>1175</v>
      </c>
      <c r="C65" s="933">
        <v>43190</v>
      </c>
      <c r="D65" s="934">
        <v>12230.096</v>
      </c>
    </row>
    <row r="66" spans="1:4" customFormat="1">
      <c r="A66" s="931" t="s">
        <v>1237</v>
      </c>
      <c r="B66" s="932" t="s">
        <v>1236</v>
      </c>
      <c r="C66" s="933">
        <v>43190</v>
      </c>
      <c r="D66" s="934">
        <v>313.51600000000002</v>
      </c>
    </row>
    <row r="67" spans="1:4" customFormat="1">
      <c r="A67" s="931" t="s">
        <v>1234</v>
      </c>
      <c r="B67" s="932" t="s">
        <v>1233</v>
      </c>
      <c r="C67" s="933">
        <v>43190</v>
      </c>
      <c r="D67" s="934">
        <v>1466.3779999999999</v>
      </c>
    </row>
    <row r="68" spans="1:4" customFormat="1">
      <c r="A68" s="931" t="s">
        <v>1280</v>
      </c>
      <c r="B68" s="932" t="s">
        <v>1279</v>
      </c>
      <c r="C68" s="933">
        <v>43190</v>
      </c>
      <c r="D68" s="934">
        <v>1549.8</v>
      </c>
    </row>
    <row r="69" spans="1:4" customFormat="1">
      <c r="A69" s="931" t="s">
        <v>1032</v>
      </c>
      <c r="B69" s="932" t="s">
        <v>1031</v>
      </c>
      <c r="C69" s="933">
        <v>43190</v>
      </c>
      <c r="D69" s="934">
        <v>2125.8879999999999</v>
      </c>
    </row>
    <row r="70" spans="1:4" customFormat="1">
      <c r="A70" s="931" t="s">
        <v>1263</v>
      </c>
      <c r="B70" s="932" t="s">
        <v>1262</v>
      </c>
      <c r="C70" s="933">
        <v>43190</v>
      </c>
      <c r="D70" s="934">
        <v>1865.3409999999999</v>
      </c>
    </row>
    <row r="71" spans="1:4" customFormat="1">
      <c r="A71" s="931" t="s">
        <v>1324</v>
      </c>
      <c r="B71" s="932" t="s">
        <v>1323</v>
      </c>
      <c r="C71" s="933">
        <v>43190</v>
      </c>
      <c r="D71" s="934">
        <v>2879.6950000000002</v>
      </c>
    </row>
    <row r="72" spans="1:4" customFormat="1">
      <c r="A72" s="931" t="s">
        <v>243</v>
      </c>
      <c r="B72" s="932" t="s">
        <v>1316</v>
      </c>
      <c r="C72" s="933">
        <v>43190</v>
      </c>
      <c r="D72" s="934">
        <v>4663.8789999999999</v>
      </c>
    </row>
    <row r="73" spans="1:4" customFormat="1" ht="15.75" thickBot="1">
      <c r="A73" s="939" t="s">
        <v>1315</v>
      </c>
      <c r="B73" s="940" t="s">
        <v>1314</v>
      </c>
      <c r="C73" s="941">
        <v>43190</v>
      </c>
      <c r="D73" s="942">
        <v>1244.8</v>
      </c>
    </row>
    <row r="74" spans="1:4" customFormat="1" ht="15.75" thickBot="1">
      <c r="A74" s="1057" t="s">
        <v>971</v>
      </c>
      <c r="B74" s="1058"/>
      <c r="C74" s="1058"/>
      <c r="D74" s="730">
        <f>SUM(D2:D73)</f>
        <v>232568.93800000002</v>
      </c>
    </row>
    <row r="75" spans="1:4" customFormat="1">
      <c r="A75" s="927" t="s">
        <v>1047</v>
      </c>
      <c r="B75" s="928" t="s">
        <v>1046</v>
      </c>
      <c r="C75" s="929">
        <v>43192</v>
      </c>
      <c r="D75" s="930">
        <v>6330</v>
      </c>
    </row>
    <row r="76" spans="1:4" customFormat="1">
      <c r="A76" s="935" t="s">
        <v>1218</v>
      </c>
      <c r="B76" s="936" t="s">
        <v>1217</v>
      </c>
      <c r="C76" s="937">
        <v>43193</v>
      </c>
      <c r="D76" s="938">
        <v>2599.2429999999999</v>
      </c>
    </row>
    <row r="77" spans="1:4" customFormat="1">
      <c r="A77" s="935" t="s">
        <v>282</v>
      </c>
      <c r="B77" s="936" t="s">
        <v>419</v>
      </c>
      <c r="C77" s="937">
        <v>43195</v>
      </c>
      <c r="D77" s="938">
        <v>13156.36</v>
      </c>
    </row>
    <row r="78" spans="1:4" customFormat="1">
      <c r="A78" s="935" t="s">
        <v>1028</v>
      </c>
      <c r="B78" s="936" t="s">
        <v>1340</v>
      </c>
      <c r="C78" s="937">
        <v>43195</v>
      </c>
      <c r="D78" s="938">
        <v>1241.722</v>
      </c>
    </row>
    <row r="79" spans="1:4" customFormat="1">
      <c r="A79" s="935" t="s">
        <v>1069</v>
      </c>
      <c r="B79" s="936" t="s">
        <v>1070</v>
      </c>
      <c r="C79" s="937">
        <v>43195</v>
      </c>
      <c r="D79" s="938">
        <v>2070.8629999999998</v>
      </c>
    </row>
    <row r="80" spans="1:4" customFormat="1">
      <c r="A80" s="931" t="s">
        <v>1034</v>
      </c>
      <c r="B80" s="932" t="s">
        <v>1033</v>
      </c>
      <c r="C80" s="933">
        <v>43195</v>
      </c>
      <c r="D80" s="934">
        <v>949.28899999999999</v>
      </c>
    </row>
    <row r="81" spans="1:4" customFormat="1">
      <c r="A81" s="935" t="s">
        <v>703</v>
      </c>
      <c r="B81" s="936" t="s">
        <v>704</v>
      </c>
      <c r="C81" s="937">
        <v>43197</v>
      </c>
      <c r="D81" s="938">
        <v>925</v>
      </c>
    </row>
    <row r="82" spans="1:4" customFormat="1">
      <c r="A82" s="935" t="s">
        <v>948</v>
      </c>
      <c r="B82" s="936" t="s">
        <v>947</v>
      </c>
      <c r="C82" s="937">
        <v>43198</v>
      </c>
      <c r="D82" s="938">
        <v>2467.335</v>
      </c>
    </row>
    <row r="83" spans="1:4" customFormat="1">
      <c r="A83" s="935" t="s">
        <v>1324</v>
      </c>
      <c r="B83" s="936" t="s">
        <v>1323</v>
      </c>
      <c r="C83" s="937">
        <v>43200</v>
      </c>
      <c r="D83" s="938">
        <v>2879.6950000000002</v>
      </c>
    </row>
    <row r="84" spans="1:4">
      <c r="A84" s="935" t="s">
        <v>703</v>
      </c>
      <c r="B84" s="936" t="s">
        <v>704</v>
      </c>
      <c r="C84" s="937">
        <v>43200</v>
      </c>
      <c r="D84" s="938">
        <v>926</v>
      </c>
    </row>
    <row r="85" spans="1:4">
      <c r="A85" s="935" t="s">
        <v>1339</v>
      </c>
      <c r="B85" s="936" t="s">
        <v>1338</v>
      </c>
      <c r="C85" s="937">
        <v>43200</v>
      </c>
      <c r="D85" s="938">
        <v>1536.999</v>
      </c>
    </row>
    <row r="86" spans="1:4">
      <c r="A86" s="931" t="s">
        <v>1261</v>
      </c>
      <c r="B86" s="932" t="s">
        <v>1260</v>
      </c>
      <c r="C86" s="933">
        <v>43200</v>
      </c>
      <c r="D86" s="934">
        <v>2542.223</v>
      </c>
    </row>
    <row r="87" spans="1:4">
      <c r="A87" s="931" t="s">
        <v>1324</v>
      </c>
      <c r="B87" s="932" t="s">
        <v>1323</v>
      </c>
      <c r="C87" s="933">
        <v>43200</v>
      </c>
      <c r="D87" s="934">
        <v>2879.6950000000002</v>
      </c>
    </row>
    <row r="88" spans="1:4">
      <c r="A88" s="931" t="s">
        <v>1034</v>
      </c>
      <c r="B88" s="932" t="s">
        <v>1033</v>
      </c>
      <c r="C88" s="933">
        <v>43200</v>
      </c>
      <c r="D88" s="934">
        <v>949.28899999999999</v>
      </c>
    </row>
    <row r="89" spans="1:4">
      <c r="A89" s="935" t="s">
        <v>573</v>
      </c>
      <c r="B89" s="936" t="s">
        <v>574</v>
      </c>
      <c r="C89" s="937">
        <v>43201</v>
      </c>
      <c r="D89" s="938">
        <v>11000</v>
      </c>
    </row>
    <row r="90" spans="1:4">
      <c r="A90" s="931" t="s">
        <v>1188</v>
      </c>
      <c r="B90" s="932" t="s">
        <v>1187</v>
      </c>
      <c r="C90" s="933">
        <v>43202</v>
      </c>
      <c r="D90" s="934">
        <v>714.80100000000004</v>
      </c>
    </row>
    <row r="91" spans="1:4">
      <c r="A91" s="935" t="s">
        <v>703</v>
      </c>
      <c r="B91" s="936" t="s">
        <v>704</v>
      </c>
      <c r="C91" s="937">
        <v>43203</v>
      </c>
      <c r="D91" s="938">
        <v>927</v>
      </c>
    </row>
    <row r="92" spans="1:4">
      <c r="A92" s="935" t="s">
        <v>958</v>
      </c>
      <c r="B92" s="936" t="s">
        <v>959</v>
      </c>
      <c r="C92" s="937">
        <v>43205</v>
      </c>
      <c r="D92" s="938">
        <v>4163.8050000000003</v>
      </c>
    </row>
    <row r="93" spans="1:4">
      <c r="A93" s="935" t="s">
        <v>960</v>
      </c>
      <c r="B93" s="936" t="s">
        <v>1337</v>
      </c>
      <c r="C93" s="937">
        <v>43205</v>
      </c>
      <c r="D93" s="938">
        <v>1343.981</v>
      </c>
    </row>
    <row r="94" spans="1:4">
      <c r="A94" s="931" t="s">
        <v>1218</v>
      </c>
      <c r="B94" s="932" t="s">
        <v>1217</v>
      </c>
      <c r="C94" s="933">
        <v>43205</v>
      </c>
      <c r="D94" s="934">
        <v>3161.3919999999998</v>
      </c>
    </row>
    <row r="95" spans="1:4">
      <c r="A95" s="935" t="s">
        <v>703</v>
      </c>
      <c r="B95" s="936" t="s">
        <v>704</v>
      </c>
      <c r="C95" s="937">
        <v>43206</v>
      </c>
      <c r="D95" s="938">
        <v>928</v>
      </c>
    </row>
    <row r="96" spans="1:4">
      <c r="A96" s="931" t="s">
        <v>1047</v>
      </c>
      <c r="B96" s="932" t="s">
        <v>1046</v>
      </c>
      <c r="C96" s="933">
        <v>43206</v>
      </c>
      <c r="D96" s="934">
        <v>6330</v>
      </c>
    </row>
    <row r="97" spans="1:4">
      <c r="A97" s="935" t="s">
        <v>703</v>
      </c>
      <c r="B97" s="936" t="s">
        <v>704</v>
      </c>
      <c r="C97" s="937">
        <v>43209</v>
      </c>
      <c r="D97" s="938">
        <v>788.83600000000001</v>
      </c>
    </row>
    <row r="98" spans="1:4">
      <c r="A98" s="935" t="s">
        <v>573</v>
      </c>
      <c r="B98" s="936" t="s">
        <v>574</v>
      </c>
      <c r="C98" s="937">
        <v>43211</v>
      </c>
      <c r="D98" s="938">
        <v>11000</v>
      </c>
    </row>
    <row r="99" spans="1:4">
      <c r="A99" s="931" t="s">
        <v>703</v>
      </c>
      <c r="B99" s="932" t="s">
        <v>704</v>
      </c>
      <c r="C99" s="933">
        <v>43212</v>
      </c>
      <c r="D99" s="934">
        <v>1460</v>
      </c>
    </row>
    <row r="100" spans="1:4">
      <c r="A100" s="931" t="s">
        <v>1261</v>
      </c>
      <c r="B100" s="932" t="s">
        <v>1260</v>
      </c>
      <c r="C100" s="933">
        <v>43215</v>
      </c>
      <c r="D100" s="934">
        <v>2542.2199999999998</v>
      </c>
    </row>
    <row r="101" spans="1:4">
      <c r="A101" s="931" t="s">
        <v>703</v>
      </c>
      <c r="B101" s="932" t="s">
        <v>704</v>
      </c>
      <c r="C101" s="933">
        <v>43216</v>
      </c>
      <c r="D101" s="934">
        <v>1461</v>
      </c>
    </row>
    <row r="102" spans="1:4">
      <c r="A102" s="935" t="s">
        <v>573</v>
      </c>
      <c r="B102" s="936" t="s">
        <v>574</v>
      </c>
      <c r="C102" s="937">
        <v>43220</v>
      </c>
      <c r="D102" s="938">
        <v>12023.987999999999</v>
      </c>
    </row>
    <row r="103" spans="1:4">
      <c r="A103" s="931" t="s">
        <v>1047</v>
      </c>
      <c r="B103" s="932" t="s">
        <v>1046</v>
      </c>
      <c r="C103" s="933">
        <v>43220</v>
      </c>
      <c r="D103" s="934">
        <v>6347.28</v>
      </c>
    </row>
    <row r="104" spans="1:4">
      <c r="A104" s="931" t="s">
        <v>703</v>
      </c>
      <c r="B104" s="932" t="s">
        <v>704</v>
      </c>
      <c r="C104" s="933">
        <v>43220</v>
      </c>
      <c r="D104" s="934">
        <v>1462</v>
      </c>
    </row>
    <row r="105" spans="1:4">
      <c r="A105" s="931" t="s">
        <v>1261</v>
      </c>
      <c r="B105" s="932" t="s">
        <v>1260</v>
      </c>
      <c r="C105" s="933">
        <v>43220</v>
      </c>
      <c r="D105" s="934">
        <v>2542.2199999999998</v>
      </c>
    </row>
    <row r="106" spans="1:4">
      <c r="A106" s="931" t="s">
        <v>1045</v>
      </c>
      <c r="B106" s="932" t="s">
        <v>1044</v>
      </c>
      <c r="C106" s="933">
        <v>43220</v>
      </c>
      <c r="D106" s="934">
        <v>3941.777</v>
      </c>
    </row>
    <row r="107" spans="1:4">
      <c r="A107" s="935" t="s">
        <v>282</v>
      </c>
      <c r="B107" s="936" t="s">
        <v>419</v>
      </c>
      <c r="C107" s="937">
        <v>43225</v>
      </c>
      <c r="D107" s="938">
        <v>5436.26</v>
      </c>
    </row>
    <row r="108" spans="1:4">
      <c r="A108" s="931" t="s">
        <v>1028</v>
      </c>
      <c r="B108" s="932" t="s">
        <v>1027</v>
      </c>
      <c r="C108" s="933">
        <v>43225</v>
      </c>
      <c r="D108" s="934">
        <v>2183.0770000000002</v>
      </c>
    </row>
    <row r="109" spans="1:4">
      <c r="A109" s="931" t="s">
        <v>703</v>
      </c>
      <c r="B109" s="932" t="s">
        <v>704</v>
      </c>
      <c r="C109" s="933">
        <v>43226</v>
      </c>
      <c r="D109" s="934">
        <v>1463</v>
      </c>
    </row>
    <row r="110" spans="1:4">
      <c r="A110" s="931" t="s">
        <v>948</v>
      </c>
      <c r="B110" s="932" t="s">
        <v>947</v>
      </c>
      <c r="C110" s="933">
        <v>43228</v>
      </c>
      <c r="D110" s="934">
        <v>4696.4059999999999</v>
      </c>
    </row>
    <row r="111" spans="1:4">
      <c r="A111" s="931" t="s">
        <v>703</v>
      </c>
      <c r="B111" s="932" t="s">
        <v>704</v>
      </c>
      <c r="C111" s="933">
        <v>43229</v>
      </c>
      <c r="D111" s="934">
        <v>1469</v>
      </c>
    </row>
    <row r="112" spans="1:4">
      <c r="A112" s="931" t="s">
        <v>1028</v>
      </c>
      <c r="B112" s="932" t="s">
        <v>1027</v>
      </c>
      <c r="C112" s="933">
        <v>43230</v>
      </c>
      <c r="D112" s="934">
        <v>2183.0770000000002</v>
      </c>
    </row>
    <row r="113" spans="1:4">
      <c r="A113" s="931" t="s">
        <v>703</v>
      </c>
      <c r="B113" s="932" t="s">
        <v>704</v>
      </c>
      <c r="C113" s="933">
        <v>43232</v>
      </c>
      <c r="D113" s="934">
        <v>1465</v>
      </c>
    </row>
    <row r="114" spans="1:4">
      <c r="A114" s="931" t="s">
        <v>703</v>
      </c>
      <c r="B114" s="932" t="s">
        <v>704</v>
      </c>
      <c r="C114" s="933">
        <v>43235</v>
      </c>
      <c r="D114" s="934">
        <v>1466</v>
      </c>
    </row>
    <row r="115" spans="1:4">
      <c r="A115" s="931" t="s">
        <v>703</v>
      </c>
      <c r="B115" s="932" t="s">
        <v>704</v>
      </c>
      <c r="C115" s="933">
        <v>43238</v>
      </c>
      <c r="D115" s="934">
        <v>1467</v>
      </c>
    </row>
    <row r="116" spans="1:4">
      <c r="A116" s="931" t="s">
        <v>958</v>
      </c>
      <c r="B116" s="932" t="s">
        <v>959</v>
      </c>
      <c r="C116" s="933">
        <v>43240</v>
      </c>
      <c r="D116" s="934">
        <v>5158.4539999999997</v>
      </c>
    </row>
    <row r="117" spans="1:4">
      <c r="A117" s="931" t="s">
        <v>703</v>
      </c>
      <c r="B117" s="932" t="s">
        <v>704</v>
      </c>
      <c r="C117" s="933">
        <v>43241</v>
      </c>
      <c r="D117" s="934">
        <v>1468</v>
      </c>
    </row>
    <row r="118" spans="1:4">
      <c r="A118" s="931" t="s">
        <v>703</v>
      </c>
      <c r="B118" s="932" t="s">
        <v>704</v>
      </c>
      <c r="C118" s="933">
        <v>43244</v>
      </c>
      <c r="D118" s="934">
        <v>1469</v>
      </c>
    </row>
    <row r="119" spans="1:4">
      <c r="A119" s="931" t="s">
        <v>703</v>
      </c>
      <c r="B119" s="932" t="s">
        <v>704</v>
      </c>
      <c r="C119" s="933">
        <v>43247</v>
      </c>
      <c r="D119" s="934">
        <v>1470</v>
      </c>
    </row>
    <row r="120" spans="1:4">
      <c r="A120" s="931" t="s">
        <v>703</v>
      </c>
      <c r="B120" s="932" t="s">
        <v>704</v>
      </c>
      <c r="C120" s="933">
        <v>43251</v>
      </c>
      <c r="D120" s="934">
        <v>1554.665</v>
      </c>
    </row>
    <row r="121" spans="1:4" ht="15.75" thickBot="1">
      <c r="A121" s="939" t="s">
        <v>1239</v>
      </c>
      <c r="B121" s="940" t="s">
        <v>1238</v>
      </c>
      <c r="C121" s="941">
        <v>43256</v>
      </c>
      <c r="D121" s="942">
        <v>12908.706</v>
      </c>
    </row>
    <row r="122" spans="1:4" ht="15.75" thickBot="1">
      <c r="A122" s="1057" t="s">
        <v>972</v>
      </c>
      <c r="B122" s="1058"/>
      <c r="C122" s="1058"/>
      <c r="D122" s="730">
        <f>SUM(D75:D121)</f>
        <v>159449.65800000002</v>
      </c>
    </row>
    <row r="123" spans="1:4" ht="15.75" thickBot="1"/>
    <row r="124" spans="1:4" ht="15.75" thickBot="1">
      <c r="A124" s="1059" t="s">
        <v>887</v>
      </c>
      <c r="B124" s="1060"/>
      <c r="C124" s="1060"/>
      <c r="D124" s="637">
        <f>+D122+D74</f>
        <v>392018.59600000002</v>
      </c>
    </row>
  </sheetData>
  <mergeCells count="3">
    <mergeCell ref="A124:C124"/>
    <mergeCell ref="A74:C74"/>
    <mergeCell ref="A122:C122"/>
  </mergeCells>
  <pageMargins left="0.70866141732283472" right="0.70866141732283472" top="0.74803149606299213" bottom="0.74803149606299213" header="0.31496062992125984" footer="0.31496062992125984"/>
  <pageSetup paperSize="9" orientation="portrait" verticalDpi="200" r:id="rId1"/>
  <headerFooter>
    <oddFooter>&amp;C&amp;A&amp;R&amp;P/&amp;N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24"/>
  <sheetViews>
    <sheetView topLeftCell="A43" zoomScale="85" zoomScaleNormal="85" workbookViewId="0">
      <selection activeCell="R79" sqref="R79"/>
    </sheetView>
  </sheetViews>
  <sheetFormatPr baseColWidth="10" defaultRowHeight="12.75"/>
  <cols>
    <col min="1" max="1" width="1.5703125" style="26" customWidth="1"/>
    <col min="2" max="2" width="10.85546875" style="584" bestFit="1" customWidth="1"/>
    <col min="3" max="3" width="18.85546875" style="26" bestFit="1" customWidth="1"/>
    <col min="4" max="4" width="3.85546875" style="585" bestFit="1" customWidth="1"/>
    <col min="5" max="5" width="19.140625" style="432" bestFit="1" customWidth="1"/>
    <col min="6" max="7" width="11.7109375" style="576" bestFit="1" customWidth="1"/>
    <col min="8" max="8" width="10.28515625" style="576" bestFit="1" customWidth="1"/>
    <col min="9" max="9" width="11.28515625" style="576" bestFit="1" customWidth="1"/>
    <col min="10" max="10" width="9.5703125" style="26" bestFit="1" customWidth="1"/>
    <col min="11" max="11" width="12.42578125" style="585" bestFit="1" customWidth="1"/>
    <col min="12" max="12" width="7.5703125" style="585" bestFit="1" customWidth="1"/>
    <col min="13" max="13" width="11.85546875" style="576" bestFit="1" customWidth="1"/>
    <col min="14" max="14" width="10.28515625" style="586" bestFit="1" customWidth="1"/>
    <col min="15" max="15" width="9.42578125" style="587" bestFit="1" customWidth="1"/>
    <col min="16" max="16" width="26" style="656" customWidth="1"/>
    <col min="17" max="17" width="9.140625" style="651" customWidth="1"/>
    <col min="18" max="16384" width="11.42578125" style="26"/>
  </cols>
  <sheetData>
    <row r="1" spans="2:17" s="645" customFormat="1" ht="26.25" thickBot="1">
      <c r="B1" s="605" t="s">
        <v>422</v>
      </c>
      <c r="C1" s="606" t="s">
        <v>423</v>
      </c>
      <c r="D1" s="606" t="s">
        <v>424</v>
      </c>
      <c r="E1" s="607" t="s">
        <v>425</v>
      </c>
      <c r="F1" s="608" t="s">
        <v>426</v>
      </c>
      <c r="G1" s="608" t="s">
        <v>428</v>
      </c>
      <c r="H1" s="608" t="s">
        <v>429</v>
      </c>
      <c r="I1" s="608" t="s">
        <v>430</v>
      </c>
      <c r="J1" s="606" t="s">
        <v>431</v>
      </c>
      <c r="K1" s="606" t="s">
        <v>432</v>
      </c>
      <c r="L1" s="606" t="s">
        <v>427</v>
      </c>
      <c r="M1" s="608" t="s">
        <v>11</v>
      </c>
      <c r="N1" s="609" t="s">
        <v>10</v>
      </c>
      <c r="O1" s="610" t="s">
        <v>433</v>
      </c>
      <c r="P1" s="610" t="s">
        <v>841</v>
      </c>
      <c r="Q1" s="644" t="s">
        <v>840</v>
      </c>
    </row>
    <row r="2" spans="2:17" s="47" customFormat="1">
      <c r="B2" s="556">
        <v>42751</v>
      </c>
      <c r="C2" s="557" t="s">
        <v>437</v>
      </c>
      <c r="D2" s="558" t="s">
        <v>434</v>
      </c>
      <c r="E2" s="559">
        <v>2086</v>
      </c>
      <c r="F2" s="502">
        <v>32.200000000000003</v>
      </c>
      <c r="G2" s="502">
        <f>+E2*F2</f>
        <v>67169.200000000012</v>
      </c>
      <c r="H2" s="502">
        <f>G2*0.18</f>
        <v>12090.456000000002</v>
      </c>
      <c r="I2" s="502">
        <f>+G2+H2</f>
        <v>79259.656000000017</v>
      </c>
      <c r="J2" s="557" t="s">
        <v>435</v>
      </c>
      <c r="K2" s="558">
        <v>3909</v>
      </c>
      <c r="L2" s="558" t="s">
        <v>46</v>
      </c>
      <c r="M2" s="502">
        <v>15192</v>
      </c>
      <c r="N2" s="574">
        <v>42901</v>
      </c>
      <c r="O2" s="561" t="s">
        <v>103</v>
      </c>
      <c r="P2" s="1061" t="s">
        <v>839</v>
      </c>
      <c r="Q2" s="1064" t="s">
        <v>46</v>
      </c>
    </row>
    <row r="3" spans="2:17" s="47" customFormat="1">
      <c r="B3" s="550">
        <v>42759</v>
      </c>
      <c r="C3" s="551" t="s">
        <v>437</v>
      </c>
      <c r="D3" s="552" t="s">
        <v>434</v>
      </c>
      <c r="E3" s="553">
        <v>993</v>
      </c>
      <c r="F3" s="503">
        <v>32.200000000000003</v>
      </c>
      <c r="G3" s="503">
        <f>+E3*F3</f>
        <v>31974.600000000002</v>
      </c>
      <c r="H3" s="503">
        <f>G3*0.18</f>
        <v>5755.4279999999999</v>
      </c>
      <c r="I3" s="503">
        <f>+G3+H3</f>
        <v>37730.028000000006</v>
      </c>
      <c r="J3" s="503" t="s">
        <v>435</v>
      </c>
      <c r="K3" s="552">
        <v>3778</v>
      </c>
      <c r="L3" s="552" t="s">
        <v>46</v>
      </c>
      <c r="M3" s="503">
        <v>75000</v>
      </c>
      <c r="N3" s="575">
        <v>42793</v>
      </c>
      <c r="O3" s="555" t="s">
        <v>103</v>
      </c>
      <c r="P3" s="1062"/>
      <c r="Q3" s="1065"/>
    </row>
    <row r="4" spans="2:17">
      <c r="B4" s="550">
        <v>42810</v>
      </c>
      <c r="C4" s="551" t="s">
        <v>437</v>
      </c>
      <c r="D4" s="552" t="s">
        <v>434</v>
      </c>
      <c r="E4" s="553">
        <v>1100</v>
      </c>
      <c r="F4" s="503">
        <v>32.200000000000003</v>
      </c>
      <c r="G4" s="503">
        <f>+E4*F4</f>
        <v>35420</v>
      </c>
      <c r="H4" s="503">
        <f>G4*0.18</f>
        <v>6375.5999999999995</v>
      </c>
      <c r="I4" s="503">
        <f>+G4+H4</f>
        <v>41795.599999999999</v>
      </c>
      <c r="J4" s="551" t="s">
        <v>435</v>
      </c>
      <c r="K4" s="552">
        <v>3858</v>
      </c>
      <c r="L4" s="552" t="s">
        <v>46</v>
      </c>
      <c r="M4" s="503">
        <v>35000</v>
      </c>
      <c r="N4" s="554">
        <v>42842</v>
      </c>
      <c r="O4" s="555" t="s">
        <v>103</v>
      </c>
      <c r="P4" s="1062"/>
      <c r="Q4" s="1065"/>
    </row>
    <row r="5" spans="2:17" ht="13.5" thickBot="1">
      <c r="B5" s="562"/>
      <c r="C5" s="563"/>
      <c r="D5" s="564"/>
      <c r="E5" s="565"/>
      <c r="F5" s="504"/>
      <c r="G5" s="504"/>
      <c r="H5" s="504"/>
      <c r="I5" s="504"/>
      <c r="J5" s="563" t="s">
        <v>435</v>
      </c>
      <c r="K5" s="564">
        <v>3910</v>
      </c>
      <c r="L5" s="564" t="s">
        <v>46</v>
      </c>
      <c r="M5" s="504">
        <v>33593.784</v>
      </c>
      <c r="N5" s="566">
        <v>42865</v>
      </c>
      <c r="O5" s="567" t="s">
        <v>103</v>
      </c>
      <c r="P5" s="1063"/>
      <c r="Q5" s="1066"/>
    </row>
    <row r="6" spans="2:17" s="350" customFormat="1" ht="13.5" thickBot="1">
      <c r="B6" s="617"/>
      <c r="D6" s="618"/>
      <c r="E6" s="619"/>
      <c r="F6" s="361"/>
      <c r="G6" s="361"/>
      <c r="H6" s="361"/>
      <c r="I6" s="361"/>
      <c r="K6" s="618"/>
      <c r="L6" s="618"/>
      <c r="M6" s="361"/>
      <c r="N6" s="620"/>
      <c r="O6" s="362"/>
      <c r="P6" s="654"/>
      <c r="Q6" s="655"/>
    </row>
    <row r="7" spans="2:17">
      <c r="B7" s="556">
        <v>42784</v>
      </c>
      <c r="C7" s="557" t="s">
        <v>436</v>
      </c>
      <c r="D7" s="558" t="s">
        <v>434</v>
      </c>
      <c r="E7" s="559">
        <v>30905</v>
      </c>
      <c r="F7" s="502">
        <v>4.22</v>
      </c>
      <c r="G7" s="502">
        <f>+E7*F7</f>
        <v>130419.09999999999</v>
      </c>
      <c r="H7" s="502">
        <f>G7*0.18</f>
        <v>23475.437999999998</v>
      </c>
      <c r="I7" s="502">
        <f>+G7+H7</f>
        <v>153894.538</v>
      </c>
      <c r="J7" s="502" t="s">
        <v>435</v>
      </c>
      <c r="K7" s="558">
        <v>150</v>
      </c>
      <c r="L7" s="558" t="s">
        <v>45</v>
      </c>
      <c r="M7" s="502">
        <v>60000</v>
      </c>
      <c r="N7" s="574">
        <v>42751</v>
      </c>
      <c r="O7" s="561" t="s">
        <v>103</v>
      </c>
      <c r="P7" s="1061" t="s">
        <v>839</v>
      </c>
      <c r="Q7" s="1064" t="s">
        <v>45</v>
      </c>
    </row>
    <row r="8" spans="2:17">
      <c r="B8" s="550">
        <v>42795</v>
      </c>
      <c r="C8" s="551" t="s">
        <v>436</v>
      </c>
      <c r="D8" s="552" t="s">
        <v>434</v>
      </c>
      <c r="E8" s="553">
        <v>15460</v>
      </c>
      <c r="F8" s="503">
        <v>4.22</v>
      </c>
      <c r="G8" s="503">
        <f>+E8*F8</f>
        <v>65241.2</v>
      </c>
      <c r="H8" s="503">
        <f>G8*0.18</f>
        <v>11743.415999999999</v>
      </c>
      <c r="I8" s="503">
        <f>+G8+H8</f>
        <v>76984.615999999995</v>
      </c>
      <c r="J8" s="503" t="s">
        <v>435</v>
      </c>
      <c r="K8" s="552">
        <v>345</v>
      </c>
      <c r="L8" s="552" t="s">
        <v>45</v>
      </c>
      <c r="M8" s="503">
        <v>80000</v>
      </c>
      <c r="N8" s="575">
        <v>42811</v>
      </c>
      <c r="O8" s="555" t="s">
        <v>103</v>
      </c>
      <c r="P8" s="1062"/>
      <c r="Q8" s="1065"/>
    </row>
    <row r="9" spans="2:17">
      <c r="B9" s="550">
        <v>42808</v>
      </c>
      <c r="C9" s="551" t="s">
        <v>436</v>
      </c>
      <c r="D9" s="552" t="s">
        <v>434</v>
      </c>
      <c r="E9" s="553">
        <v>16380</v>
      </c>
      <c r="F9" s="503">
        <v>4.22</v>
      </c>
      <c r="G9" s="503">
        <f>+E9*F9</f>
        <v>69123.599999999991</v>
      </c>
      <c r="H9" s="503">
        <f>G9*0.18</f>
        <v>12442.247999999998</v>
      </c>
      <c r="I9" s="503">
        <f>+G9+H9</f>
        <v>81565.847999999984</v>
      </c>
      <c r="J9" s="551" t="s">
        <v>435</v>
      </c>
      <c r="K9" s="552">
        <v>372</v>
      </c>
      <c r="L9" s="552" t="s">
        <v>45</v>
      </c>
      <c r="M9" s="503">
        <v>50000</v>
      </c>
      <c r="N9" s="575">
        <v>42828</v>
      </c>
      <c r="O9" s="555" t="s">
        <v>103</v>
      </c>
      <c r="P9" s="1062"/>
      <c r="Q9" s="1065"/>
    </row>
    <row r="10" spans="2:17">
      <c r="B10" s="550">
        <v>42825</v>
      </c>
      <c r="C10" s="551" t="s">
        <v>436</v>
      </c>
      <c r="D10" s="552" t="s">
        <v>434</v>
      </c>
      <c r="E10" s="553">
        <v>5986</v>
      </c>
      <c r="F10" s="503">
        <v>4.22</v>
      </c>
      <c r="G10" s="503">
        <f>+E10*F10</f>
        <v>25260.92</v>
      </c>
      <c r="H10" s="503">
        <f>G10*0.18</f>
        <v>4546.9655999999995</v>
      </c>
      <c r="I10" s="503">
        <f>+G10+H10</f>
        <v>29807.885599999998</v>
      </c>
      <c r="J10" s="551" t="s">
        <v>435</v>
      </c>
      <c r="K10" s="552">
        <v>411</v>
      </c>
      <c r="L10" s="552" t="s">
        <v>45</v>
      </c>
      <c r="M10" s="503">
        <v>35000</v>
      </c>
      <c r="N10" s="554">
        <v>42842</v>
      </c>
      <c r="O10" s="555" t="s">
        <v>103</v>
      </c>
      <c r="P10" s="1062"/>
      <c r="Q10" s="1065"/>
    </row>
    <row r="11" spans="2:17" ht="13.5" thickBot="1">
      <c r="B11" s="562">
        <v>42836</v>
      </c>
      <c r="C11" s="563" t="s">
        <v>436</v>
      </c>
      <c r="D11" s="564" t="s">
        <v>434</v>
      </c>
      <c r="E11" s="565">
        <v>4995</v>
      </c>
      <c r="F11" s="504">
        <v>4.22</v>
      </c>
      <c r="G11" s="504">
        <f>+E11*F11</f>
        <v>21078.899999999998</v>
      </c>
      <c r="H11" s="504">
        <f>G11*0.18</f>
        <v>3794.2019999999993</v>
      </c>
      <c r="I11" s="504">
        <f>+G11+H11</f>
        <v>24873.101999999999</v>
      </c>
      <c r="J11" s="563" t="s">
        <v>435</v>
      </c>
      <c r="K11" s="564">
        <v>482</v>
      </c>
      <c r="L11" s="564" t="s">
        <v>45</v>
      </c>
      <c r="M11" s="504">
        <v>142126.49</v>
      </c>
      <c r="N11" s="566">
        <v>42865</v>
      </c>
      <c r="O11" s="567" t="s">
        <v>103</v>
      </c>
      <c r="P11" s="1063"/>
      <c r="Q11" s="1066"/>
    </row>
    <row r="12" spans="2:17" s="350" customFormat="1" ht="13.5" thickBot="1">
      <c r="B12" s="617"/>
      <c r="D12" s="618"/>
      <c r="E12" s="619"/>
      <c r="F12" s="361"/>
      <c r="G12" s="361"/>
      <c r="H12" s="361"/>
      <c r="I12" s="361"/>
      <c r="K12" s="618"/>
      <c r="L12" s="618"/>
      <c r="M12" s="361"/>
      <c r="N12" s="620"/>
      <c r="O12" s="362"/>
      <c r="P12" s="654"/>
      <c r="Q12" s="655"/>
    </row>
    <row r="13" spans="2:17">
      <c r="B13" s="556">
        <v>42838</v>
      </c>
      <c r="C13" s="557" t="s">
        <v>436</v>
      </c>
      <c r="D13" s="558" t="s">
        <v>434</v>
      </c>
      <c r="E13" s="559">
        <v>3694</v>
      </c>
      <c r="F13" s="502">
        <v>4.0999999999999996</v>
      </c>
      <c r="G13" s="502">
        <f t="shared" ref="G13:G31" si="0">+E13*F13</f>
        <v>15145.399999999998</v>
      </c>
      <c r="H13" s="502">
        <f t="shared" ref="H13:H31" si="1">+G13*0.18</f>
        <v>2726.1719999999996</v>
      </c>
      <c r="I13" s="502">
        <f t="shared" ref="I13:I31" si="2">+H13+G13</f>
        <v>17871.571999999996</v>
      </c>
      <c r="J13" s="557" t="s">
        <v>435</v>
      </c>
      <c r="K13" s="558">
        <v>525</v>
      </c>
      <c r="L13" s="558" t="s">
        <v>45</v>
      </c>
      <c r="M13" s="502">
        <v>60000</v>
      </c>
      <c r="N13" s="560">
        <v>42877</v>
      </c>
      <c r="O13" s="561" t="s">
        <v>103</v>
      </c>
      <c r="P13" s="1061" t="s">
        <v>842</v>
      </c>
      <c r="Q13" s="1064" t="s">
        <v>45</v>
      </c>
    </row>
    <row r="14" spans="2:17">
      <c r="B14" s="550">
        <v>42849</v>
      </c>
      <c r="C14" s="551" t="s">
        <v>436</v>
      </c>
      <c r="D14" s="552" t="s">
        <v>434</v>
      </c>
      <c r="E14" s="553">
        <v>6403</v>
      </c>
      <c r="F14" s="503">
        <v>4.0999999999999996</v>
      </c>
      <c r="G14" s="503">
        <f t="shared" si="0"/>
        <v>26252.3</v>
      </c>
      <c r="H14" s="503">
        <f t="shared" si="1"/>
        <v>4725.4139999999998</v>
      </c>
      <c r="I14" s="503">
        <f t="shared" si="2"/>
        <v>30977.714</v>
      </c>
      <c r="J14" s="551" t="s">
        <v>435</v>
      </c>
      <c r="K14" s="552">
        <v>621</v>
      </c>
      <c r="L14" s="552" t="s">
        <v>45</v>
      </c>
      <c r="M14" s="503">
        <v>80000</v>
      </c>
      <c r="N14" s="554">
        <v>42901</v>
      </c>
      <c r="O14" s="555" t="s">
        <v>103</v>
      </c>
      <c r="P14" s="1062"/>
      <c r="Q14" s="1065"/>
    </row>
    <row r="15" spans="2:17">
      <c r="B15" s="550">
        <v>42867</v>
      </c>
      <c r="C15" s="551" t="s">
        <v>436</v>
      </c>
      <c r="D15" s="552" t="s">
        <v>434</v>
      </c>
      <c r="E15" s="553">
        <v>6510</v>
      </c>
      <c r="F15" s="503">
        <v>4.0999999999999996</v>
      </c>
      <c r="G15" s="503">
        <f t="shared" si="0"/>
        <v>26690.999999999996</v>
      </c>
      <c r="H15" s="503">
        <f t="shared" si="1"/>
        <v>4804.3799999999992</v>
      </c>
      <c r="I15" s="503">
        <f t="shared" si="2"/>
        <v>31495.379999999997</v>
      </c>
      <c r="J15" s="551" t="s">
        <v>435</v>
      </c>
      <c r="K15" s="552">
        <v>739</v>
      </c>
      <c r="L15" s="552" t="s">
        <v>45</v>
      </c>
      <c r="M15" s="503">
        <v>100000</v>
      </c>
      <c r="N15" s="554">
        <v>42940</v>
      </c>
      <c r="O15" s="555" t="s">
        <v>103</v>
      </c>
      <c r="P15" s="1062"/>
      <c r="Q15" s="1065"/>
    </row>
    <row r="16" spans="2:17">
      <c r="B16" s="550">
        <v>42879</v>
      </c>
      <c r="C16" s="551" t="s">
        <v>436</v>
      </c>
      <c r="D16" s="552" t="s">
        <v>434</v>
      </c>
      <c r="E16" s="553">
        <v>5998</v>
      </c>
      <c r="F16" s="503">
        <v>4.0999999999999996</v>
      </c>
      <c r="G16" s="503">
        <f t="shared" si="0"/>
        <v>24591.8</v>
      </c>
      <c r="H16" s="503">
        <f t="shared" si="1"/>
        <v>4426.5239999999994</v>
      </c>
      <c r="I16" s="503">
        <f t="shared" si="2"/>
        <v>29018.324000000001</v>
      </c>
      <c r="J16" s="551" t="s">
        <v>435</v>
      </c>
      <c r="K16" s="552">
        <v>740</v>
      </c>
      <c r="L16" s="552" t="s">
        <v>45</v>
      </c>
      <c r="M16" s="503">
        <v>60000</v>
      </c>
      <c r="N16" s="554">
        <v>42943</v>
      </c>
      <c r="O16" s="555" t="s">
        <v>103</v>
      </c>
      <c r="P16" s="1062"/>
      <c r="Q16" s="1065"/>
    </row>
    <row r="17" spans="2:17">
      <c r="B17" s="550">
        <v>42887</v>
      </c>
      <c r="C17" s="551" t="s">
        <v>436</v>
      </c>
      <c r="D17" s="552" t="s">
        <v>434</v>
      </c>
      <c r="E17" s="553">
        <v>4662</v>
      </c>
      <c r="F17" s="503">
        <v>4.0999999999999996</v>
      </c>
      <c r="G17" s="503">
        <f t="shared" si="0"/>
        <v>19114.199999999997</v>
      </c>
      <c r="H17" s="503">
        <f t="shared" si="1"/>
        <v>3440.5559999999991</v>
      </c>
      <c r="I17" s="503">
        <f t="shared" si="2"/>
        <v>22554.755999999998</v>
      </c>
      <c r="J17" s="551" t="s">
        <v>435</v>
      </c>
      <c r="K17" s="552">
        <v>830</v>
      </c>
      <c r="L17" s="552" t="s">
        <v>45</v>
      </c>
      <c r="M17" s="503">
        <v>100000</v>
      </c>
      <c r="N17" s="554">
        <v>42963</v>
      </c>
      <c r="O17" s="555" t="s">
        <v>103</v>
      </c>
      <c r="P17" s="1062"/>
      <c r="Q17" s="1065"/>
    </row>
    <row r="18" spans="2:17">
      <c r="B18" s="550">
        <v>42893</v>
      </c>
      <c r="C18" s="551" t="s">
        <v>436</v>
      </c>
      <c r="D18" s="552" t="s">
        <v>434</v>
      </c>
      <c r="E18" s="553">
        <v>4753</v>
      </c>
      <c r="F18" s="503">
        <v>4.0999999999999996</v>
      </c>
      <c r="G18" s="503">
        <f t="shared" si="0"/>
        <v>19487.3</v>
      </c>
      <c r="H18" s="503">
        <f t="shared" si="1"/>
        <v>3507.7139999999999</v>
      </c>
      <c r="I18" s="503">
        <f t="shared" si="2"/>
        <v>22995.013999999999</v>
      </c>
      <c r="J18" s="551" t="s">
        <v>435</v>
      </c>
      <c r="K18" s="552">
        <v>831</v>
      </c>
      <c r="L18" s="552" t="s">
        <v>45</v>
      </c>
      <c r="M18" s="503">
        <v>72777.786999999997</v>
      </c>
      <c r="N18" s="554">
        <v>42963</v>
      </c>
      <c r="O18" s="555" t="s">
        <v>103</v>
      </c>
      <c r="P18" s="1062"/>
      <c r="Q18" s="1065"/>
    </row>
    <row r="19" spans="2:17">
      <c r="B19" s="550">
        <v>42900</v>
      </c>
      <c r="C19" s="551" t="s">
        <v>436</v>
      </c>
      <c r="D19" s="552" t="s">
        <v>434</v>
      </c>
      <c r="E19" s="553">
        <v>5116</v>
      </c>
      <c r="F19" s="503">
        <v>4.0999999999999996</v>
      </c>
      <c r="G19" s="503">
        <f t="shared" si="0"/>
        <v>20975.599999999999</v>
      </c>
      <c r="H19" s="503">
        <f t="shared" si="1"/>
        <v>3775.6079999999997</v>
      </c>
      <c r="I19" s="503">
        <f t="shared" si="2"/>
        <v>24751.207999999999</v>
      </c>
      <c r="J19" s="551"/>
      <c r="K19" s="552"/>
      <c r="L19" s="552"/>
      <c r="M19" s="503"/>
      <c r="N19" s="554"/>
      <c r="O19" s="555"/>
      <c r="P19" s="1062"/>
      <c r="Q19" s="1065"/>
    </row>
    <row r="20" spans="2:17">
      <c r="B20" s="550">
        <v>42915</v>
      </c>
      <c r="C20" s="551" t="s">
        <v>436</v>
      </c>
      <c r="D20" s="552" t="s">
        <v>434</v>
      </c>
      <c r="E20" s="553">
        <v>4553</v>
      </c>
      <c r="F20" s="503">
        <v>4.0999999999999996</v>
      </c>
      <c r="G20" s="503">
        <f t="shared" si="0"/>
        <v>18667.3</v>
      </c>
      <c r="H20" s="503">
        <f t="shared" si="1"/>
        <v>3360.1139999999996</v>
      </c>
      <c r="I20" s="503">
        <f t="shared" si="2"/>
        <v>22027.413999999997</v>
      </c>
      <c r="J20" s="551"/>
      <c r="K20" s="552"/>
      <c r="L20" s="552"/>
      <c r="M20" s="503"/>
      <c r="N20" s="554"/>
      <c r="O20" s="555"/>
      <c r="P20" s="1062"/>
      <c r="Q20" s="1065"/>
    </row>
    <row r="21" spans="2:17">
      <c r="B21" s="550">
        <v>42916</v>
      </c>
      <c r="C21" s="551" t="s">
        <v>436</v>
      </c>
      <c r="D21" s="552" t="s">
        <v>434</v>
      </c>
      <c r="E21" s="553">
        <v>3889</v>
      </c>
      <c r="F21" s="503">
        <v>4.0999999999999996</v>
      </c>
      <c r="G21" s="503">
        <f t="shared" si="0"/>
        <v>15944.899999999998</v>
      </c>
      <c r="H21" s="503">
        <f t="shared" si="1"/>
        <v>2870.0819999999994</v>
      </c>
      <c r="I21" s="503">
        <f t="shared" si="2"/>
        <v>18814.981999999996</v>
      </c>
      <c r="J21" s="551"/>
      <c r="K21" s="552"/>
      <c r="L21" s="552"/>
      <c r="M21" s="503"/>
      <c r="N21" s="554"/>
      <c r="O21" s="555"/>
      <c r="P21" s="1062"/>
      <c r="Q21" s="1065"/>
    </row>
    <row r="22" spans="2:17">
      <c r="B22" s="550">
        <v>42922</v>
      </c>
      <c r="C22" s="551" t="s">
        <v>436</v>
      </c>
      <c r="D22" s="552" t="s">
        <v>434</v>
      </c>
      <c r="E22" s="553">
        <v>1694</v>
      </c>
      <c r="F22" s="503">
        <v>4.0999999999999996</v>
      </c>
      <c r="G22" s="503">
        <f t="shared" si="0"/>
        <v>6945.4</v>
      </c>
      <c r="H22" s="503">
        <f t="shared" si="1"/>
        <v>1250.1719999999998</v>
      </c>
      <c r="I22" s="503">
        <f t="shared" si="2"/>
        <v>8195.5720000000001</v>
      </c>
      <c r="J22" s="551"/>
      <c r="K22" s="552"/>
      <c r="L22" s="552"/>
      <c r="M22" s="503"/>
      <c r="N22" s="554"/>
      <c r="O22" s="555"/>
      <c r="P22" s="1062"/>
      <c r="Q22" s="1065"/>
    </row>
    <row r="23" spans="2:17">
      <c r="B23" s="550">
        <v>42922</v>
      </c>
      <c r="C23" s="551" t="s">
        <v>436</v>
      </c>
      <c r="D23" s="552" t="s">
        <v>434</v>
      </c>
      <c r="E23" s="553">
        <v>1634</v>
      </c>
      <c r="F23" s="503">
        <v>4.0999999999999996</v>
      </c>
      <c r="G23" s="503">
        <f t="shared" si="0"/>
        <v>6699.4</v>
      </c>
      <c r="H23" s="503">
        <f t="shared" si="1"/>
        <v>1205.8919999999998</v>
      </c>
      <c r="I23" s="503">
        <f t="shared" si="2"/>
        <v>7905.2919999999995</v>
      </c>
      <c r="J23" s="551"/>
      <c r="K23" s="552"/>
      <c r="L23" s="552"/>
      <c r="M23" s="503"/>
      <c r="N23" s="554"/>
      <c r="O23" s="555"/>
      <c r="P23" s="1062"/>
      <c r="Q23" s="1065"/>
    </row>
    <row r="24" spans="2:17">
      <c r="B24" s="550">
        <v>42926</v>
      </c>
      <c r="C24" s="551" t="s">
        <v>436</v>
      </c>
      <c r="D24" s="552" t="s">
        <v>434</v>
      </c>
      <c r="E24" s="553">
        <v>1450</v>
      </c>
      <c r="F24" s="503">
        <v>4.0999999999999996</v>
      </c>
      <c r="G24" s="503">
        <f t="shared" si="0"/>
        <v>5944.9999999999991</v>
      </c>
      <c r="H24" s="503">
        <f t="shared" si="1"/>
        <v>1070.0999999999999</v>
      </c>
      <c r="I24" s="503">
        <f t="shared" si="2"/>
        <v>7015.0999999999985</v>
      </c>
      <c r="J24" s="551"/>
      <c r="K24" s="552"/>
      <c r="L24" s="552"/>
      <c r="M24" s="503"/>
      <c r="N24" s="554"/>
      <c r="O24" s="555"/>
      <c r="P24" s="1062"/>
      <c r="Q24" s="1065"/>
    </row>
    <row r="25" spans="2:17">
      <c r="B25" s="550">
        <v>42930</v>
      </c>
      <c r="C25" s="551" t="s">
        <v>436</v>
      </c>
      <c r="D25" s="552" t="s">
        <v>434</v>
      </c>
      <c r="E25" s="553">
        <v>3022</v>
      </c>
      <c r="F25" s="503">
        <v>4.0999999999999996</v>
      </c>
      <c r="G25" s="503">
        <f t="shared" si="0"/>
        <v>12390.199999999999</v>
      </c>
      <c r="H25" s="503">
        <f t="shared" si="1"/>
        <v>2230.2359999999999</v>
      </c>
      <c r="I25" s="503">
        <f t="shared" si="2"/>
        <v>14620.435999999998</v>
      </c>
      <c r="J25" s="551"/>
      <c r="K25" s="552"/>
      <c r="L25" s="552"/>
      <c r="M25" s="503"/>
      <c r="N25" s="554"/>
      <c r="O25" s="555"/>
      <c r="P25" s="1062"/>
      <c r="Q25" s="1065"/>
    </row>
    <row r="26" spans="2:17">
      <c r="B26" s="550">
        <v>42942</v>
      </c>
      <c r="C26" s="551" t="s">
        <v>436</v>
      </c>
      <c r="D26" s="552" t="s">
        <v>434</v>
      </c>
      <c r="E26" s="553">
        <v>2704</v>
      </c>
      <c r="F26" s="503">
        <v>4.0999999999999996</v>
      </c>
      <c r="G26" s="503">
        <f t="shared" si="0"/>
        <v>11086.4</v>
      </c>
      <c r="H26" s="503">
        <f t="shared" si="1"/>
        <v>1995.5519999999999</v>
      </c>
      <c r="I26" s="503">
        <f t="shared" si="2"/>
        <v>13081.951999999999</v>
      </c>
      <c r="J26" s="551"/>
      <c r="K26" s="552"/>
      <c r="L26" s="552"/>
      <c r="M26" s="503"/>
      <c r="N26" s="554"/>
      <c r="O26" s="555"/>
      <c r="P26" s="1062"/>
      <c r="Q26" s="1065"/>
    </row>
    <row r="27" spans="2:17">
      <c r="B27" s="550">
        <v>42894</v>
      </c>
      <c r="C27" s="551" t="s">
        <v>498</v>
      </c>
      <c r="D27" s="552" t="s">
        <v>434</v>
      </c>
      <c r="E27" s="553">
        <v>29940</v>
      </c>
      <c r="F27" s="503">
        <v>1.35</v>
      </c>
      <c r="G27" s="503">
        <f t="shared" si="0"/>
        <v>40419</v>
      </c>
      <c r="H27" s="503">
        <f t="shared" si="1"/>
        <v>7275.42</v>
      </c>
      <c r="I27" s="503">
        <f t="shared" si="2"/>
        <v>47694.42</v>
      </c>
      <c r="J27" s="551"/>
      <c r="K27" s="552"/>
      <c r="L27" s="552"/>
      <c r="M27" s="503"/>
      <c r="N27" s="554"/>
      <c r="O27" s="555"/>
      <c r="P27" s="1062"/>
      <c r="Q27" s="1065"/>
    </row>
    <row r="28" spans="2:17">
      <c r="B28" s="550">
        <v>42899</v>
      </c>
      <c r="C28" s="551" t="s">
        <v>498</v>
      </c>
      <c r="D28" s="552" t="s">
        <v>434</v>
      </c>
      <c r="E28" s="553">
        <v>32820</v>
      </c>
      <c r="F28" s="503">
        <v>1.35</v>
      </c>
      <c r="G28" s="503">
        <f t="shared" si="0"/>
        <v>44307</v>
      </c>
      <c r="H28" s="503">
        <f t="shared" si="1"/>
        <v>7975.2599999999993</v>
      </c>
      <c r="I28" s="503">
        <f t="shared" si="2"/>
        <v>52282.26</v>
      </c>
      <c r="J28" s="551"/>
      <c r="K28" s="552"/>
      <c r="L28" s="552"/>
      <c r="M28" s="503"/>
      <c r="N28" s="554"/>
      <c r="O28" s="555"/>
      <c r="P28" s="1062"/>
      <c r="Q28" s="1065"/>
    </row>
    <row r="29" spans="2:17">
      <c r="B29" s="550">
        <v>42922</v>
      </c>
      <c r="C29" s="551" t="s">
        <v>498</v>
      </c>
      <c r="D29" s="552" t="s">
        <v>434</v>
      </c>
      <c r="E29" s="553">
        <v>31960</v>
      </c>
      <c r="F29" s="503">
        <v>1.35</v>
      </c>
      <c r="G29" s="503">
        <f t="shared" si="0"/>
        <v>43146</v>
      </c>
      <c r="H29" s="503">
        <f t="shared" si="1"/>
        <v>7766.28</v>
      </c>
      <c r="I29" s="503">
        <f t="shared" si="2"/>
        <v>50912.28</v>
      </c>
      <c r="J29" s="551"/>
      <c r="K29" s="552"/>
      <c r="L29" s="552"/>
      <c r="M29" s="503"/>
      <c r="N29" s="554"/>
      <c r="O29" s="555"/>
      <c r="P29" s="1062"/>
      <c r="Q29" s="1065"/>
    </row>
    <row r="30" spans="2:17">
      <c r="B30" s="550">
        <v>42927</v>
      </c>
      <c r="C30" s="551" t="s">
        <v>498</v>
      </c>
      <c r="D30" s="552" t="s">
        <v>434</v>
      </c>
      <c r="E30" s="553">
        <v>3121</v>
      </c>
      <c r="F30" s="503">
        <v>1.35</v>
      </c>
      <c r="G30" s="503">
        <f t="shared" si="0"/>
        <v>4213.3500000000004</v>
      </c>
      <c r="H30" s="503">
        <f t="shared" si="1"/>
        <v>758.40300000000002</v>
      </c>
      <c r="I30" s="503">
        <f t="shared" si="2"/>
        <v>4971.7530000000006</v>
      </c>
      <c r="J30" s="551"/>
      <c r="K30" s="552"/>
      <c r="L30" s="552"/>
      <c r="M30" s="503"/>
      <c r="N30" s="554"/>
      <c r="O30" s="555"/>
      <c r="P30" s="1062"/>
      <c r="Q30" s="1065"/>
    </row>
    <row r="31" spans="2:17" ht="13.5" thickBot="1">
      <c r="B31" s="562">
        <v>42943</v>
      </c>
      <c r="C31" s="563" t="s">
        <v>498</v>
      </c>
      <c r="D31" s="564" t="s">
        <v>434</v>
      </c>
      <c r="E31" s="565">
        <v>33140</v>
      </c>
      <c r="F31" s="504">
        <v>1.35</v>
      </c>
      <c r="G31" s="504">
        <f t="shared" si="0"/>
        <v>44739</v>
      </c>
      <c r="H31" s="504">
        <f t="shared" si="1"/>
        <v>8053.0199999999995</v>
      </c>
      <c r="I31" s="504">
        <f t="shared" si="2"/>
        <v>52792.02</v>
      </c>
      <c r="J31" s="563"/>
      <c r="K31" s="564"/>
      <c r="L31" s="564"/>
      <c r="M31" s="504"/>
      <c r="N31" s="566"/>
      <c r="O31" s="567"/>
      <c r="P31" s="1063"/>
      <c r="Q31" s="1066"/>
    </row>
    <row r="32" spans="2:17" ht="13.5" thickBot="1"/>
    <row r="33" spans="2:20">
      <c r="B33" s="556">
        <v>42838</v>
      </c>
      <c r="C33" s="557" t="s">
        <v>437</v>
      </c>
      <c r="D33" s="558" t="s">
        <v>434</v>
      </c>
      <c r="E33" s="559">
        <v>236</v>
      </c>
      <c r="F33" s="502">
        <v>30</v>
      </c>
      <c r="G33" s="502">
        <f t="shared" ref="G33:G38" si="3">+E33*F33</f>
        <v>7080</v>
      </c>
      <c r="H33" s="502">
        <f>G33*0.18</f>
        <v>1274.3999999999999</v>
      </c>
      <c r="I33" s="502">
        <f>+G33+H33</f>
        <v>8354.4</v>
      </c>
      <c r="J33" s="557" t="s">
        <v>435</v>
      </c>
      <c r="K33" s="558">
        <v>3938</v>
      </c>
      <c r="L33" s="558" t="s">
        <v>46</v>
      </c>
      <c r="M33" s="502">
        <f>20000/0.985</f>
        <v>20304.568527918782</v>
      </c>
      <c r="N33" s="560">
        <v>42901</v>
      </c>
      <c r="O33" s="561" t="s">
        <v>103</v>
      </c>
      <c r="P33" s="1061" t="s">
        <v>842</v>
      </c>
      <c r="Q33" s="1064" t="s">
        <v>46</v>
      </c>
    </row>
    <row r="34" spans="2:20">
      <c r="B34" s="550">
        <v>42849</v>
      </c>
      <c r="C34" s="551" t="s">
        <v>437</v>
      </c>
      <c r="D34" s="552" t="s">
        <v>434</v>
      </c>
      <c r="E34" s="553">
        <v>466</v>
      </c>
      <c r="F34" s="503">
        <v>30</v>
      </c>
      <c r="G34" s="503">
        <f t="shared" si="3"/>
        <v>13980</v>
      </c>
      <c r="H34" s="503">
        <f>G34*0.18</f>
        <v>2516.4</v>
      </c>
      <c r="I34" s="503">
        <f>+G34+H34</f>
        <v>16496.400000000001</v>
      </c>
      <c r="J34" s="551" t="s">
        <v>435</v>
      </c>
      <c r="K34" s="552">
        <v>4116</v>
      </c>
      <c r="L34" s="552" t="s">
        <v>46</v>
      </c>
      <c r="M34" s="503">
        <v>20000</v>
      </c>
      <c r="N34" s="554">
        <v>42985</v>
      </c>
      <c r="O34" s="555" t="s">
        <v>103</v>
      </c>
      <c r="P34" s="1062"/>
      <c r="Q34" s="1065"/>
    </row>
    <row r="35" spans="2:20">
      <c r="B35" s="550">
        <v>42867</v>
      </c>
      <c r="C35" s="551" t="s">
        <v>437</v>
      </c>
      <c r="D35" s="552" t="s">
        <v>434</v>
      </c>
      <c r="E35" s="553">
        <v>154</v>
      </c>
      <c r="F35" s="503">
        <v>30</v>
      </c>
      <c r="G35" s="503">
        <f t="shared" si="3"/>
        <v>4620</v>
      </c>
      <c r="H35" s="503">
        <f>G35*0.18</f>
        <v>831.6</v>
      </c>
      <c r="I35" s="503">
        <f>+G35+H35</f>
        <v>5451.6</v>
      </c>
      <c r="J35" s="551" t="s">
        <v>435</v>
      </c>
      <c r="K35" s="552">
        <v>4173</v>
      </c>
      <c r="L35" s="552" t="s">
        <v>46</v>
      </c>
      <c r="M35" s="503">
        <v>18377.330999999998</v>
      </c>
      <c r="N35" s="554">
        <v>43014</v>
      </c>
      <c r="O35" s="555" t="s">
        <v>103</v>
      </c>
      <c r="P35" s="1062"/>
      <c r="Q35" s="1065"/>
    </row>
    <row r="36" spans="2:20">
      <c r="B36" s="550">
        <v>42887</v>
      </c>
      <c r="C36" s="551" t="s">
        <v>437</v>
      </c>
      <c r="D36" s="552" t="s">
        <v>434</v>
      </c>
      <c r="E36" s="553">
        <v>205</v>
      </c>
      <c r="F36" s="503">
        <v>30</v>
      </c>
      <c r="G36" s="503">
        <f t="shared" si="3"/>
        <v>6150</v>
      </c>
      <c r="H36" s="503">
        <f>G36*0.18</f>
        <v>1107</v>
      </c>
      <c r="I36" s="503">
        <f>+G36+H36</f>
        <v>7257</v>
      </c>
      <c r="J36" s="551"/>
      <c r="K36" s="552"/>
      <c r="L36" s="552"/>
      <c r="M36" s="503"/>
      <c r="N36" s="554"/>
      <c r="O36" s="555"/>
      <c r="P36" s="1062"/>
      <c r="Q36" s="1065"/>
    </row>
    <row r="37" spans="2:20">
      <c r="B37" s="550">
        <v>42977</v>
      </c>
      <c r="C37" s="551" t="s">
        <v>437</v>
      </c>
      <c r="D37" s="552" t="s">
        <v>434</v>
      </c>
      <c r="E37" s="553">
        <v>532</v>
      </c>
      <c r="F37" s="503">
        <v>30</v>
      </c>
      <c r="G37" s="503">
        <f t="shared" si="3"/>
        <v>15960</v>
      </c>
      <c r="H37" s="503">
        <f>G37*0.18</f>
        <v>2872.7999999999997</v>
      </c>
      <c r="I37" s="503">
        <f>+G37+H37</f>
        <v>18832.8</v>
      </c>
      <c r="J37" s="551"/>
      <c r="K37" s="552"/>
      <c r="L37" s="552"/>
      <c r="M37" s="503"/>
      <c r="N37" s="554"/>
      <c r="O37" s="555"/>
      <c r="P37" s="1062"/>
      <c r="Q37" s="1065"/>
    </row>
    <row r="38" spans="2:20" ht="13.5" thickBot="1">
      <c r="B38" s="562">
        <v>42838</v>
      </c>
      <c r="C38" s="563" t="s">
        <v>459</v>
      </c>
      <c r="D38" s="564" t="s">
        <v>434</v>
      </c>
      <c r="E38" s="565">
        <v>485</v>
      </c>
      <c r="F38" s="504">
        <v>4</v>
      </c>
      <c r="G38" s="504">
        <f t="shared" si="3"/>
        <v>1940</v>
      </c>
      <c r="H38" s="504">
        <f>+G38*0.18</f>
        <v>349.2</v>
      </c>
      <c r="I38" s="504">
        <f>+H38+G38</f>
        <v>2289.1999999999998</v>
      </c>
      <c r="J38" s="563"/>
      <c r="K38" s="564"/>
      <c r="L38" s="564"/>
      <c r="M38" s="504"/>
      <c r="N38" s="566"/>
      <c r="O38" s="567"/>
      <c r="P38" s="1063"/>
      <c r="Q38" s="1066"/>
    </row>
    <row r="39" spans="2:20" ht="13.5" thickBot="1">
      <c r="B39" s="577"/>
      <c r="C39" s="578"/>
      <c r="D39" s="579"/>
      <c r="E39" s="580"/>
      <c r="F39" s="581"/>
      <c r="G39" s="361"/>
      <c r="H39" s="581"/>
      <c r="I39" s="581"/>
      <c r="J39" s="578"/>
      <c r="K39" s="579"/>
      <c r="L39" s="579"/>
      <c r="M39" s="581"/>
      <c r="N39" s="582"/>
      <c r="O39" s="583"/>
      <c r="P39" s="657"/>
    </row>
    <row r="40" spans="2:20" s="47" customFormat="1">
      <c r="B40" s="556">
        <v>42954</v>
      </c>
      <c r="C40" s="557" t="s">
        <v>436</v>
      </c>
      <c r="D40" s="558" t="s">
        <v>434</v>
      </c>
      <c r="E40" s="559">
        <v>3066</v>
      </c>
      <c r="F40" s="502">
        <v>4.0999999999999996</v>
      </c>
      <c r="G40" s="502">
        <f>+E40*F40</f>
        <v>12570.599999999999</v>
      </c>
      <c r="H40" s="502">
        <f>+G40*0.18</f>
        <v>2262.7079999999996</v>
      </c>
      <c r="I40" s="502">
        <f>+H40+G40</f>
        <v>14833.307999999997</v>
      </c>
      <c r="J40" s="557" t="s">
        <v>435</v>
      </c>
      <c r="K40" s="558">
        <v>897</v>
      </c>
      <c r="L40" s="558" t="s">
        <v>45</v>
      </c>
      <c r="M40" s="502">
        <v>50000</v>
      </c>
      <c r="N40" s="560">
        <v>42989</v>
      </c>
      <c r="O40" s="561" t="s">
        <v>103</v>
      </c>
      <c r="P40" s="1061" t="s">
        <v>842</v>
      </c>
      <c r="Q40" s="1064" t="s">
        <v>45</v>
      </c>
    </row>
    <row r="41" spans="2:20" s="47" customFormat="1">
      <c r="B41" s="550">
        <v>42958</v>
      </c>
      <c r="C41" s="551" t="s">
        <v>436</v>
      </c>
      <c r="D41" s="552" t="s">
        <v>434</v>
      </c>
      <c r="E41" s="553">
        <v>4570</v>
      </c>
      <c r="F41" s="503">
        <v>4.0999999999999996</v>
      </c>
      <c r="G41" s="503">
        <f>+E41*F41</f>
        <v>18737</v>
      </c>
      <c r="H41" s="503">
        <f>+G41*0.18</f>
        <v>3372.66</v>
      </c>
      <c r="I41" s="503">
        <f>+H41+G41</f>
        <v>22109.66</v>
      </c>
      <c r="J41" s="551" t="s">
        <v>435</v>
      </c>
      <c r="K41" s="552">
        <v>933</v>
      </c>
      <c r="L41" s="552" t="s">
        <v>45</v>
      </c>
      <c r="M41" s="503">
        <v>33569.756999999998</v>
      </c>
      <c r="N41" s="554">
        <v>43000</v>
      </c>
      <c r="O41" s="555" t="s">
        <v>103</v>
      </c>
      <c r="P41" s="1062"/>
      <c r="Q41" s="1065"/>
    </row>
    <row r="42" spans="2:20" s="47" customFormat="1">
      <c r="B42" s="550">
        <v>42965</v>
      </c>
      <c r="C42" s="551" t="s">
        <v>436</v>
      </c>
      <c r="D42" s="552" t="s">
        <v>434</v>
      </c>
      <c r="E42" s="553">
        <v>2535</v>
      </c>
      <c r="F42" s="503">
        <v>4.0999999999999996</v>
      </c>
      <c r="G42" s="503">
        <f>+E42*F42</f>
        <v>10393.5</v>
      </c>
      <c r="H42" s="503">
        <f>+G42*0.18</f>
        <v>1870.83</v>
      </c>
      <c r="I42" s="503">
        <f>+H42+G42</f>
        <v>12264.33</v>
      </c>
      <c r="J42" s="551"/>
      <c r="K42" s="552"/>
      <c r="L42" s="552"/>
      <c r="M42" s="503"/>
      <c r="N42" s="554"/>
      <c r="O42" s="555"/>
      <c r="P42" s="1062"/>
      <c r="Q42" s="1065"/>
      <c r="T42" s="352"/>
    </row>
    <row r="43" spans="2:20" s="47" customFormat="1">
      <c r="B43" s="550">
        <v>42971</v>
      </c>
      <c r="C43" s="551" t="s">
        <v>436</v>
      </c>
      <c r="D43" s="552" t="s">
        <v>434</v>
      </c>
      <c r="E43" s="553">
        <v>4650</v>
      </c>
      <c r="F43" s="503">
        <v>4.0999999999999996</v>
      </c>
      <c r="G43" s="503">
        <f>+E43*F43</f>
        <v>19065</v>
      </c>
      <c r="H43" s="503">
        <f>+G43*0.18</f>
        <v>3431.7</v>
      </c>
      <c r="I43" s="503">
        <f>+H43+G43</f>
        <v>22496.7</v>
      </c>
      <c r="J43" s="551"/>
      <c r="K43" s="552"/>
      <c r="L43" s="552"/>
      <c r="M43" s="503"/>
      <c r="N43" s="554"/>
      <c r="O43" s="555"/>
      <c r="P43" s="1062"/>
      <c r="Q43" s="1065"/>
      <c r="T43" s="352"/>
    </row>
    <row r="44" spans="2:20" s="47" customFormat="1" ht="13.5" thickBot="1">
      <c r="B44" s="562">
        <v>42977</v>
      </c>
      <c r="C44" s="563" t="s">
        <v>436</v>
      </c>
      <c r="D44" s="564" t="s">
        <v>434</v>
      </c>
      <c r="E44" s="565">
        <v>2610</v>
      </c>
      <c r="F44" s="504">
        <v>4.0999999999999996</v>
      </c>
      <c r="G44" s="504">
        <f>+E44*F44</f>
        <v>10700.999999999998</v>
      </c>
      <c r="H44" s="504">
        <f>+G44*0.18</f>
        <v>1926.1799999999996</v>
      </c>
      <c r="I44" s="504">
        <f>+H44+G44</f>
        <v>12627.179999999998</v>
      </c>
      <c r="J44" s="563"/>
      <c r="K44" s="564"/>
      <c r="L44" s="564"/>
      <c r="M44" s="504"/>
      <c r="N44" s="566"/>
      <c r="O44" s="567"/>
      <c r="P44" s="1063"/>
      <c r="Q44" s="1066"/>
    </row>
    <row r="45" spans="2:20" s="47" customFormat="1" ht="13.5" thickBot="1">
      <c r="B45" s="617"/>
      <c r="C45" s="350"/>
      <c r="D45" s="618"/>
      <c r="E45" s="619"/>
      <c r="F45" s="361"/>
      <c r="G45" s="361"/>
      <c r="H45" s="361"/>
      <c r="I45" s="361"/>
      <c r="J45" s="350"/>
      <c r="K45" s="618"/>
      <c r="L45" s="618"/>
      <c r="M45" s="361"/>
      <c r="N45" s="620"/>
      <c r="O45" s="362"/>
      <c r="P45" s="658"/>
      <c r="Q45" s="653"/>
    </row>
    <row r="46" spans="2:20" s="47" customFormat="1">
      <c r="B46" s="556">
        <v>42956</v>
      </c>
      <c r="C46" s="557" t="s">
        <v>498</v>
      </c>
      <c r="D46" s="558" t="s">
        <v>434</v>
      </c>
      <c r="E46" s="559">
        <v>9684</v>
      </c>
      <c r="F46" s="502">
        <v>1.35</v>
      </c>
      <c r="G46" s="502">
        <f t="shared" ref="G46:G52" si="4">+E46*F46</f>
        <v>13073.400000000001</v>
      </c>
      <c r="H46" s="502">
        <f t="shared" ref="H46:H52" si="5">+G46*0.18</f>
        <v>2353.212</v>
      </c>
      <c r="I46" s="502">
        <f t="shared" ref="I46:I52" si="6">+H46+G46</f>
        <v>15426.612000000001</v>
      </c>
      <c r="J46" s="557" t="s">
        <v>435</v>
      </c>
      <c r="K46" s="558">
        <v>896</v>
      </c>
      <c r="L46" s="558" t="s">
        <v>45</v>
      </c>
      <c r="M46" s="502">
        <v>100000</v>
      </c>
      <c r="N46" s="560">
        <v>42985</v>
      </c>
      <c r="O46" s="561" t="s">
        <v>103</v>
      </c>
      <c r="P46" s="1061" t="s">
        <v>842</v>
      </c>
      <c r="Q46" s="1064" t="s">
        <v>45</v>
      </c>
    </row>
    <row r="47" spans="2:20" s="47" customFormat="1">
      <c r="B47" s="550">
        <v>42957</v>
      </c>
      <c r="C47" s="551" t="s">
        <v>498</v>
      </c>
      <c r="D47" s="552" t="s">
        <v>434</v>
      </c>
      <c r="E47" s="553">
        <v>30640</v>
      </c>
      <c r="F47" s="503">
        <v>1.35</v>
      </c>
      <c r="G47" s="503">
        <f t="shared" si="4"/>
        <v>41364</v>
      </c>
      <c r="H47" s="503">
        <f t="shared" si="5"/>
        <v>7445.5199999999995</v>
      </c>
      <c r="I47" s="503">
        <f t="shared" si="6"/>
        <v>48809.52</v>
      </c>
      <c r="J47" s="551" t="s">
        <v>435</v>
      </c>
      <c r="K47" s="552">
        <v>932</v>
      </c>
      <c r="L47" s="552" t="s">
        <v>45</v>
      </c>
      <c r="M47" s="503">
        <v>50000</v>
      </c>
      <c r="N47" s="554">
        <v>43000</v>
      </c>
      <c r="O47" s="555" t="s">
        <v>103</v>
      </c>
      <c r="P47" s="1062"/>
      <c r="Q47" s="1065"/>
    </row>
    <row r="48" spans="2:20" s="47" customFormat="1">
      <c r="B48" s="550">
        <v>42972</v>
      </c>
      <c r="C48" s="551" t="s">
        <v>498</v>
      </c>
      <c r="D48" s="552" t="s">
        <v>434</v>
      </c>
      <c r="E48" s="553">
        <v>35720</v>
      </c>
      <c r="F48" s="503">
        <v>1.35</v>
      </c>
      <c r="G48" s="503">
        <f t="shared" si="4"/>
        <v>48222</v>
      </c>
      <c r="H48" s="503">
        <f t="shared" si="5"/>
        <v>8679.9599999999991</v>
      </c>
      <c r="I48" s="503">
        <f t="shared" si="6"/>
        <v>56901.96</v>
      </c>
      <c r="J48" s="551" t="s">
        <v>435</v>
      </c>
      <c r="K48" s="552">
        <v>1035</v>
      </c>
      <c r="L48" s="552" t="s">
        <v>45</v>
      </c>
      <c r="M48" s="503">
        <v>80495.323000000004</v>
      </c>
      <c r="N48" s="554">
        <v>43014</v>
      </c>
      <c r="O48" s="555" t="s">
        <v>103</v>
      </c>
      <c r="P48" s="1062"/>
      <c r="Q48" s="1065"/>
    </row>
    <row r="49" spans="2:17" s="47" customFormat="1">
      <c r="B49" s="550">
        <v>42975</v>
      </c>
      <c r="C49" s="551" t="s">
        <v>498</v>
      </c>
      <c r="D49" s="552" t="s">
        <v>434</v>
      </c>
      <c r="E49" s="553">
        <v>34300</v>
      </c>
      <c r="F49" s="503">
        <v>1.35</v>
      </c>
      <c r="G49" s="503">
        <f t="shared" si="4"/>
        <v>46305</v>
      </c>
      <c r="H49" s="503">
        <f t="shared" si="5"/>
        <v>8334.9</v>
      </c>
      <c r="I49" s="503">
        <f t="shared" si="6"/>
        <v>54639.9</v>
      </c>
      <c r="J49" s="551"/>
      <c r="K49" s="552"/>
      <c r="L49" s="552"/>
      <c r="M49" s="503"/>
      <c r="N49" s="554"/>
      <c r="O49" s="555"/>
      <c r="P49" s="1062"/>
      <c r="Q49" s="1065"/>
    </row>
    <row r="50" spans="2:17" s="47" customFormat="1">
      <c r="B50" s="550">
        <v>42975</v>
      </c>
      <c r="C50" s="551" t="s">
        <v>498</v>
      </c>
      <c r="D50" s="552" t="s">
        <v>434</v>
      </c>
      <c r="E50" s="553">
        <v>3304</v>
      </c>
      <c r="F50" s="503">
        <v>1.35</v>
      </c>
      <c r="G50" s="503">
        <f t="shared" si="4"/>
        <v>4460.4000000000005</v>
      </c>
      <c r="H50" s="503">
        <f t="shared" si="5"/>
        <v>802.87200000000007</v>
      </c>
      <c r="I50" s="503">
        <f t="shared" si="6"/>
        <v>5263.2720000000008</v>
      </c>
      <c r="J50" s="551"/>
      <c r="K50" s="552"/>
      <c r="L50" s="552"/>
      <c r="M50" s="503"/>
      <c r="N50" s="554"/>
      <c r="O50" s="555"/>
      <c r="P50" s="1062"/>
      <c r="Q50" s="1065"/>
    </row>
    <row r="51" spans="2:17" s="47" customFormat="1">
      <c r="B51" s="550">
        <v>42977</v>
      </c>
      <c r="C51" s="551" t="s">
        <v>498</v>
      </c>
      <c r="D51" s="552" t="s">
        <v>434</v>
      </c>
      <c r="E51" s="553">
        <v>886</v>
      </c>
      <c r="F51" s="503">
        <v>1.35</v>
      </c>
      <c r="G51" s="503">
        <f t="shared" si="4"/>
        <v>1196.1000000000001</v>
      </c>
      <c r="H51" s="503">
        <f t="shared" si="5"/>
        <v>215.29800000000003</v>
      </c>
      <c r="I51" s="503">
        <f t="shared" si="6"/>
        <v>1411.3980000000001</v>
      </c>
      <c r="J51" s="551"/>
      <c r="K51" s="552"/>
      <c r="L51" s="552"/>
      <c r="M51" s="503"/>
      <c r="N51" s="554"/>
      <c r="O51" s="555"/>
      <c r="P51" s="1062"/>
      <c r="Q51" s="1065"/>
    </row>
    <row r="52" spans="2:17" s="47" customFormat="1" ht="13.5" thickBot="1">
      <c r="B52" s="562">
        <v>42977</v>
      </c>
      <c r="C52" s="563" t="s">
        <v>498</v>
      </c>
      <c r="D52" s="564" t="s">
        <v>434</v>
      </c>
      <c r="E52" s="565">
        <v>29680</v>
      </c>
      <c r="F52" s="504">
        <v>1.35</v>
      </c>
      <c r="G52" s="504">
        <f t="shared" si="4"/>
        <v>40068</v>
      </c>
      <c r="H52" s="504">
        <f t="shared" si="5"/>
        <v>7212.24</v>
      </c>
      <c r="I52" s="504">
        <f t="shared" si="6"/>
        <v>47280.24</v>
      </c>
      <c r="J52" s="563"/>
      <c r="K52" s="564"/>
      <c r="L52" s="564"/>
      <c r="M52" s="504"/>
      <c r="N52" s="566"/>
      <c r="O52" s="567"/>
      <c r="P52" s="1063"/>
      <c r="Q52" s="1066"/>
    </row>
    <row r="53" spans="2:17" s="350" customFormat="1" ht="13.5" thickBot="1">
      <c r="B53" s="617"/>
      <c r="D53" s="618"/>
      <c r="E53" s="619"/>
      <c r="F53" s="361"/>
      <c r="G53" s="361"/>
      <c r="H53" s="361"/>
      <c r="I53" s="361"/>
      <c r="K53" s="618"/>
      <c r="L53" s="618"/>
      <c r="M53" s="361"/>
      <c r="N53" s="620"/>
      <c r="O53" s="362"/>
      <c r="P53" s="654"/>
      <c r="Q53" s="655"/>
    </row>
    <row r="54" spans="2:17" s="47" customFormat="1">
      <c r="B54" s="621">
        <v>42986</v>
      </c>
      <c r="C54" s="622" t="s">
        <v>498</v>
      </c>
      <c r="D54" s="623" t="s">
        <v>434</v>
      </c>
      <c r="E54" s="624">
        <v>30440</v>
      </c>
      <c r="F54" s="625">
        <v>1.4</v>
      </c>
      <c r="G54" s="625">
        <f>+E54*F54</f>
        <v>42616</v>
      </c>
      <c r="H54" s="625">
        <f>+G54*0.18</f>
        <v>7670.88</v>
      </c>
      <c r="I54" s="625">
        <f>+H54+G54</f>
        <v>50286.879999999997</v>
      </c>
      <c r="J54" s="557" t="s">
        <v>435</v>
      </c>
      <c r="K54" s="558">
        <v>4195</v>
      </c>
      <c r="L54" s="558" t="s">
        <v>46</v>
      </c>
      <c r="M54" s="502">
        <v>100000</v>
      </c>
      <c r="N54" s="560">
        <v>43024</v>
      </c>
      <c r="O54" s="561" t="s">
        <v>103</v>
      </c>
      <c r="P54" s="1070" t="s">
        <v>842</v>
      </c>
      <c r="Q54" s="1073" t="s">
        <v>46</v>
      </c>
    </row>
    <row r="55" spans="2:17" s="47" customFormat="1">
      <c r="B55" s="626">
        <v>42998</v>
      </c>
      <c r="C55" s="350" t="s">
        <v>498</v>
      </c>
      <c r="D55" s="618" t="s">
        <v>434</v>
      </c>
      <c r="E55" s="619">
        <v>25980</v>
      </c>
      <c r="F55" s="361">
        <v>1.4</v>
      </c>
      <c r="G55" s="361">
        <f>+E55*F55</f>
        <v>36372</v>
      </c>
      <c r="H55" s="361">
        <f>+G55*0.18</f>
        <v>6546.96</v>
      </c>
      <c r="I55" s="361">
        <f>+H55+G55</f>
        <v>42918.96</v>
      </c>
      <c r="J55" s="551" t="s">
        <v>435</v>
      </c>
      <c r="K55" s="552">
        <v>1170</v>
      </c>
      <c r="L55" s="552" t="s">
        <v>45</v>
      </c>
      <c r="M55" s="503">
        <v>100000</v>
      </c>
      <c r="N55" s="554">
        <v>43041</v>
      </c>
      <c r="O55" s="555" t="s">
        <v>103</v>
      </c>
      <c r="P55" s="1071"/>
      <c r="Q55" s="1074"/>
    </row>
    <row r="56" spans="2:17" s="47" customFormat="1">
      <c r="B56" s="626">
        <v>43003</v>
      </c>
      <c r="C56" s="350" t="s">
        <v>498</v>
      </c>
      <c r="D56" s="618" t="s">
        <v>434</v>
      </c>
      <c r="E56" s="619">
        <v>41100</v>
      </c>
      <c r="F56" s="361">
        <v>1.4</v>
      </c>
      <c r="G56" s="361">
        <f>+E56*F56</f>
        <v>57539.999999999993</v>
      </c>
      <c r="H56" s="361">
        <f>+G56*0.18</f>
        <v>10357.199999999999</v>
      </c>
      <c r="I56" s="361">
        <f>+H56+G56</f>
        <v>67897.2</v>
      </c>
      <c r="J56" s="350"/>
      <c r="K56" s="618"/>
      <c r="L56" s="618"/>
      <c r="M56" s="361"/>
      <c r="N56" s="620"/>
      <c r="O56" s="362"/>
      <c r="P56" s="1071"/>
      <c r="Q56" s="1074"/>
    </row>
    <row r="57" spans="2:17" s="47" customFormat="1">
      <c r="B57" s="626">
        <v>43006</v>
      </c>
      <c r="C57" s="350" t="s">
        <v>498</v>
      </c>
      <c r="D57" s="618" t="s">
        <v>434</v>
      </c>
      <c r="E57" s="619">
        <v>16670</v>
      </c>
      <c r="F57" s="361">
        <v>1.4</v>
      </c>
      <c r="G57" s="361">
        <f>+E57*F57</f>
        <v>23338</v>
      </c>
      <c r="H57" s="361">
        <f>+G57*0.18</f>
        <v>4200.84</v>
      </c>
      <c r="I57" s="361">
        <f>+H57+G57</f>
        <v>27538.84</v>
      </c>
      <c r="J57" s="350"/>
      <c r="K57" s="618"/>
      <c r="L57" s="618"/>
      <c r="M57" s="361"/>
      <c r="N57" s="620"/>
      <c r="O57" s="362"/>
      <c r="P57" s="1071"/>
      <c r="Q57" s="1074"/>
    </row>
    <row r="58" spans="2:17" s="47" customFormat="1" ht="13.5" thickBot="1">
      <c r="B58" s="627">
        <v>43006</v>
      </c>
      <c r="C58" s="628" t="s">
        <v>498</v>
      </c>
      <c r="D58" s="629" t="s">
        <v>434</v>
      </c>
      <c r="E58" s="630">
        <v>16192</v>
      </c>
      <c r="F58" s="631">
        <v>1.4</v>
      </c>
      <c r="G58" s="631">
        <f>+E58*F58</f>
        <v>22668.799999999999</v>
      </c>
      <c r="H58" s="631">
        <f>+G58*0.18</f>
        <v>4080.3839999999996</v>
      </c>
      <c r="I58" s="631">
        <f>+H58+G58</f>
        <v>26749.183999999997</v>
      </c>
      <c r="J58" s="628"/>
      <c r="K58" s="629"/>
      <c r="L58" s="629"/>
      <c r="M58" s="631"/>
      <c r="N58" s="632"/>
      <c r="O58" s="633"/>
      <c r="P58" s="1072"/>
      <c r="Q58" s="1075"/>
    </row>
    <row r="59" spans="2:17" s="47" customFormat="1">
      <c r="B59" s="617"/>
      <c r="C59" s="350"/>
      <c r="D59" s="618"/>
      <c r="E59" s="619"/>
      <c r="F59" s="361"/>
      <c r="G59" s="361"/>
      <c r="H59" s="361"/>
      <c r="I59" s="361"/>
      <c r="J59" s="350"/>
      <c r="K59" s="618"/>
      <c r="L59" s="618"/>
      <c r="M59" s="361"/>
      <c r="N59" s="620"/>
      <c r="O59" s="362"/>
      <c r="P59" s="654"/>
      <c r="Q59" s="655"/>
    </row>
    <row r="60" spans="2:17" s="47" customFormat="1" ht="12.75" customHeight="1">
      <c r="B60" s="617">
        <v>43003</v>
      </c>
      <c r="C60" s="350" t="s">
        <v>436</v>
      </c>
      <c r="D60" s="618" t="s">
        <v>434</v>
      </c>
      <c r="E60" s="619">
        <v>6570</v>
      </c>
      <c r="F60" s="361">
        <v>4.2</v>
      </c>
      <c r="G60" s="361">
        <f t="shared" ref="G60:G67" si="7">+E60*F60</f>
        <v>27594</v>
      </c>
      <c r="H60" s="361">
        <f t="shared" ref="H60:H67" si="8">+G60*0.18</f>
        <v>4966.92</v>
      </c>
      <c r="I60" s="361">
        <f t="shared" ref="I60:I67" si="9">+G60+H60</f>
        <v>32560.92</v>
      </c>
      <c r="J60" s="503" t="s">
        <v>435</v>
      </c>
      <c r="K60" s="793">
        <v>1214</v>
      </c>
      <c r="L60" s="503" t="s">
        <v>45</v>
      </c>
      <c r="M60" s="503">
        <v>150000</v>
      </c>
      <c r="N60" s="554">
        <v>1.1818181818181819</v>
      </c>
      <c r="O60" s="794" t="s">
        <v>103</v>
      </c>
      <c r="P60" s="361"/>
      <c r="Q60" s="361"/>
    </row>
    <row r="61" spans="2:17" s="47" customFormat="1" ht="12.75" customHeight="1">
      <c r="B61" s="617">
        <v>43006</v>
      </c>
      <c r="C61" s="350" t="s">
        <v>436</v>
      </c>
      <c r="D61" s="618" t="s">
        <v>434</v>
      </c>
      <c r="E61" s="619">
        <v>6113</v>
      </c>
      <c r="F61" s="361">
        <v>4.2</v>
      </c>
      <c r="G61" s="361">
        <f t="shared" si="7"/>
        <v>25674.600000000002</v>
      </c>
      <c r="H61" s="361">
        <f t="shared" si="8"/>
        <v>4621.4279999999999</v>
      </c>
      <c r="I61" s="361">
        <f t="shared" si="9"/>
        <v>30296.028000000002</v>
      </c>
      <c r="J61" s="503" t="s">
        <v>435</v>
      </c>
      <c r="K61" s="793">
        <v>1237</v>
      </c>
      <c r="L61" s="503" t="s">
        <v>45</v>
      </c>
      <c r="M61" s="503">
        <v>100000</v>
      </c>
      <c r="N61" s="554">
        <v>43060</v>
      </c>
      <c r="O61" s="503" t="s">
        <v>103</v>
      </c>
      <c r="P61" s="361"/>
      <c r="Q61" s="361"/>
    </row>
    <row r="62" spans="2:17" s="47" customFormat="1" ht="12.75" customHeight="1">
      <c r="B62" s="617">
        <v>43010</v>
      </c>
      <c r="C62" s="350" t="s">
        <v>436</v>
      </c>
      <c r="D62" s="618" t="s">
        <v>434</v>
      </c>
      <c r="E62" s="619">
        <v>2661</v>
      </c>
      <c r="F62" s="361">
        <v>4.4000000000000004</v>
      </c>
      <c r="G62" s="361">
        <f t="shared" si="7"/>
        <v>11708.400000000001</v>
      </c>
      <c r="H62" s="361">
        <f t="shared" si="8"/>
        <v>2107.5120000000002</v>
      </c>
      <c r="I62" s="361">
        <f t="shared" si="9"/>
        <v>13815.912000000002</v>
      </c>
      <c r="J62" s="361" t="s">
        <v>435</v>
      </c>
      <c r="K62" s="722">
        <v>1299</v>
      </c>
      <c r="L62" s="361" t="s">
        <v>45</v>
      </c>
      <c r="M62" s="361">
        <v>150000</v>
      </c>
      <c r="N62" s="620">
        <v>43075</v>
      </c>
      <c r="O62" s="361" t="s">
        <v>103</v>
      </c>
      <c r="P62" s="361"/>
      <c r="Q62" s="361"/>
    </row>
    <row r="63" spans="2:17" s="47" customFormat="1" ht="12.75" customHeight="1">
      <c r="B63" s="617">
        <v>43021</v>
      </c>
      <c r="C63" s="350" t="s">
        <v>436</v>
      </c>
      <c r="D63" s="618" t="s">
        <v>434</v>
      </c>
      <c r="E63" s="619">
        <v>6120</v>
      </c>
      <c r="F63" s="361">
        <v>4.4000000000000004</v>
      </c>
      <c r="G63" s="361">
        <f t="shared" si="7"/>
        <v>26928.000000000004</v>
      </c>
      <c r="H63" s="361">
        <f t="shared" si="8"/>
        <v>4847.0400000000009</v>
      </c>
      <c r="I63" s="361">
        <f t="shared" si="9"/>
        <v>31775.040000000005</v>
      </c>
      <c r="J63" s="361" t="s">
        <v>435</v>
      </c>
      <c r="K63" s="722">
        <v>193</v>
      </c>
      <c r="L63" s="361" t="s">
        <v>123</v>
      </c>
      <c r="M63" s="361">
        <v>1888.5</v>
      </c>
      <c r="N63" s="361"/>
      <c r="O63" s="361"/>
      <c r="P63" s="361"/>
      <c r="Q63" s="361"/>
    </row>
    <row r="64" spans="2:17" s="47" customFormat="1" ht="12.75" customHeight="1">
      <c r="B64" s="617">
        <v>43026</v>
      </c>
      <c r="C64" s="350" t="s">
        <v>436</v>
      </c>
      <c r="D64" s="618" t="s">
        <v>434</v>
      </c>
      <c r="E64" s="619">
        <v>3964</v>
      </c>
      <c r="F64" s="361">
        <v>4.4000000000000004</v>
      </c>
      <c r="G64" s="361">
        <f t="shared" si="7"/>
        <v>17441.600000000002</v>
      </c>
      <c r="H64" s="361">
        <f t="shared" si="8"/>
        <v>3139.4880000000003</v>
      </c>
      <c r="I64" s="361">
        <f t="shared" si="9"/>
        <v>20581.088000000003</v>
      </c>
      <c r="J64" s="361" t="s">
        <v>435</v>
      </c>
      <c r="K64" s="722">
        <v>1398</v>
      </c>
      <c r="L64" s="361" t="s">
        <v>45</v>
      </c>
      <c r="M64" s="361">
        <v>100000</v>
      </c>
      <c r="N64" s="361"/>
      <c r="O64" s="361"/>
      <c r="P64" s="361"/>
      <c r="Q64" s="361"/>
    </row>
    <row r="65" spans="2:17" ht="12.75" customHeight="1">
      <c r="B65" s="577">
        <v>43027</v>
      </c>
      <c r="C65" s="578" t="s">
        <v>436</v>
      </c>
      <c r="D65" s="579" t="s">
        <v>434</v>
      </c>
      <c r="E65" s="580">
        <v>3876</v>
      </c>
      <c r="F65" s="361">
        <v>4.4000000000000004</v>
      </c>
      <c r="G65" s="581">
        <f t="shared" si="7"/>
        <v>17054.400000000001</v>
      </c>
      <c r="H65" s="581">
        <f t="shared" si="8"/>
        <v>3069.7920000000004</v>
      </c>
      <c r="I65" s="581">
        <f t="shared" si="9"/>
        <v>20124.192000000003</v>
      </c>
      <c r="J65" s="361" t="s">
        <v>435</v>
      </c>
      <c r="K65" s="722">
        <v>1399</v>
      </c>
      <c r="L65" s="361" t="s">
        <v>45</v>
      </c>
      <c r="M65" s="361">
        <v>50000</v>
      </c>
      <c r="N65" s="361"/>
      <c r="O65" s="361"/>
      <c r="P65" s="361"/>
      <c r="Q65" s="361"/>
    </row>
    <row r="66" spans="2:17" ht="12.75" customHeight="1">
      <c r="B66" s="577">
        <v>43031</v>
      </c>
      <c r="C66" s="578" t="s">
        <v>436</v>
      </c>
      <c r="D66" s="579" t="s">
        <v>434</v>
      </c>
      <c r="E66" s="580">
        <v>4967</v>
      </c>
      <c r="F66" s="361">
        <v>4.4000000000000004</v>
      </c>
      <c r="G66" s="361">
        <f t="shared" si="7"/>
        <v>21854.800000000003</v>
      </c>
      <c r="H66" s="581">
        <f t="shared" si="8"/>
        <v>3933.8640000000005</v>
      </c>
      <c r="I66" s="581">
        <f t="shared" si="9"/>
        <v>25788.664000000004</v>
      </c>
      <c r="J66" s="361" t="s">
        <v>435</v>
      </c>
      <c r="K66" s="722">
        <v>1400</v>
      </c>
      <c r="L66" s="361" t="s">
        <v>45</v>
      </c>
      <c r="M66" s="361">
        <v>50000</v>
      </c>
      <c r="N66" s="361"/>
      <c r="O66" s="361"/>
      <c r="P66" s="361"/>
      <c r="Q66" s="361"/>
    </row>
    <row r="67" spans="2:17" ht="12.75" customHeight="1">
      <c r="B67" s="577">
        <v>43039</v>
      </c>
      <c r="C67" s="578" t="s">
        <v>436</v>
      </c>
      <c r="D67" s="579" t="s">
        <v>434</v>
      </c>
      <c r="E67" s="580">
        <v>2714</v>
      </c>
      <c r="F67" s="361">
        <v>4.4000000000000004</v>
      </c>
      <c r="G67" s="361">
        <f t="shared" si="7"/>
        <v>11941.6</v>
      </c>
      <c r="H67" s="581">
        <f t="shared" si="8"/>
        <v>2149.4879999999998</v>
      </c>
      <c r="I67" s="581">
        <f t="shared" si="9"/>
        <v>14091.088</v>
      </c>
      <c r="J67" s="361"/>
      <c r="K67" s="722"/>
      <c r="L67" s="361"/>
      <c r="M67" s="361"/>
      <c r="N67" s="361"/>
      <c r="O67" s="361"/>
      <c r="P67" s="361"/>
      <c r="Q67" s="361"/>
    </row>
    <row r="68" spans="2:17">
      <c r="B68" s="577"/>
      <c r="C68" s="578"/>
      <c r="D68" s="579"/>
      <c r="E68" s="580"/>
      <c r="F68" s="581"/>
      <c r="G68" s="581"/>
      <c r="H68" s="581"/>
      <c r="I68" s="581"/>
      <c r="J68" s="578"/>
      <c r="K68" s="957"/>
      <c r="L68" s="579"/>
      <c r="M68" s="581"/>
      <c r="N68" s="582"/>
      <c r="O68" s="583"/>
      <c r="P68" s="657"/>
    </row>
    <row r="69" spans="2:17">
      <c r="B69" s="577">
        <v>43024</v>
      </c>
      <c r="C69" s="578" t="s">
        <v>498</v>
      </c>
      <c r="D69" s="579" t="s">
        <v>434</v>
      </c>
      <c r="E69" s="580">
        <v>40940</v>
      </c>
      <c r="F69" s="581">
        <v>1.4</v>
      </c>
      <c r="G69" s="361">
        <f t="shared" ref="G69:G75" si="10">+E69*F69</f>
        <v>57316</v>
      </c>
      <c r="H69" s="361">
        <f t="shared" ref="H69:H75" si="11">+G69*0.18</f>
        <v>10316.879999999999</v>
      </c>
      <c r="I69" s="361">
        <f t="shared" ref="I69:I75" si="12">+H69+G69</f>
        <v>67632.88</v>
      </c>
      <c r="J69" s="578"/>
      <c r="K69" s="957"/>
      <c r="L69" s="579"/>
      <c r="M69" s="581"/>
      <c r="N69" s="582"/>
      <c r="O69" s="583"/>
      <c r="P69" s="657"/>
    </row>
    <row r="70" spans="2:17" s="350" customFormat="1">
      <c r="B70" s="617">
        <v>43031</v>
      </c>
      <c r="C70" s="350" t="s">
        <v>498</v>
      </c>
      <c r="D70" s="618" t="s">
        <v>434</v>
      </c>
      <c r="E70" s="619">
        <v>11391</v>
      </c>
      <c r="F70" s="361">
        <v>1.4</v>
      </c>
      <c r="G70" s="361">
        <f t="shared" si="10"/>
        <v>15947.4</v>
      </c>
      <c r="H70" s="361">
        <f t="shared" si="11"/>
        <v>2870.5319999999997</v>
      </c>
      <c r="I70" s="361">
        <f t="shared" si="12"/>
        <v>18817.932000000001</v>
      </c>
      <c r="K70" s="958"/>
      <c r="L70" s="618"/>
      <c r="M70" s="361"/>
      <c r="N70" s="620"/>
      <c r="O70" s="362"/>
      <c r="P70" s="658"/>
      <c r="Q70" s="652"/>
    </row>
    <row r="71" spans="2:17" s="350" customFormat="1">
      <c r="B71" s="617">
        <v>43038</v>
      </c>
      <c r="C71" s="350" t="s">
        <v>498</v>
      </c>
      <c r="D71" s="618" t="s">
        <v>434</v>
      </c>
      <c r="E71" s="619">
        <v>41120</v>
      </c>
      <c r="F71" s="361">
        <v>1.4</v>
      </c>
      <c r="G71" s="361">
        <f t="shared" si="10"/>
        <v>57567.999999999993</v>
      </c>
      <c r="H71" s="361">
        <f t="shared" si="11"/>
        <v>10362.239999999998</v>
      </c>
      <c r="I71" s="361">
        <f t="shared" si="12"/>
        <v>67930.239999999991</v>
      </c>
      <c r="K71" s="958"/>
      <c r="L71" s="618"/>
      <c r="M71" s="361"/>
      <c r="N71" s="620"/>
      <c r="O71" s="362"/>
      <c r="P71" s="658"/>
      <c r="Q71" s="652"/>
    </row>
    <row r="72" spans="2:17">
      <c r="B72" s="577">
        <v>43039</v>
      </c>
      <c r="C72" s="578" t="s">
        <v>498</v>
      </c>
      <c r="D72" s="579" t="s">
        <v>434</v>
      </c>
      <c r="E72" s="580">
        <v>6073</v>
      </c>
      <c r="F72" s="581">
        <v>1.4</v>
      </c>
      <c r="G72" s="581">
        <f t="shared" si="10"/>
        <v>8502.1999999999989</v>
      </c>
      <c r="H72" s="581">
        <f t="shared" si="11"/>
        <v>1530.3959999999997</v>
      </c>
      <c r="I72" s="361">
        <f t="shared" si="12"/>
        <v>10032.595999999998</v>
      </c>
      <c r="J72" s="578"/>
      <c r="K72" s="957"/>
      <c r="L72" s="579"/>
      <c r="M72" s="581"/>
      <c r="N72" s="582"/>
      <c r="O72" s="583"/>
      <c r="P72" s="657"/>
    </row>
    <row r="73" spans="2:17">
      <c r="B73" s="584">
        <v>43045</v>
      </c>
      <c r="C73" s="26" t="s">
        <v>498</v>
      </c>
      <c r="D73" s="585" t="s">
        <v>434</v>
      </c>
      <c r="E73" s="432">
        <v>18422</v>
      </c>
      <c r="F73" s="352">
        <v>1.4</v>
      </c>
      <c r="G73" s="576">
        <f t="shared" si="10"/>
        <v>25790.799999999999</v>
      </c>
      <c r="H73" s="576">
        <f t="shared" si="11"/>
        <v>4642.3440000000001</v>
      </c>
      <c r="I73" s="361">
        <f t="shared" si="12"/>
        <v>30433.144</v>
      </c>
      <c r="K73" s="959"/>
    </row>
    <row r="74" spans="2:17">
      <c r="B74" s="584">
        <v>43056</v>
      </c>
      <c r="C74" s="26" t="s">
        <v>498</v>
      </c>
      <c r="D74" s="585" t="s">
        <v>434</v>
      </c>
      <c r="E74" s="432">
        <v>41320</v>
      </c>
      <c r="F74" s="352">
        <v>1.4</v>
      </c>
      <c r="G74" s="576">
        <f t="shared" si="10"/>
        <v>57847.999999999993</v>
      </c>
      <c r="H74" s="576">
        <f t="shared" si="11"/>
        <v>10412.639999999998</v>
      </c>
      <c r="I74" s="361">
        <f t="shared" si="12"/>
        <v>68260.639999999985</v>
      </c>
      <c r="K74" s="959"/>
    </row>
    <row r="75" spans="2:17">
      <c r="B75" s="584">
        <v>43059</v>
      </c>
      <c r="C75" s="26" t="s">
        <v>498</v>
      </c>
      <c r="D75" s="585" t="s">
        <v>434</v>
      </c>
      <c r="E75" s="432">
        <v>34280</v>
      </c>
      <c r="F75" s="352">
        <v>1.45</v>
      </c>
      <c r="G75" s="576">
        <f t="shared" si="10"/>
        <v>49706</v>
      </c>
      <c r="H75" s="576">
        <f t="shared" si="11"/>
        <v>8947.08</v>
      </c>
      <c r="I75" s="361">
        <f t="shared" si="12"/>
        <v>58653.08</v>
      </c>
    </row>
    <row r="77" spans="2:17">
      <c r="B77" s="584">
        <v>43054</v>
      </c>
      <c r="C77" s="26" t="s">
        <v>459</v>
      </c>
      <c r="D77" s="585" t="s">
        <v>434</v>
      </c>
      <c r="E77" s="432">
        <v>400</v>
      </c>
      <c r="F77" s="576">
        <v>4</v>
      </c>
      <c r="G77" s="361">
        <f>+E77*F77</f>
        <v>1600</v>
      </c>
      <c r="H77" s="361">
        <f>+G77*0.18</f>
        <v>288</v>
      </c>
      <c r="I77" s="361">
        <f>+H77+G77</f>
        <v>1888</v>
      </c>
      <c r="Q77" s="651" t="s">
        <v>123</v>
      </c>
    </row>
    <row r="78" spans="2:17">
      <c r="B78" s="584">
        <v>43054</v>
      </c>
      <c r="C78" s="26" t="s">
        <v>436</v>
      </c>
      <c r="D78" s="585" t="s">
        <v>434</v>
      </c>
      <c r="E78" s="432">
        <v>2850</v>
      </c>
      <c r="F78" s="576">
        <v>4.4000000000000004</v>
      </c>
      <c r="G78" s="361">
        <f>+E78*F78</f>
        <v>12540.000000000002</v>
      </c>
      <c r="H78" s="361">
        <f>+G78*0.18</f>
        <v>2257.2000000000003</v>
      </c>
      <c r="I78" s="361">
        <f>+H78+G78</f>
        <v>14797.200000000003</v>
      </c>
    </row>
    <row r="79" spans="2:17">
      <c r="B79" s="584">
        <v>43052</v>
      </c>
      <c r="C79" s="26" t="s">
        <v>436</v>
      </c>
      <c r="D79" s="585" t="s">
        <v>434</v>
      </c>
      <c r="E79" s="432">
        <v>4924</v>
      </c>
      <c r="F79" s="576">
        <v>4.4000000000000004</v>
      </c>
      <c r="G79" s="361">
        <f>+E79*F79</f>
        <v>21665.600000000002</v>
      </c>
      <c r="H79" s="361">
        <f>+G79*0.18</f>
        <v>3899.8080000000004</v>
      </c>
      <c r="I79" s="361">
        <f>+H79+G79</f>
        <v>25565.408000000003</v>
      </c>
    </row>
    <row r="80" spans="2:17">
      <c r="B80" s="584">
        <v>43049</v>
      </c>
      <c r="C80" s="26" t="s">
        <v>894</v>
      </c>
      <c r="D80" s="585" t="s">
        <v>434</v>
      </c>
      <c r="E80" s="432">
        <v>3500</v>
      </c>
      <c r="F80" s="576">
        <v>0.3</v>
      </c>
      <c r="G80" s="361">
        <f>+E80*F80</f>
        <v>1050</v>
      </c>
      <c r="H80" s="361">
        <f>+G80*0.18</f>
        <v>189</v>
      </c>
      <c r="I80" s="361">
        <f>+H80+G80</f>
        <v>1239</v>
      </c>
    </row>
    <row r="81" spans="2:17">
      <c r="B81" s="584">
        <v>43055</v>
      </c>
      <c r="C81" s="26" t="s">
        <v>894</v>
      </c>
      <c r="D81" s="585" t="s">
        <v>434</v>
      </c>
      <c r="E81" s="432">
        <v>13320</v>
      </c>
      <c r="F81" s="576">
        <v>0.3</v>
      </c>
      <c r="G81" s="361">
        <f>+E81*F81</f>
        <v>3996</v>
      </c>
      <c r="H81" s="361">
        <f>+G81*0.18</f>
        <v>719.28</v>
      </c>
      <c r="I81" s="361">
        <f>+H81+G81</f>
        <v>4715.28</v>
      </c>
    </row>
    <row r="82" spans="2:17" ht="13.5" thickBot="1"/>
    <row r="83" spans="2:17" s="587" customFormat="1" ht="13.5" thickBot="1">
      <c r="B83" s="1067" t="s">
        <v>891</v>
      </c>
      <c r="C83" s="1068"/>
      <c r="D83" s="1068"/>
      <c r="E83" s="1068"/>
      <c r="F83" s="1068"/>
      <c r="G83" s="1068"/>
      <c r="H83" s="1068"/>
      <c r="I83" s="720">
        <f>SUM(I54:I81)</f>
        <v>774389.39599999995</v>
      </c>
      <c r="J83" s="1069" t="s">
        <v>892</v>
      </c>
      <c r="K83" s="1069"/>
      <c r="L83" s="1069"/>
      <c r="M83" s="721">
        <f>M54+M55+M60+M61+M62+M63+M64+M65+M66</f>
        <v>801888.5</v>
      </c>
      <c r="N83" s="719"/>
      <c r="P83" s="656"/>
      <c r="Q83" s="651"/>
    </row>
    <row r="84" spans="2:17">
      <c r="M84" s="576">
        <f>I83-M83</f>
        <v>-27499.10400000005</v>
      </c>
    </row>
    <row r="85" spans="2:17">
      <c r="B85" s="605" t="s">
        <v>422</v>
      </c>
      <c r="C85" s="606" t="s">
        <v>423</v>
      </c>
      <c r="D85" s="606" t="s">
        <v>424</v>
      </c>
      <c r="E85" s="607" t="s">
        <v>425</v>
      </c>
      <c r="F85" s="608" t="s">
        <v>426</v>
      </c>
      <c r="G85" s="608" t="s">
        <v>428</v>
      </c>
      <c r="H85" s="608" t="s">
        <v>429</v>
      </c>
      <c r="I85" s="608" t="s">
        <v>430</v>
      </c>
      <c r="M85" s="576">
        <v>-250000</v>
      </c>
    </row>
    <row r="87" spans="2:17">
      <c r="B87" s="577">
        <v>43074</v>
      </c>
      <c r="C87" s="578" t="s">
        <v>498</v>
      </c>
      <c r="D87" s="579" t="s">
        <v>434</v>
      </c>
      <c r="E87" s="580">
        <v>39980</v>
      </c>
      <c r="F87" s="361">
        <v>1.45</v>
      </c>
      <c r="G87" s="361">
        <f>+E87*F87</f>
        <v>57971</v>
      </c>
      <c r="H87" s="361">
        <f>+G87*0.18</f>
        <v>10434.779999999999</v>
      </c>
      <c r="I87" s="361">
        <f>+H87+G87</f>
        <v>68405.78</v>
      </c>
      <c r="J87" s="578" t="s">
        <v>1091</v>
      </c>
    </row>
    <row r="88" spans="2:17">
      <c r="B88" s="577">
        <v>43084</v>
      </c>
      <c r="C88" s="578" t="s">
        <v>498</v>
      </c>
      <c r="D88" s="579" t="s">
        <v>434</v>
      </c>
      <c r="E88" s="580">
        <v>39860</v>
      </c>
      <c r="F88" s="581">
        <v>1.45</v>
      </c>
      <c r="G88" s="581">
        <f>+E88*F88</f>
        <v>57797</v>
      </c>
      <c r="H88" s="581">
        <f>+G88*0.18</f>
        <v>10403.459999999999</v>
      </c>
      <c r="I88" s="581">
        <f>+H88+G88</f>
        <v>68200.459999999992</v>
      </c>
      <c r="J88" s="578" t="s">
        <v>1091</v>
      </c>
    </row>
    <row r="89" spans="2:17">
      <c r="B89" s="577">
        <v>43098</v>
      </c>
      <c r="C89" s="578" t="s">
        <v>498</v>
      </c>
      <c r="D89" s="579" t="s">
        <v>434</v>
      </c>
      <c r="E89" s="580">
        <v>39780</v>
      </c>
      <c r="F89" s="581">
        <v>1.45</v>
      </c>
      <c r="G89" s="581">
        <f>+E89*F89</f>
        <v>57681</v>
      </c>
      <c r="H89" s="581">
        <f>+G89*0.18</f>
        <v>10382.58</v>
      </c>
      <c r="I89" s="581">
        <f>+H89+G89</f>
        <v>68063.58</v>
      </c>
      <c r="J89" s="578" t="s">
        <v>1091</v>
      </c>
    </row>
    <row r="90" spans="2:17">
      <c r="B90" s="577"/>
      <c r="C90" s="578"/>
      <c r="D90" s="579"/>
      <c r="E90" s="975">
        <f>SUM(E87:E89)</f>
        <v>119620</v>
      </c>
      <c r="F90" s="581"/>
      <c r="G90" s="974">
        <f>SUM(G87:G89)</f>
        <v>173449</v>
      </c>
      <c r="H90" s="974">
        <f>SUM(H87:H89)</f>
        <v>31220.82</v>
      </c>
      <c r="I90" s="974">
        <f>SUM(I87:I89)+0.5</f>
        <v>204670.32</v>
      </c>
      <c r="J90" s="578"/>
    </row>
    <row r="91" spans="2:17">
      <c r="B91" s="577"/>
      <c r="C91" s="578"/>
      <c r="D91" s="579"/>
      <c r="E91" s="580"/>
      <c r="F91" s="581"/>
      <c r="G91" s="581"/>
      <c r="H91" s="581"/>
      <c r="I91" s="581"/>
      <c r="J91" s="578"/>
    </row>
    <row r="92" spans="2:17">
      <c r="B92" s="577">
        <v>43054</v>
      </c>
      <c r="C92" s="578" t="s">
        <v>1084</v>
      </c>
      <c r="D92" s="579" t="s">
        <v>434</v>
      </c>
      <c r="E92" s="580">
        <v>573</v>
      </c>
      <c r="F92" s="581">
        <v>33</v>
      </c>
      <c r="G92" s="361">
        <f>+E92*F92</f>
        <v>18909</v>
      </c>
      <c r="H92" s="361">
        <f>+G92*0.18</f>
        <v>3403.62</v>
      </c>
      <c r="I92" s="361">
        <f>+H92+G92</f>
        <v>22312.62</v>
      </c>
      <c r="J92" s="578" t="s">
        <v>1091</v>
      </c>
    </row>
    <row r="93" spans="2:17">
      <c r="B93" s="577">
        <v>43076</v>
      </c>
      <c r="C93" s="578" t="s">
        <v>1084</v>
      </c>
      <c r="D93" s="579" t="s">
        <v>434</v>
      </c>
      <c r="E93" s="580">
        <v>621</v>
      </c>
      <c r="F93" s="581">
        <v>33</v>
      </c>
      <c r="G93" s="361">
        <f>+E93*F93</f>
        <v>20493</v>
      </c>
      <c r="H93" s="361">
        <f>+G93*0.18</f>
        <v>3688.74</v>
      </c>
      <c r="I93" s="361">
        <f>+H93+G93</f>
        <v>24181.739999999998</v>
      </c>
      <c r="J93" s="578" t="s">
        <v>1091</v>
      </c>
    </row>
    <row r="94" spans="2:17">
      <c r="B94" s="577">
        <v>43091</v>
      </c>
      <c r="C94" s="578" t="s">
        <v>1084</v>
      </c>
      <c r="D94" s="579" t="s">
        <v>434</v>
      </c>
      <c r="E94" s="580">
        <v>509</v>
      </c>
      <c r="F94" s="581">
        <v>33</v>
      </c>
      <c r="G94" s="581">
        <f>+E94*F94</f>
        <v>16797</v>
      </c>
      <c r="H94" s="581">
        <f>+G94*0.18</f>
        <v>3023.46</v>
      </c>
      <c r="I94" s="581">
        <f>+H94+G94</f>
        <v>19820.46</v>
      </c>
      <c r="J94" s="578" t="s">
        <v>1091</v>
      </c>
    </row>
    <row r="95" spans="2:17">
      <c r="B95" s="577">
        <v>43095</v>
      </c>
      <c r="C95" s="578" t="s">
        <v>1084</v>
      </c>
      <c r="D95" s="579" t="s">
        <v>434</v>
      </c>
      <c r="E95" s="580">
        <v>773</v>
      </c>
      <c r="F95" s="581">
        <v>33</v>
      </c>
      <c r="G95" s="581">
        <f>+E95*F95</f>
        <v>25509</v>
      </c>
      <c r="H95" s="581">
        <f>+G95*0.18</f>
        <v>4591.62</v>
      </c>
      <c r="I95" s="581">
        <f>+H95+G95</f>
        <v>30100.62</v>
      </c>
      <c r="J95" s="578" t="s">
        <v>1091</v>
      </c>
    </row>
    <row r="96" spans="2:17">
      <c r="B96" s="577">
        <v>43097</v>
      </c>
      <c r="C96" s="578" t="s">
        <v>1084</v>
      </c>
      <c r="D96" s="579" t="s">
        <v>434</v>
      </c>
      <c r="E96" s="580">
        <v>423</v>
      </c>
      <c r="F96" s="581">
        <v>33</v>
      </c>
      <c r="G96" s="581">
        <f>+E96*F96</f>
        <v>13959</v>
      </c>
      <c r="H96" s="581">
        <f>+G96*0.18</f>
        <v>2512.62</v>
      </c>
      <c r="I96" s="581">
        <f>+H96+G96</f>
        <v>16471.62</v>
      </c>
      <c r="J96" s="578" t="s">
        <v>1091</v>
      </c>
    </row>
    <row r="97" spans="2:10">
      <c r="B97" s="577"/>
      <c r="C97" s="578"/>
      <c r="D97" s="579"/>
      <c r="E97" s="975">
        <f>SUM(E92:E96)</f>
        <v>2899</v>
      </c>
      <c r="F97" s="581"/>
      <c r="G97" s="974">
        <f>SUM(G92:G96)</f>
        <v>95667</v>
      </c>
      <c r="H97" s="974">
        <f>SUM(H92:H96)</f>
        <v>17220.059999999998</v>
      </c>
      <c r="I97" s="974">
        <f>SUM(I92:I96)+0.5</f>
        <v>112887.56</v>
      </c>
      <c r="J97" s="578"/>
    </row>
    <row r="98" spans="2:10">
      <c r="B98" s="577"/>
      <c r="C98" s="578"/>
      <c r="D98" s="579"/>
      <c r="E98" s="580"/>
      <c r="F98" s="581"/>
      <c r="G98" s="581"/>
      <c r="H98" s="581"/>
      <c r="I98" s="581"/>
      <c r="J98" s="578"/>
    </row>
    <row r="99" spans="2:10">
      <c r="B99" s="577">
        <v>43076</v>
      </c>
      <c r="C99" s="578" t="s">
        <v>436</v>
      </c>
      <c r="D99" s="579" t="s">
        <v>434</v>
      </c>
      <c r="E99" s="580">
        <v>11627</v>
      </c>
      <c r="F99" s="581">
        <v>4.4000000000000004</v>
      </c>
      <c r="G99" s="581">
        <f>+E99*F99</f>
        <v>51158.8</v>
      </c>
      <c r="H99" s="581">
        <f>+G99*0.18</f>
        <v>9208.5840000000007</v>
      </c>
      <c r="I99" s="581">
        <f>+H99+G99</f>
        <v>60367.384000000005</v>
      </c>
      <c r="J99" s="578" t="s">
        <v>1091</v>
      </c>
    </row>
    <row r="100" spans="2:10">
      <c r="B100" s="577">
        <v>43091</v>
      </c>
      <c r="C100" s="578" t="s">
        <v>436</v>
      </c>
      <c r="D100" s="579" t="s">
        <v>434</v>
      </c>
      <c r="E100" s="580">
        <v>2510</v>
      </c>
      <c r="F100" s="581">
        <v>4.4000000000000004</v>
      </c>
      <c r="G100" s="581">
        <f>+E100*F100</f>
        <v>11044</v>
      </c>
      <c r="H100" s="581">
        <f>+G100*0.18</f>
        <v>1987.9199999999998</v>
      </c>
      <c r="I100" s="581">
        <f>+H100+G100</f>
        <v>13031.92</v>
      </c>
      <c r="J100" s="578" t="s">
        <v>1091</v>
      </c>
    </row>
    <row r="101" spans="2:10">
      <c r="B101" s="577">
        <v>43095</v>
      </c>
      <c r="C101" s="578" t="s">
        <v>436</v>
      </c>
      <c r="D101" s="579" t="s">
        <v>434</v>
      </c>
      <c r="E101" s="580">
        <v>1602</v>
      </c>
      <c r="F101" s="581">
        <v>4.4000000000000004</v>
      </c>
      <c r="G101" s="581">
        <f>+E101*F101</f>
        <v>7048.8</v>
      </c>
      <c r="H101" s="581">
        <f>+G101*0.18</f>
        <v>1268.7839999999999</v>
      </c>
      <c r="I101" s="581">
        <f>+H101+G101</f>
        <v>8317.5840000000007</v>
      </c>
      <c r="J101" s="578" t="s">
        <v>1091</v>
      </c>
    </row>
    <row r="102" spans="2:10">
      <c r="B102" s="577">
        <v>43097</v>
      </c>
      <c r="C102" s="578" t="s">
        <v>436</v>
      </c>
      <c r="D102" s="579" t="s">
        <v>434</v>
      </c>
      <c r="E102" s="580">
        <v>436</v>
      </c>
      <c r="F102" s="581">
        <v>4.4000000000000004</v>
      </c>
      <c r="G102" s="581">
        <f>+E102*F102</f>
        <v>1918.4</v>
      </c>
      <c r="H102" s="581">
        <f>+G102*0.18</f>
        <v>345.31200000000001</v>
      </c>
      <c r="I102" s="581">
        <f>+H102+G102</f>
        <v>2263.712</v>
      </c>
      <c r="J102" s="578" t="s">
        <v>1091</v>
      </c>
    </row>
    <row r="103" spans="2:10">
      <c r="B103" s="577"/>
      <c r="C103" s="578"/>
      <c r="D103" s="579"/>
      <c r="E103" s="975">
        <f>SUM(E99:E102)</f>
        <v>16175</v>
      </c>
      <c r="F103" s="581"/>
      <c r="G103" s="974">
        <f>SUM(G99:G102)</f>
        <v>71170</v>
      </c>
      <c r="H103" s="974">
        <f>SUM(H99:H102)</f>
        <v>12810.6</v>
      </c>
      <c r="I103" s="974">
        <f>SUM(I99:I102)+0.5</f>
        <v>83981.1</v>
      </c>
      <c r="J103" s="578"/>
    </row>
    <row r="104" spans="2:10">
      <c r="B104" s="577"/>
      <c r="C104" s="578"/>
      <c r="D104" s="579"/>
      <c r="E104" s="580"/>
      <c r="F104" s="581"/>
      <c r="G104" s="581"/>
      <c r="H104" s="581"/>
      <c r="I104" s="581"/>
    </row>
    <row r="105" spans="2:10">
      <c r="B105" s="577">
        <v>43083</v>
      </c>
      <c r="C105" s="578" t="s">
        <v>436</v>
      </c>
      <c r="D105" s="579" t="s">
        <v>434</v>
      </c>
      <c r="E105" s="580">
        <v>5295</v>
      </c>
      <c r="F105" s="581">
        <v>4.4000000000000004</v>
      </c>
      <c r="G105" s="361">
        <f>+E105*F105</f>
        <v>23298.000000000004</v>
      </c>
      <c r="H105" s="361">
        <f>+G105*0.18</f>
        <v>4193.6400000000003</v>
      </c>
      <c r="I105" s="361">
        <f>+H105+G105</f>
        <v>27491.640000000003</v>
      </c>
      <c r="J105" s="26" t="s">
        <v>1085</v>
      </c>
    </row>
    <row r="106" spans="2:10">
      <c r="B106" s="577"/>
      <c r="C106" s="578"/>
      <c r="D106" s="579"/>
      <c r="E106" s="580"/>
      <c r="F106" s="581"/>
      <c r="G106" s="974">
        <f>SUM(G105)</f>
        <v>23298.000000000004</v>
      </c>
      <c r="H106" s="974">
        <f>SUM(H105)</f>
        <v>4193.6400000000003</v>
      </c>
      <c r="I106" s="974">
        <f>SUM(I105)+0.5</f>
        <v>27492.140000000003</v>
      </c>
    </row>
    <row r="107" spans="2:10">
      <c r="B107" s="577"/>
      <c r="C107" s="578"/>
      <c r="D107" s="579"/>
      <c r="E107" s="580"/>
      <c r="F107" s="581"/>
      <c r="G107" s="581"/>
      <c r="H107" s="581"/>
      <c r="I107" s="581"/>
    </row>
    <row r="108" spans="2:10">
      <c r="B108" s="577">
        <v>43056</v>
      </c>
      <c r="C108" s="578" t="s">
        <v>1358</v>
      </c>
      <c r="D108" s="579" t="s">
        <v>434</v>
      </c>
      <c r="E108" s="580">
        <v>1070</v>
      </c>
      <c r="F108" s="955">
        <v>2.8</v>
      </c>
      <c r="G108" s="955">
        <f>+E108*F108</f>
        <v>2996</v>
      </c>
      <c r="H108" s="955">
        <f>+G108*0.18</f>
        <v>539.28</v>
      </c>
      <c r="I108" s="955">
        <f>+H108+G108</f>
        <v>3535.2799999999997</v>
      </c>
      <c r="J108" s="578"/>
    </row>
    <row r="109" spans="2:10">
      <c r="B109" s="577"/>
      <c r="C109" s="578"/>
      <c r="D109" s="579"/>
      <c r="E109" s="580"/>
      <c r="F109" s="581"/>
      <c r="G109" s="581"/>
      <c r="H109" s="581"/>
      <c r="I109" s="581"/>
    </row>
    <row r="110" spans="2:10">
      <c r="B110" s="970">
        <v>43104</v>
      </c>
      <c r="C110" s="956" t="s">
        <v>436</v>
      </c>
      <c r="D110" s="971" t="s">
        <v>434</v>
      </c>
      <c r="E110" s="972">
        <v>4864</v>
      </c>
      <c r="F110" s="955">
        <v>4.4000000000000004</v>
      </c>
      <c r="G110" s="955">
        <f t="shared" ref="G110:G116" si="13">+E110*F110</f>
        <v>21401.600000000002</v>
      </c>
      <c r="H110" s="955">
        <f t="shared" ref="H110:H116" si="14">+G110*0.19</f>
        <v>4066.3040000000005</v>
      </c>
      <c r="I110" s="955">
        <f t="shared" ref="I110:I116" si="15">+H110+G110</f>
        <v>25467.904000000002</v>
      </c>
    </row>
    <row r="111" spans="2:10">
      <c r="B111" s="970">
        <v>43105</v>
      </c>
      <c r="C111" s="956" t="s">
        <v>436</v>
      </c>
      <c r="D111" s="971" t="s">
        <v>434</v>
      </c>
      <c r="E111" s="972">
        <v>4068</v>
      </c>
      <c r="F111" s="955">
        <v>4.4000000000000004</v>
      </c>
      <c r="G111" s="955">
        <f t="shared" si="13"/>
        <v>17899.2</v>
      </c>
      <c r="H111" s="955">
        <f t="shared" si="14"/>
        <v>3400.848</v>
      </c>
      <c r="I111" s="955">
        <f t="shared" si="15"/>
        <v>21300.048000000003</v>
      </c>
    </row>
    <row r="112" spans="2:10">
      <c r="B112" s="973">
        <v>43112</v>
      </c>
      <c r="C112" s="4" t="s">
        <v>436</v>
      </c>
      <c r="D112" s="725" t="s">
        <v>434</v>
      </c>
      <c r="E112" s="429">
        <v>2070</v>
      </c>
      <c r="F112" s="726">
        <v>4.4000000000000004</v>
      </c>
      <c r="G112" s="726">
        <f t="shared" si="13"/>
        <v>9108</v>
      </c>
      <c r="H112" s="726">
        <f t="shared" si="14"/>
        <v>1730.52</v>
      </c>
      <c r="I112" s="726">
        <f t="shared" si="15"/>
        <v>10838.52</v>
      </c>
    </row>
    <row r="113" spans="1:10">
      <c r="B113" s="973">
        <v>43123</v>
      </c>
      <c r="C113" s="4" t="s">
        <v>436</v>
      </c>
      <c r="D113" s="725" t="s">
        <v>434</v>
      </c>
      <c r="E113" s="429">
        <v>7034</v>
      </c>
      <c r="F113" s="726">
        <v>4.4000000000000004</v>
      </c>
      <c r="G113" s="726">
        <f t="shared" si="13"/>
        <v>30949.600000000002</v>
      </c>
      <c r="H113" s="726">
        <f t="shared" si="14"/>
        <v>5880.4240000000009</v>
      </c>
      <c r="I113" s="726">
        <f t="shared" si="15"/>
        <v>36830.024000000005</v>
      </c>
    </row>
    <row r="114" spans="1:10">
      <c r="B114" s="973">
        <v>43123</v>
      </c>
      <c r="C114" s="4" t="s">
        <v>436</v>
      </c>
      <c r="D114" s="725" t="s">
        <v>434</v>
      </c>
      <c r="E114" s="429">
        <v>5131</v>
      </c>
      <c r="F114" s="726">
        <v>4.4000000000000004</v>
      </c>
      <c r="G114" s="726">
        <f t="shared" si="13"/>
        <v>22576.400000000001</v>
      </c>
      <c r="H114" s="726">
        <f t="shared" si="14"/>
        <v>4289.5160000000005</v>
      </c>
      <c r="I114" s="726">
        <f t="shared" si="15"/>
        <v>26865.916000000001</v>
      </c>
    </row>
    <row r="115" spans="1:10">
      <c r="B115" s="973">
        <v>43125</v>
      </c>
      <c r="C115" s="4" t="s">
        <v>436</v>
      </c>
      <c r="D115" s="725" t="s">
        <v>434</v>
      </c>
      <c r="E115" s="429">
        <v>2590</v>
      </c>
      <c r="F115" s="726">
        <v>4.4000000000000004</v>
      </c>
      <c r="G115" s="726">
        <f t="shared" si="13"/>
        <v>11396.000000000002</v>
      </c>
      <c r="H115" s="726">
        <f t="shared" si="14"/>
        <v>2165.2400000000002</v>
      </c>
      <c r="I115" s="726">
        <f t="shared" si="15"/>
        <v>13561.240000000002</v>
      </c>
    </row>
    <row r="116" spans="1:10">
      <c r="B116" s="973">
        <v>43124</v>
      </c>
      <c r="C116" s="4" t="s">
        <v>436</v>
      </c>
      <c r="D116" s="725" t="s">
        <v>434</v>
      </c>
      <c r="E116" s="429">
        <v>4011</v>
      </c>
      <c r="F116" s="726">
        <v>4.4000000000000004</v>
      </c>
      <c r="G116" s="726">
        <f t="shared" si="13"/>
        <v>17648.400000000001</v>
      </c>
      <c r="H116" s="726">
        <f t="shared" si="14"/>
        <v>3353.1960000000004</v>
      </c>
      <c r="I116" s="726">
        <f t="shared" si="15"/>
        <v>21001.596000000001</v>
      </c>
    </row>
    <row r="118" spans="1:10">
      <c r="B118" s="577">
        <v>43105</v>
      </c>
      <c r="C118" s="578" t="s">
        <v>1084</v>
      </c>
      <c r="D118" s="579" t="s">
        <v>434</v>
      </c>
      <c r="E118" s="580">
        <v>881</v>
      </c>
      <c r="F118" s="581">
        <v>33</v>
      </c>
      <c r="G118" s="581">
        <f>+E118*F118</f>
        <v>29073</v>
      </c>
      <c r="H118" s="581">
        <f>+G118*0.19</f>
        <v>5523.87</v>
      </c>
      <c r="I118" s="581">
        <f>+H118+G118</f>
        <v>34596.870000000003</v>
      </c>
      <c r="J118" s="578"/>
    </row>
    <row r="119" spans="1:10">
      <c r="B119" s="577">
        <v>43112</v>
      </c>
      <c r="C119" s="578" t="s">
        <v>1084</v>
      </c>
      <c r="D119" s="579" t="s">
        <v>434</v>
      </c>
      <c r="E119" s="580">
        <v>286</v>
      </c>
      <c r="F119" s="581">
        <v>33</v>
      </c>
      <c r="G119" s="581">
        <f>+E119*F119</f>
        <v>9438</v>
      </c>
      <c r="H119" s="581">
        <f>+G119*0.19</f>
        <v>1793.22</v>
      </c>
      <c r="I119" s="581">
        <f>+H119+G119</f>
        <v>11231.22</v>
      </c>
      <c r="J119" s="578"/>
    </row>
    <row r="120" spans="1:10">
      <c r="A120" s="991"/>
      <c r="B120" s="577">
        <v>43122</v>
      </c>
      <c r="C120" s="578" t="s">
        <v>1084</v>
      </c>
      <c r="D120" s="579" t="s">
        <v>434</v>
      </c>
      <c r="E120" s="580">
        <v>1560</v>
      </c>
      <c r="F120" s="581">
        <v>33</v>
      </c>
      <c r="G120" s="581">
        <f>+E120*F120</f>
        <v>51480</v>
      </c>
      <c r="H120" s="581">
        <f>+G120*0.19</f>
        <v>9781.2000000000007</v>
      </c>
      <c r="I120" s="581">
        <f>+H120+G120</f>
        <v>61261.2</v>
      </c>
      <c r="J120" s="578"/>
    </row>
    <row r="122" spans="1:10">
      <c r="B122" s="577">
        <v>43066</v>
      </c>
      <c r="C122" s="578" t="s">
        <v>894</v>
      </c>
      <c r="D122" s="579" t="s">
        <v>434</v>
      </c>
      <c r="E122" s="580">
        <v>13620</v>
      </c>
      <c r="F122" s="955">
        <v>0.3</v>
      </c>
      <c r="G122" s="727">
        <f>+E122*F122</f>
        <v>4086</v>
      </c>
      <c r="H122" s="727">
        <f>+G122*0.18</f>
        <v>735.48</v>
      </c>
      <c r="I122" s="727">
        <f>+H122+G122</f>
        <v>4821.4799999999996</v>
      </c>
      <c r="J122" s="578"/>
    </row>
    <row r="124" spans="1:10">
      <c r="B124" s="577">
        <v>43118</v>
      </c>
      <c r="C124" s="578" t="s">
        <v>498</v>
      </c>
      <c r="D124" s="579" t="s">
        <v>434</v>
      </c>
      <c r="E124" s="580">
        <v>41460</v>
      </c>
      <c r="F124" s="581">
        <v>1.55</v>
      </c>
      <c r="G124" s="581">
        <f>+E124*F124</f>
        <v>64263</v>
      </c>
      <c r="H124" s="581">
        <f>+G124*0.18</f>
        <v>11567.34</v>
      </c>
      <c r="I124" s="581">
        <f>+H124+G124</f>
        <v>75830.34</v>
      </c>
      <c r="J124" s="578"/>
    </row>
  </sheetData>
  <sortState ref="B92:I97">
    <sortCondition ref="C92:C97"/>
    <sortCondition ref="B92:B97"/>
  </sortState>
  <mergeCells count="16">
    <mergeCell ref="B83:H83"/>
    <mergeCell ref="J83:L83"/>
    <mergeCell ref="P33:P38"/>
    <mergeCell ref="Q33:Q38"/>
    <mergeCell ref="P54:P58"/>
    <mergeCell ref="Q54:Q58"/>
    <mergeCell ref="P40:P44"/>
    <mergeCell ref="Q40:Q44"/>
    <mergeCell ref="P46:P52"/>
    <mergeCell ref="Q46:Q52"/>
    <mergeCell ref="P2:P5"/>
    <mergeCell ref="Q2:Q5"/>
    <mergeCell ref="P7:P11"/>
    <mergeCell ref="Q7:Q11"/>
    <mergeCell ref="P13:P31"/>
    <mergeCell ref="Q13:Q31"/>
  </mergeCells>
  <pageMargins left="0" right="0" top="0.74803149606299213" bottom="0.74803149606299213" header="0.31496062992125984" footer="0.31496062992125984"/>
  <pageSetup paperSize="9" orientation="landscape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31"/>
  <sheetViews>
    <sheetView zoomScale="85" zoomScaleNormal="85" workbookViewId="0">
      <selection activeCell="J32" sqref="J32"/>
    </sheetView>
  </sheetViews>
  <sheetFormatPr baseColWidth="10" defaultRowHeight="12.75"/>
  <cols>
    <col min="1" max="1" width="1.5703125" style="646" customWidth="1"/>
    <col min="2" max="2" width="10.85546875" style="683" bestFit="1" customWidth="1"/>
    <col min="3" max="3" width="18.85546875" style="646" bestFit="1" customWidth="1"/>
    <col min="4" max="4" width="3.85546875" style="650" bestFit="1" customWidth="1"/>
    <col min="5" max="5" width="19.140625" style="684" bestFit="1" customWidth="1"/>
    <col min="6" max="7" width="11.7109375" style="647" bestFit="1" customWidth="1"/>
    <col min="8" max="8" width="10.28515625" style="647" bestFit="1" customWidth="1"/>
    <col min="9" max="9" width="10.28515625" style="647" customWidth="1"/>
    <col min="10" max="10" width="11.28515625" style="647" bestFit="1" customWidth="1"/>
    <col min="11" max="11" width="9.5703125" style="646" bestFit="1" customWidth="1"/>
    <col min="12" max="12" width="12.42578125" style="646" bestFit="1" customWidth="1"/>
    <col min="13" max="13" width="9.42578125" style="650" customWidth="1"/>
    <col min="14" max="14" width="11.28515625" style="647" bestFit="1" customWidth="1"/>
    <col min="15" max="15" width="10.85546875" style="683" bestFit="1" customWidth="1"/>
    <col min="16" max="16" width="9.42578125" style="651" bestFit="1" customWidth="1"/>
    <col min="17" max="17" width="11.7109375" style="646" bestFit="1" customWidth="1"/>
    <col min="18" max="18" width="12" style="650" bestFit="1" customWidth="1"/>
    <col min="19" max="16384" width="11.42578125" style="646"/>
  </cols>
  <sheetData>
    <row r="1" spans="2:20" s="645" customFormat="1" ht="26.25" thickBot="1">
      <c r="B1" s="605" t="s">
        <v>422</v>
      </c>
      <c r="C1" s="606" t="s">
        <v>423</v>
      </c>
      <c r="D1" s="606" t="s">
        <v>424</v>
      </c>
      <c r="E1" s="607" t="s">
        <v>425</v>
      </c>
      <c r="F1" s="608" t="s">
        <v>426</v>
      </c>
      <c r="G1" s="608" t="s">
        <v>428</v>
      </c>
      <c r="H1" s="608" t="s">
        <v>429</v>
      </c>
      <c r="I1" s="608" t="s">
        <v>846</v>
      </c>
      <c r="J1" s="608" t="s">
        <v>430</v>
      </c>
      <c r="K1" s="606" t="s">
        <v>431</v>
      </c>
      <c r="L1" s="606" t="s">
        <v>432</v>
      </c>
      <c r="M1" s="606" t="s">
        <v>427</v>
      </c>
      <c r="N1" s="608" t="s">
        <v>11</v>
      </c>
      <c r="O1" s="605" t="s">
        <v>10</v>
      </c>
      <c r="P1" s="610" t="s">
        <v>433</v>
      </c>
      <c r="Q1" s="610" t="s">
        <v>841</v>
      </c>
      <c r="R1" s="644" t="s">
        <v>840</v>
      </c>
    </row>
    <row r="2" spans="2:20" s="649" customFormat="1" ht="13.5" thickBot="1">
      <c r="B2" s="660">
        <v>42872</v>
      </c>
      <c r="C2" s="661" t="s">
        <v>498</v>
      </c>
      <c r="D2" s="662" t="s">
        <v>434</v>
      </c>
      <c r="E2" s="663">
        <v>36260</v>
      </c>
      <c r="F2" s="664">
        <v>1.4</v>
      </c>
      <c r="G2" s="664">
        <f t="shared" ref="G2" si="0">+E2*F2</f>
        <v>50764</v>
      </c>
      <c r="H2" s="664">
        <f t="shared" ref="H2" si="1">+G2*0.18</f>
        <v>9137.52</v>
      </c>
      <c r="I2" s="664">
        <f>(G2+H2)*1%</f>
        <v>599.01520000000005</v>
      </c>
      <c r="J2" s="664">
        <f>+H2+G2+I2</f>
        <v>60500.535200000006</v>
      </c>
      <c r="K2" s="661" t="s">
        <v>844</v>
      </c>
      <c r="L2" s="661">
        <v>545</v>
      </c>
      <c r="M2" s="661" t="s">
        <v>45</v>
      </c>
      <c r="N2" s="664">
        <f>J2+0.5</f>
        <v>60501.035200000006</v>
      </c>
      <c r="O2" s="686">
        <v>42880</v>
      </c>
      <c r="P2" s="666" t="s">
        <v>103</v>
      </c>
      <c r="Q2" s="666" t="s">
        <v>847</v>
      </c>
      <c r="R2" s="965" t="s">
        <v>45</v>
      </c>
    </row>
    <row r="3" spans="2:20" ht="13.5" thickBot="1">
      <c r="B3" s="660">
        <v>42888</v>
      </c>
      <c r="C3" s="661" t="s">
        <v>498</v>
      </c>
      <c r="D3" s="662" t="s">
        <v>434</v>
      </c>
      <c r="E3" s="663">
        <v>36260</v>
      </c>
      <c r="F3" s="664">
        <v>1.4</v>
      </c>
      <c r="G3" s="664">
        <f t="shared" ref="G3:G26" si="2">+E3*F3</f>
        <v>50764</v>
      </c>
      <c r="H3" s="664">
        <f t="shared" ref="H3:H25" si="3">+G3*0.18</f>
        <v>9137.52</v>
      </c>
      <c r="I3" s="664">
        <f t="shared" ref="I3:I26" si="4">(G3+H3)*1%</f>
        <v>599.01520000000005</v>
      </c>
      <c r="J3" s="664">
        <f t="shared" ref="J3:J25" si="5">+H3+G3+I3</f>
        <v>60500.535200000006</v>
      </c>
      <c r="K3" s="1079" t="s">
        <v>848</v>
      </c>
      <c r="L3" s="1079"/>
      <c r="M3" s="661" t="s">
        <v>45</v>
      </c>
      <c r="N3" s="664">
        <v>61018.027000000002</v>
      </c>
      <c r="O3" s="686">
        <v>42947</v>
      </c>
      <c r="P3" s="666" t="s">
        <v>103</v>
      </c>
      <c r="Q3" s="666" t="s">
        <v>847</v>
      </c>
      <c r="R3" s="965" t="s">
        <v>45</v>
      </c>
      <c r="T3" s="649"/>
    </row>
    <row r="4" spans="2:20" ht="13.5" thickBot="1">
      <c r="B4" s="660">
        <v>42899</v>
      </c>
      <c r="C4" s="661" t="s">
        <v>498</v>
      </c>
      <c r="D4" s="662" t="s">
        <v>434</v>
      </c>
      <c r="E4" s="663">
        <v>36880</v>
      </c>
      <c r="F4" s="664">
        <v>1.4</v>
      </c>
      <c r="G4" s="664">
        <f t="shared" si="2"/>
        <v>51632</v>
      </c>
      <c r="H4" s="664">
        <f t="shared" si="3"/>
        <v>9293.76</v>
      </c>
      <c r="I4" s="664">
        <f t="shared" si="4"/>
        <v>609.25760000000002</v>
      </c>
      <c r="J4" s="664">
        <f t="shared" si="5"/>
        <v>61535.017599999999</v>
      </c>
      <c r="K4" s="1079" t="s">
        <v>848</v>
      </c>
      <c r="L4" s="1079"/>
      <c r="M4" s="661" t="s">
        <v>45</v>
      </c>
      <c r="N4" s="664">
        <v>61018.027000000002</v>
      </c>
      <c r="O4" s="686">
        <v>42962</v>
      </c>
      <c r="P4" s="666" t="s">
        <v>103</v>
      </c>
      <c r="Q4" s="666" t="s">
        <v>847</v>
      </c>
      <c r="R4" s="965" t="s">
        <v>45</v>
      </c>
      <c r="T4" s="649"/>
    </row>
    <row r="5" spans="2:20" ht="13.5" thickBot="1">
      <c r="B5" s="660">
        <v>42908</v>
      </c>
      <c r="C5" s="661" t="s">
        <v>498</v>
      </c>
      <c r="D5" s="662" t="s">
        <v>434</v>
      </c>
      <c r="E5" s="663">
        <v>37660</v>
      </c>
      <c r="F5" s="664">
        <v>1.4</v>
      </c>
      <c r="G5" s="664">
        <f t="shared" si="2"/>
        <v>52724</v>
      </c>
      <c r="H5" s="664">
        <f t="shared" si="3"/>
        <v>9490.32</v>
      </c>
      <c r="I5" s="664">
        <f t="shared" si="4"/>
        <v>622.14319999999998</v>
      </c>
      <c r="J5" s="664">
        <f t="shared" si="5"/>
        <v>62836.463199999998</v>
      </c>
      <c r="K5" s="661" t="s">
        <v>844</v>
      </c>
      <c r="L5" s="661">
        <v>689</v>
      </c>
      <c r="M5" s="661" t="s">
        <v>45</v>
      </c>
      <c r="N5" s="664">
        <f>J5+0.5</f>
        <v>62836.963199999998</v>
      </c>
      <c r="O5" s="686">
        <v>42930</v>
      </c>
      <c r="P5" s="666" t="s">
        <v>103</v>
      </c>
      <c r="Q5" s="666" t="s">
        <v>847</v>
      </c>
      <c r="R5" s="965" t="s">
        <v>45</v>
      </c>
      <c r="T5" s="649"/>
    </row>
    <row r="6" spans="2:20" ht="13.5" thickBot="1">
      <c r="B6" s="660">
        <v>42933</v>
      </c>
      <c r="C6" s="661" t="s">
        <v>498</v>
      </c>
      <c r="D6" s="662" t="s">
        <v>434</v>
      </c>
      <c r="E6" s="663">
        <v>37460</v>
      </c>
      <c r="F6" s="664">
        <v>1.4</v>
      </c>
      <c r="G6" s="664">
        <f t="shared" si="2"/>
        <v>52444</v>
      </c>
      <c r="H6" s="664">
        <f t="shared" si="3"/>
        <v>9439.92</v>
      </c>
      <c r="I6" s="664">
        <f t="shared" si="4"/>
        <v>618.83920000000001</v>
      </c>
      <c r="J6" s="664">
        <f t="shared" si="5"/>
        <v>62502.7592</v>
      </c>
      <c r="K6" s="661" t="s">
        <v>844</v>
      </c>
      <c r="L6" s="661">
        <v>748</v>
      </c>
      <c r="M6" s="661" t="s">
        <v>45</v>
      </c>
      <c r="N6" s="664">
        <f t="shared" ref="N6:N11" si="6">J6+0.5</f>
        <v>62503.2592</v>
      </c>
      <c r="O6" s="686">
        <v>42942</v>
      </c>
      <c r="P6" s="666" t="s">
        <v>103</v>
      </c>
      <c r="Q6" s="666" t="s">
        <v>847</v>
      </c>
      <c r="R6" s="965" t="s">
        <v>45</v>
      </c>
      <c r="T6" s="649"/>
    </row>
    <row r="7" spans="2:20" ht="13.5" thickBot="1">
      <c r="B7" s="660">
        <v>42950</v>
      </c>
      <c r="C7" s="661" t="s">
        <v>498</v>
      </c>
      <c r="D7" s="662" t="s">
        <v>434</v>
      </c>
      <c r="E7" s="663">
        <v>37400</v>
      </c>
      <c r="F7" s="664">
        <v>1.4</v>
      </c>
      <c r="G7" s="664">
        <f t="shared" si="2"/>
        <v>52360</v>
      </c>
      <c r="H7" s="664">
        <f t="shared" si="3"/>
        <v>9424.7999999999993</v>
      </c>
      <c r="I7" s="664">
        <f t="shared" si="4"/>
        <v>617.84800000000007</v>
      </c>
      <c r="J7" s="664">
        <f t="shared" si="5"/>
        <v>62402.648000000001</v>
      </c>
      <c r="K7" s="661" t="s">
        <v>844</v>
      </c>
      <c r="L7" s="661">
        <v>814</v>
      </c>
      <c r="M7" s="661" t="s">
        <v>45</v>
      </c>
      <c r="N7" s="664">
        <f t="shared" si="6"/>
        <v>62403.148000000001</v>
      </c>
      <c r="O7" s="686">
        <v>42964</v>
      </c>
      <c r="P7" s="666" t="s">
        <v>103</v>
      </c>
      <c r="Q7" s="666" t="s">
        <v>847</v>
      </c>
      <c r="R7" s="965" t="s">
        <v>45</v>
      </c>
      <c r="T7" s="649"/>
    </row>
    <row r="8" spans="2:20" ht="13.5" thickBot="1">
      <c r="B8" s="660">
        <v>42963</v>
      </c>
      <c r="C8" s="661" t="s">
        <v>498</v>
      </c>
      <c r="D8" s="662" t="s">
        <v>434</v>
      </c>
      <c r="E8" s="663">
        <v>36600</v>
      </c>
      <c r="F8" s="664">
        <v>1.4</v>
      </c>
      <c r="G8" s="664">
        <f t="shared" si="2"/>
        <v>51240</v>
      </c>
      <c r="H8" s="664">
        <f t="shared" si="3"/>
        <v>9223.1999999999989</v>
      </c>
      <c r="I8" s="664">
        <f t="shared" si="4"/>
        <v>604.63199999999995</v>
      </c>
      <c r="J8" s="664">
        <f t="shared" si="5"/>
        <v>61067.831999999995</v>
      </c>
      <c r="K8" s="661" t="s">
        <v>844</v>
      </c>
      <c r="L8" s="661">
        <v>869</v>
      </c>
      <c r="M8" s="661" t="s">
        <v>45</v>
      </c>
      <c r="N8" s="664">
        <f t="shared" si="6"/>
        <v>61068.331999999995</v>
      </c>
      <c r="O8" s="686">
        <v>42972</v>
      </c>
      <c r="P8" s="666" t="s">
        <v>103</v>
      </c>
      <c r="Q8" s="666" t="s">
        <v>847</v>
      </c>
      <c r="R8" s="965" t="s">
        <v>45</v>
      </c>
      <c r="T8" s="649"/>
    </row>
    <row r="9" spans="2:20" ht="13.5" thickBot="1">
      <c r="B9" s="660">
        <v>42968</v>
      </c>
      <c r="C9" s="661" t="s">
        <v>498</v>
      </c>
      <c r="D9" s="662" t="s">
        <v>434</v>
      </c>
      <c r="E9" s="663">
        <v>36100</v>
      </c>
      <c r="F9" s="664">
        <v>1.4</v>
      </c>
      <c r="G9" s="664">
        <f t="shared" si="2"/>
        <v>50540</v>
      </c>
      <c r="H9" s="664">
        <f t="shared" si="3"/>
        <v>9097.1999999999989</v>
      </c>
      <c r="I9" s="664">
        <f t="shared" si="4"/>
        <v>596.37199999999996</v>
      </c>
      <c r="J9" s="664">
        <f t="shared" si="5"/>
        <v>60233.572</v>
      </c>
      <c r="K9" s="661" t="s">
        <v>844</v>
      </c>
      <c r="L9" s="661">
        <v>889</v>
      </c>
      <c r="M9" s="661" t="s">
        <v>45</v>
      </c>
      <c r="N9" s="664">
        <f t="shared" si="6"/>
        <v>60234.072</v>
      </c>
      <c r="O9" s="686">
        <v>42985</v>
      </c>
      <c r="P9" s="666" t="s">
        <v>103</v>
      </c>
      <c r="Q9" s="666" t="s">
        <v>847</v>
      </c>
      <c r="R9" s="965" t="s">
        <v>45</v>
      </c>
      <c r="T9" s="649"/>
    </row>
    <row r="10" spans="2:20" ht="13.5" thickBot="1">
      <c r="B10" s="660">
        <v>42976</v>
      </c>
      <c r="C10" s="661" t="s">
        <v>498</v>
      </c>
      <c r="D10" s="662" t="s">
        <v>434</v>
      </c>
      <c r="E10" s="663">
        <v>37960</v>
      </c>
      <c r="F10" s="664">
        <v>1.4</v>
      </c>
      <c r="G10" s="664">
        <f t="shared" si="2"/>
        <v>53144</v>
      </c>
      <c r="H10" s="664">
        <f t="shared" si="3"/>
        <v>9565.92</v>
      </c>
      <c r="I10" s="664">
        <f t="shared" si="4"/>
        <v>627.0992</v>
      </c>
      <c r="J10" s="664">
        <f t="shared" si="5"/>
        <v>63337.019199999995</v>
      </c>
      <c r="K10" s="661" t="s">
        <v>844</v>
      </c>
      <c r="L10" s="661">
        <v>922</v>
      </c>
      <c r="M10" s="661" t="s">
        <v>45</v>
      </c>
      <c r="N10" s="664">
        <f t="shared" si="6"/>
        <v>63337.519199999995</v>
      </c>
      <c r="O10" s="686">
        <v>42990</v>
      </c>
      <c r="P10" s="666" t="s">
        <v>103</v>
      </c>
      <c r="Q10" s="666" t="s">
        <v>847</v>
      </c>
      <c r="R10" s="965" t="s">
        <v>45</v>
      </c>
      <c r="T10" s="649"/>
    </row>
    <row r="11" spans="2:20" ht="13.5" thickBot="1">
      <c r="B11" s="660">
        <v>42989</v>
      </c>
      <c r="C11" s="661" t="s">
        <v>498</v>
      </c>
      <c r="D11" s="662" t="s">
        <v>434</v>
      </c>
      <c r="E11" s="663">
        <v>37520</v>
      </c>
      <c r="F11" s="664">
        <v>1.4</v>
      </c>
      <c r="G11" s="664">
        <f t="shared" si="2"/>
        <v>52528</v>
      </c>
      <c r="H11" s="664">
        <f t="shared" si="3"/>
        <v>9455.0399999999991</v>
      </c>
      <c r="I11" s="664">
        <f t="shared" si="4"/>
        <v>619.83040000000005</v>
      </c>
      <c r="J11" s="664">
        <f t="shared" si="5"/>
        <v>62602.8704</v>
      </c>
      <c r="K11" s="661" t="s">
        <v>844</v>
      </c>
      <c r="L11" s="661">
        <v>966</v>
      </c>
      <c r="M11" s="661" t="s">
        <v>45</v>
      </c>
      <c r="N11" s="664">
        <f t="shared" si="6"/>
        <v>62603.3704</v>
      </c>
      <c r="O11" s="686">
        <v>43000</v>
      </c>
      <c r="P11" s="666" t="s">
        <v>103</v>
      </c>
      <c r="Q11" s="666" t="s">
        <v>847</v>
      </c>
      <c r="R11" s="965" t="s">
        <v>45</v>
      </c>
      <c r="T11" s="649"/>
    </row>
    <row r="12" spans="2:20" ht="13.5" thickBot="1">
      <c r="B12" s="660">
        <v>42993</v>
      </c>
      <c r="C12" s="661" t="s">
        <v>498</v>
      </c>
      <c r="D12" s="662" t="s">
        <v>434</v>
      </c>
      <c r="E12" s="663">
        <v>34260</v>
      </c>
      <c r="F12" s="664">
        <v>1.4</v>
      </c>
      <c r="G12" s="664">
        <f t="shared" si="2"/>
        <v>47964</v>
      </c>
      <c r="H12" s="664">
        <f t="shared" si="3"/>
        <v>8633.52</v>
      </c>
      <c r="I12" s="664">
        <f t="shared" si="4"/>
        <v>565.97520000000009</v>
      </c>
      <c r="J12" s="664">
        <f t="shared" si="5"/>
        <v>57163.495200000005</v>
      </c>
      <c r="K12" s="1079" t="s">
        <v>844</v>
      </c>
      <c r="L12" s="1080">
        <v>978</v>
      </c>
      <c r="M12" s="1079" t="s">
        <v>45</v>
      </c>
      <c r="N12" s="1081">
        <f>J12+J13+0.5</f>
        <v>122136.164</v>
      </c>
      <c r="O12" s="1082">
        <v>43004</v>
      </c>
      <c r="P12" s="1076" t="s">
        <v>103</v>
      </c>
      <c r="Q12" s="1077" t="s">
        <v>847</v>
      </c>
      <c r="R12" s="1078" t="s">
        <v>45</v>
      </c>
      <c r="T12" s="649"/>
    </row>
    <row r="13" spans="2:20" ht="13.5" thickBot="1">
      <c r="B13" s="660">
        <v>42996</v>
      </c>
      <c r="C13" s="661" t="s">
        <v>498</v>
      </c>
      <c r="D13" s="662" t="s">
        <v>434</v>
      </c>
      <c r="E13" s="663">
        <v>38940</v>
      </c>
      <c r="F13" s="664">
        <v>1.4</v>
      </c>
      <c r="G13" s="664">
        <f t="shared" si="2"/>
        <v>54516</v>
      </c>
      <c r="H13" s="664">
        <f t="shared" si="3"/>
        <v>9812.8799999999992</v>
      </c>
      <c r="I13" s="664">
        <f t="shared" si="4"/>
        <v>643.28880000000004</v>
      </c>
      <c r="J13" s="664">
        <f t="shared" si="5"/>
        <v>64972.168799999999</v>
      </c>
      <c r="K13" s="1079"/>
      <c r="L13" s="1080"/>
      <c r="M13" s="1079"/>
      <c r="N13" s="1081"/>
      <c r="O13" s="1082"/>
      <c r="P13" s="1076"/>
      <c r="Q13" s="1077"/>
      <c r="R13" s="1078"/>
      <c r="T13" s="649"/>
    </row>
    <row r="14" spans="2:20" ht="13.5" thickBot="1">
      <c r="B14" s="660">
        <v>43003</v>
      </c>
      <c r="C14" s="661" t="s">
        <v>498</v>
      </c>
      <c r="D14" s="662" t="s">
        <v>434</v>
      </c>
      <c r="E14" s="663">
        <v>37400</v>
      </c>
      <c r="F14" s="664">
        <v>1.4</v>
      </c>
      <c r="G14" s="664">
        <f t="shared" si="2"/>
        <v>52360</v>
      </c>
      <c r="H14" s="664">
        <f t="shared" si="3"/>
        <v>9424.7999999999993</v>
      </c>
      <c r="I14" s="664">
        <f t="shared" si="4"/>
        <v>617.84800000000007</v>
      </c>
      <c r="J14" s="664">
        <f t="shared" si="5"/>
        <v>62402.648000000001</v>
      </c>
      <c r="K14" s="661" t="s">
        <v>844</v>
      </c>
      <c r="L14" s="661">
        <v>992</v>
      </c>
      <c r="M14" s="661" t="s">
        <v>45</v>
      </c>
      <c r="N14" s="664">
        <f t="shared" ref="N14:N17" si="7">J14+0.5</f>
        <v>62403.148000000001</v>
      </c>
      <c r="O14" s="686">
        <v>43013</v>
      </c>
      <c r="P14" s="666" t="s">
        <v>103</v>
      </c>
      <c r="Q14" s="666" t="s">
        <v>847</v>
      </c>
      <c r="R14" s="965" t="s">
        <v>45</v>
      </c>
      <c r="T14" s="649"/>
    </row>
    <row r="15" spans="2:20" ht="13.5" thickBot="1">
      <c r="B15" s="660">
        <v>43006</v>
      </c>
      <c r="C15" s="661" t="s">
        <v>498</v>
      </c>
      <c r="D15" s="662" t="s">
        <v>434</v>
      </c>
      <c r="E15" s="663">
        <v>38120</v>
      </c>
      <c r="F15" s="664">
        <v>1.4</v>
      </c>
      <c r="G15" s="664">
        <f t="shared" si="2"/>
        <v>53368</v>
      </c>
      <c r="H15" s="664">
        <f t="shared" si="3"/>
        <v>9606.24</v>
      </c>
      <c r="I15" s="664">
        <f t="shared" si="4"/>
        <v>629.74239999999998</v>
      </c>
      <c r="J15" s="664">
        <f t="shared" si="5"/>
        <v>63603.982400000001</v>
      </c>
      <c r="K15" s="661" t="s">
        <v>844</v>
      </c>
      <c r="L15" s="661">
        <v>1070</v>
      </c>
      <c r="M15" s="661" t="s">
        <v>45</v>
      </c>
      <c r="N15" s="664">
        <f t="shared" si="7"/>
        <v>63604.482400000001</v>
      </c>
      <c r="O15" s="686">
        <v>43019</v>
      </c>
      <c r="P15" s="666" t="s">
        <v>103</v>
      </c>
      <c r="Q15" s="666" t="s">
        <v>847</v>
      </c>
      <c r="R15" s="965" t="s">
        <v>45</v>
      </c>
      <c r="T15" s="649"/>
    </row>
    <row r="16" spans="2:20" ht="13.5" thickBot="1">
      <c r="B16" s="660">
        <v>43012</v>
      </c>
      <c r="C16" s="661" t="s">
        <v>498</v>
      </c>
      <c r="D16" s="662" t="s">
        <v>434</v>
      </c>
      <c r="E16" s="663">
        <v>29000</v>
      </c>
      <c r="F16" s="664">
        <v>1.4</v>
      </c>
      <c r="G16" s="664">
        <f t="shared" si="2"/>
        <v>40600</v>
      </c>
      <c r="H16" s="664">
        <f t="shared" si="3"/>
        <v>7308</v>
      </c>
      <c r="I16" s="664">
        <f t="shared" si="4"/>
        <v>479.08</v>
      </c>
      <c r="J16" s="664">
        <f t="shared" si="5"/>
        <v>48387.08</v>
      </c>
      <c r="K16" s="661" t="s">
        <v>844</v>
      </c>
      <c r="L16" s="661">
        <v>1072</v>
      </c>
      <c r="M16" s="661" t="s">
        <v>45</v>
      </c>
      <c r="N16" s="664">
        <f t="shared" si="7"/>
        <v>48387.58</v>
      </c>
      <c r="O16" s="686">
        <v>43019</v>
      </c>
      <c r="P16" s="666" t="s">
        <v>103</v>
      </c>
      <c r="Q16" s="666" t="s">
        <v>847</v>
      </c>
      <c r="R16" s="965" t="s">
        <v>45</v>
      </c>
      <c r="T16" s="649"/>
    </row>
    <row r="17" spans="2:20" ht="13.5" thickBot="1">
      <c r="B17" s="660">
        <v>43017</v>
      </c>
      <c r="C17" s="661" t="s">
        <v>498</v>
      </c>
      <c r="D17" s="662" t="s">
        <v>434</v>
      </c>
      <c r="E17" s="663">
        <v>36280</v>
      </c>
      <c r="F17" s="664">
        <v>1.4</v>
      </c>
      <c r="G17" s="664">
        <f t="shared" si="2"/>
        <v>50792</v>
      </c>
      <c r="H17" s="664">
        <f t="shared" si="3"/>
        <v>9142.56</v>
      </c>
      <c r="I17" s="664">
        <f t="shared" si="4"/>
        <v>599.34559999999999</v>
      </c>
      <c r="J17" s="664">
        <f t="shared" si="5"/>
        <v>60533.905599999998</v>
      </c>
      <c r="K17" s="661" t="s">
        <v>844</v>
      </c>
      <c r="L17" s="661">
        <v>1091</v>
      </c>
      <c r="M17" s="661" t="s">
        <v>45</v>
      </c>
      <c r="N17" s="664">
        <f t="shared" si="7"/>
        <v>60534.405599999998</v>
      </c>
      <c r="O17" s="686">
        <v>43032</v>
      </c>
      <c r="P17" s="666" t="s">
        <v>103</v>
      </c>
      <c r="Q17" s="666" t="s">
        <v>847</v>
      </c>
      <c r="R17" s="965" t="s">
        <v>45</v>
      </c>
      <c r="T17" s="649"/>
    </row>
    <row r="18" spans="2:20" ht="13.5" thickBot="1">
      <c r="B18" s="660">
        <v>43028</v>
      </c>
      <c r="C18" s="661" t="s">
        <v>498</v>
      </c>
      <c r="D18" s="662" t="s">
        <v>434</v>
      </c>
      <c r="E18" s="663">
        <v>38340</v>
      </c>
      <c r="F18" s="664">
        <v>1.4</v>
      </c>
      <c r="G18" s="664">
        <f t="shared" si="2"/>
        <v>53676</v>
      </c>
      <c r="H18" s="664">
        <f t="shared" si="3"/>
        <v>9661.68</v>
      </c>
      <c r="I18" s="664">
        <f t="shared" si="4"/>
        <v>633.3768</v>
      </c>
      <c r="J18" s="664">
        <f t="shared" si="5"/>
        <v>63971.056799999998</v>
      </c>
      <c r="K18" s="661" t="s">
        <v>844</v>
      </c>
      <c r="L18" s="661">
        <v>1153</v>
      </c>
      <c r="M18" s="700" t="s">
        <v>45</v>
      </c>
      <c r="N18" s="664">
        <f>+J18+0.5</f>
        <v>63971.556799999998</v>
      </c>
      <c r="O18" s="686">
        <v>43045</v>
      </c>
      <c r="P18" s="666" t="s">
        <v>103</v>
      </c>
      <c r="Q18" s="666" t="s">
        <v>847</v>
      </c>
      <c r="R18" s="965" t="s">
        <v>45</v>
      </c>
    </row>
    <row r="19" spans="2:20" ht="13.5" thickBot="1">
      <c r="B19" s="660">
        <v>43033</v>
      </c>
      <c r="C19" s="661" t="s">
        <v>498</v>
      </c>
      <c r="D19" s="662" t="s">
        <v>434</v>
      </c>
      <c r="E19" s="663">
        <v>37200</v>
      </c>
      <c r="F19" s="664">
        <v>1.4</v>
      </c>
      <c r="G19" s="664">
        <f t="shared" si="2"/>
        <v>52080</v>
      </c>
      <c r="H19" s="664">
        <f t="shared" si="3"/>
        <v>9374.4</v>
      </c>
      <c r="I19" s="664">
        <f t="shared" si="4"/>
        <v>614.54399999999998</v>
      </c>
      <c r="J19" s="664">
        <f t="shared" si="5"/>
        <v>62068.944000000003</v>
      </c>
      <c r="K19" s="661" t="s">
        <v>844</v>
      </c>
      <c r="L19" s="661">
        <v>1162</v>
      </c>
      <c r="M19" s="724" t="s">
        <v>45</v>
      </c>
      <c r="N19" s="664">
        <v>62068.944000000003</v>
      </c>
      <c r="O19" s="686">
        <v>43054</v>
      </c>
      <c r="P19" s="666" t="s">
        <v>103</v>
      </c>
      <c r="Q19" s="666" t="s">
        <v>847</v>
      </c>
      <c r="R19" s="965" t="s">
        <v>45</v>
      </c>
    </row>
    <row r="20" spans="2:20" ht="13.5" thickBot="1">
      <c r="B20" s="660">
        <v>43040</v>
      </c>
      <c r="C20" s="661" t="s">
        <v>498</v>
      </c>
      <c r="D20" s="662" t="s">
        <v>434</v>
      </c>
      <c r="E20" s="663">
        <v>36780</v>
      </c>
      <c r="F20" s="664">
        <v>1.4</v>
      </c>
      <c r="G20" s="664">
        <f t="shared" si="2"/>
        <v>51492</v>
      </c>
      <c r="H20" s="664">
        <f t="shared" si="3"/>
        <v>9268.56</v>
      </c>
      <c r="I20" s="664">
        <f t="shared" si="4"/>
        <v>607.60559999999998</v>
      </c>
      <c r="J20" s="664">
        <f t="shared" si="5"/>
        <v>61368.1656</v>
      </c>
      <c r="K20" s="661" t="s">
        <v>844</v>
      </c>
      <c r="L20" s="661">
        <v>1265</v>
      </c>
      <c r="M20" s="871" t="s">
        <v>45</v>
      </c>
      <c r="N20" s="664">
        <v>61368.165999999997</v>
      </c>
      <c r="O20" s="686">
        <v>43077</v>
      </c>
      <c r="P20" s="666" t="s">
        <v>103</v>
      </c>
      <c r="Q20" s="666" t="s">
        <v>847</v>
      </c>
      <c r="R20" s="965" t="s">
        <v>45</v>
      </c>
    </row>
    <row r="21" spans="2:20" ht="13.5" thickBot="1">
      <c r="B21" s="660">
        <v>43047</v>
      </c>
      <c r="C21" s="661" t="s">
        <v>498</v>
      </c>
      <c r="D21" s="662" t="s">
        <v>434</v>
      </c>
      <c r="E21" s="663">
        <v>32400</v>
      </c>
      <c r="F21" s="664">
        <v>1.4</v>
      </c>
      <c r="G21" s="664">
        <f t="shared" si="2"/>
        <v>45360</v>
      </c>
      <c r="H21" s="664">
        <f t="shared" si="3"/>
        <v>8164.7999999999993</v>
      </c>
      <c r="I21" s="664">
        <f t="shared" si="4"/>
        <v>535.24800000000005</v>
      </c>
      <c r="J21" s="664">
        <f t="shared" si="5"/>
        <v>54060.048000000003</v>
      </c>
      <c r="K21" s="661" t="s">
        <v>844</v>
      </c>
      <c r="L21" s="661">
        <v>1264</v>
      </c>
      <c r="M21" s="801" t="s">
        <v>45</v>
      </c>
      <c r="N21" s="664">
        <v>54060.548000000003</v>
      </c>
      <c r="O21" s="686">
        <v>43066</v>
      </c>
      <c r="P21" s="666" t="s">
        <v>103</v>
      </c>
      <c r="Q21" s="666" t="s">
        <v>847</v>
      </c>
      <c r="R21" s="965" t="s">
        <v>45</v>
      </c>
    </row>
    <row r="22" spans="2:20" ht="13.5" thickBot="1">
      <c r="B22" s="660">
        <v>43054</v>
      </c>
      <c r="C22" s="661" t="s">
        <v>498</v>
      </c>
      <c r="D22" s="662" t="s">
        <v>434</v>
      </c>
      <c r="E22" s="663">
        <v>38780</v>
      </c>
      <c r="F22" s="664">
        <v>1.4</v>
      </c>
      <c r="G22" s="664">
        <f t="shared" si="2"/>
        <v>54292</v>
      </c>
      <c r="H22" s="664">
        <f t="shared" si="3"/>
        <v>9772.56</v>
      </c>
      <c r="I22" s="664">
        <f t="shared" si="4"/>
        <v>640.64559999999994</v>
      </c>
      <c r="J22" s="664">
        <f t="shared" si="5"/>
        <v>64705.205600000001</v>
      </c>
      <c r="K22" s="661" t="s">
        <v>844</v>
      </c>
      <c r="L22" s="661">
        <v>1263</v>
      </c>
      <c r="M22" s="801" t="s">
        <v>45</v>
      </c>
      <c r="N22" s="664">
        <v>64705.705000000002</v>
      </c>
      <c r="O22" s="686">
        <v>43061</v>
      </c>
      <c r="P22" s="666" t="s">
        <v>103</v>
      </c>
      <c r="Q22" s="666" t="s">
        <v>847</v>
      </c>
      <c r="R22" s="965" t="s">
        <v>45</v>
      </c>
    </row>
    <row r="23" spans="2:20" s="648" customFormat="1" ht="13.5" thickBot="1">
      <c r="B23" s="660">
        <v>43068</v>
      </c>
      <c r="C23" s="661" t="s">
        <v>498</v>
      </c>
      <c r="D23" s="662" t="s">
        <v>434</v>
      </c>
      <c r="E23" s="663">
        <v>37720</v>
      </c>
      <c r="F23" s="664">
        <v>1.45</v>
      </c>
      <c r="G23" s="664">
        <f t="shared" si="2"/>
        <v>54694</v>
      </c>
      <c r="H23" s="664">
        <f t="shared" si="3"/>
        <v>9844.92</v>
      </c>
      <c r="I23" s="664">
        <f t="shared" si="4"/>
        <v>645.38919999999996</v>
      </c>
      <c r="J23" s="664">
        <f t="shared" si="5"/>
        <v>65184.309199999996</v>
      </c>
      <c r="K23" s="661" t="s">
        <v>844</v>
      </c>
      <c r="L23" s="661">
        <v>1359</v>
      </c>
      <c r="M23" s="875" t="s">
        <v>45</v>
      </c>
      <c r="N23" s="664">
        <v>65184.309000000001</v>
      </c>
      <c r="O23" s="686">
        <v>43089</v>
      </c>
      <c r="P23" s="666" t="s">
        <v>103</v>
      </c>
      <c r="Q23" s="666" t="s">
        <v>847</v>
      </c>
      <c r="R23" s="965" t="s">
        <v>45</v>
      </c>
    </row>
    <row r="24" spans="2:20" ht="13.5" thickBot="1">
      <c r="B24" s="660">
        <v>43076</v>
      </c>
      <c r="C24" s="661" t="s">
        <v>498</v>
      </c>
      <c r="D24" s="662" t="s">
        <v>434</v>
      </c>
      <c r="E24" s="663">
        <v>38200</v>
      </c>
      <c r="F24" s="664">
        <v>1.45</v>
      </c>
      <c r="G24" s="664">
        <f t="shared" si="2"/>
        <v>55390</v>
      </c>
      <c r="H24" s="664">
        <f t="shared" si="3"/>
        <v>9970.1999999999989</v>
      </c>
      <c r="I24" s="664">
        <f t="shared" si="4"/>
        <v>653.60199999999998</v>
      </c>
      <c r="J24" s="664">
        <f t="shared" si="5"/>
        <v>66013.801999999996</v>
      </c>
      <c r="K24" s="661" t="s">
        <v>844</v>
      </c>
      <c r="L24" s="661">
        <v>1358</v>
      </c>
      <c r="M24" s="662" t="s">
        <v>45</v>
      </c>
      <c r="N24" s="664">
        <v>66013.801999999996</v>
      </c>
      <c r="O24" s="686">
        <v>43087</v>
      </c>
      <c r="P24" s="666" t="s">
        <v>103</v>
      </c>
      <c r="Q24" s="661" t="s">
        <v>847</v>
      </c>
      <c r="R24" s="966" t="s">
        <v>45</v>
      </c>
    </row>
    <row r="25" spans="2:20" ht="13.5" thickBot="1">
      <c r="B25" s="660">
        <v>43459</v>
      </c>
      <c r="C25" s="661" t="s">
        <v>498</v>
      </c>
      <c r="D25" s="662" t="s">
        <v>434</v>
      </c>
      <c r="E25" s="663">
        <v>34360</v>
      </c>
      <c r="F25" s="664">
        <v>1.45</v>
      </c>
      <c r="G25" s="664">
        <f t="shared" si="2"/>
        <v>49822</v>
      </c>
      <c r="H25" s="664">
        <f t="shared" si="3"/>
        <v>8967.9599999999991</v>
      </c>
      <c r="I25" s="664">
        <f t="shared" si="4"/>
        <v>587.89959999999996</v>
      </c>
      <c r="J25" s="664">
        <f t="shared" si="5"/>
        <v>59377.859599999996</v>
      </c>
      <c r="K25" s="661" t="s">
        <v>844</v>
      </c>
      <c r="L25" s="661">
        <v>1434</v>
      </c>
      <c r="M25" s="662" t="s">
        <v>45</v>
      </c>
      <c r="N25" s="664">
        <v>59377.86</v>
      </c>
      <c r="O25" s="686">
        <v>43108</v>
      </c>
      <c r="P25" s="666" t="s">
        <v>103</v>
      </c>
      <c r="Q25" s="661" t="s">
        <v>847</v>
      </c>
      <c r="R25" s="966" t="s">
        <v>45</v>
      </c>
    </row>
    <row r="26" spans="2:20" ht="13.5" thickBot="1">
      <c r="B26" s="687">
        <v>43108</v>
      </c>
      <c r="C26" s="707" t="s">
        <v>498</v>
      </c>
      <c r="D26" s="689" t="s">
        <v>434</v>
      </c>
      <c r="E26" s="688">
        <v>38660</v>
      </c>
      <c r="F26" s="690">
        <v>1.5</v>
      </c>
      <c r="G26" s="690">
        <f t="shared" si="2"/>
        <v>57990</v>
      </c>
      <c r="H26" s="690">
        <f>+G26*0.19</f>
        <v>11018.1</v>
      </c>
      <c r="I26" s="690">
        <f t="shared" si="4"/>
        <v>690.08100000000002</v>
      </c>
      <c r="J26" s="690">
        <f>+H26+G26+I26+0.6</f>
        <v>69698.781000000017</v>
      </c>
      <c r="K26" s="707"/>
      <c r="L26" s="707"/>
      <c r="M26" s="689"/>
      <c r="N26" s="690"/>
      <c r="O26" s="967"/>
      <c r="P26" s="968"/>
      <c r="Q26" s="707"/>
      <c r="R26" s="969"/>
    </row>
    <row r="28" spans="2:20">
      <c r="J28" s="647">
        <f>J26*0.985</f>
        <v>68653.299285000016</v>
      </c>
    </row>
    <row r="30" spans="2:20">
      <c r="J30" s="647">
        <v>66364.876000000004</v>
      </c>
    </row>
    <row r="31" spans="2:20">
      <c r="J31" s="647">
        <f>J30-J28</f>
        <v>-2288.4232850000117</v>
      </c>
    </row>
  </sheetData>
  <mergeCells count="10">
    <mergeCell ref="P12:P13"/>
    <mergeCell ref="Q12:Q13"/>
    <mergeCell ref="R12:R13"/>
    <mergeCell ref="M12:M13"/>
    <mergeCell ref="K3:L3"/>
    <mergeCell ref="K4:L4"/>
    <mergeCell ref="L12:L13"/>
    <mergeCell ref="K12:K13"/>
    <mergeCell ref="N12:N13"/>
    <mergeCell ref="O12:O13"/>
  </mergeCells>
  <pageMargins left="0" right="0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68"/>
  <sheetViews>
    <sheetView zoomScale="85" zoomScaleNormal="85" workbookViewId="0">
      <selection activeCell="K14" sqref="K14"/>
    </sheetView>
  </sheetViews>
  <sheetFormatPr baseColWidth="10" defaultRowHeight="19.5" customHeight="1"/>
  <cols>
    <col min="1" max="1" width="1.5703125" style="646" customWidth="1"/>
    <col min="2" max="2" width="10.85546875" style="683" bestFit="1" customWidth="1"/>
    <col min="3" max="3" width="18.85546875" style="646" bestFit="1" customWidth="1"/>
    <col min="4" max="4" width="3.85546875" style="650" bestFit="1" customWidth="1"/>
    <col min="5" max="5" width="19.140625" style="684" bestFit="1" customWidth="1"/>
    <col min="6" max="7" width="11.7109375" style="647" bestFit="1" customWidth="1"/>
    <col min="8" max="8" width="10.28515625" style="647" bestFit="1" customWidth="1"/>
    <col min="9" max="9" width="11.28515625" style="647" bestFit="1" customWidth="1"/>
    <col min="10" max="10" width="9.5703125" style="646" bestFit="1" customWidth="1"/>
    <col min="11" max="11" width="12.42578125" style="646" bestFit="1" customWidth="1"/>
    <col min="12" max="12" width="7.5703125" style="650" bestFit="1" customWidth="1"/>
    <col min="13" max="13" width="11.28515625" style="647" bestFit="1" customWidth="1"/>
    <col min="14" max="14" width="10.28515625" style="685" bestFit="1" customWidth="1"/>
    <col min="15" max="15" width="9.42578125" style="651" bestFit="1" customWidth="1"/>
    <col min="16" max="16" width="11.7109375" style="659" bestFit="1" customWidth="1"/>
    <col min="17" max="17" width="12" style="651" bestFit="1" customWidth="1"/>
    <col min="18" max="16384" width="11.42578125" style="646"/>
  </cols>
  <sheetData>
    <row r="1" spans="2:18" s="645" customFormat="1" ht="19.5" customHeight="1" thickBot="1">
      <c r="B1" s="605" t="s">
        <v>422</v>
      </c>
      <c r="C1" s="606" t="s">
        <v>423</v>
      </c>
      <c r="D1" s="606" t="s">
        <v>424</v>
      </c>
      <c r="E1" s="607" t="s">
        <v>425</v>
      </c>
      <c r="F1" s="608" t="s">
        <v>426</v>
      </c>
      <c r="G1" s="608" t="s">
        <v>428</v>
      </c>
      <c r="H1" s="608" t="s">
        <v>429</v>
      </c>
      <c r="I1" s="608" t="s">
        <v>430</v>
      </c>
      <c r="J1" s="606" t="s">
        <v>431</v>
      </c>
      <c r="K1" s="606" t="s">
        <v>432</v>
      </c>
      <c r="L1" s="606" t="s">
        <v>427</v>
      </c>
      <c r="M1" s="608" t="s">
        <v>11</v>
      </c>
      <c r="N1" s="609" t="s">
        <v>10</v>
      </c>
      <c r="O1" s="610" t="s">
        <v>433</v>
      </c>
      <c r="P1" s="610" t="s">
        <v>841</v>
      </c>
      <c r="Q1" s="644" t="s">
        <v>840</v>
      </c>
    </row>
    <row r="2" spans="2:18" s="648" customFormat="1" ht="19.5" customHeight="1" thickBot="1">
      <c r="B2" s="660">
        <v>43007</v>
      </c>
      <c r="C2" s="661" t="s">
        <v>498</v>
      </c>
      <c r="D2" s="662" t="s">
        <v>843</v>
      </c>
      <c r="E2" s="663">
        <v>33960</v>
      </c>
      <c r="F2" s="664">
        <v>1.4</v>
      </c>
      <c r="G2" s="664">
        <f>E2*F2</f>
        <v>47544</v>
      </c>
      <c r="H2" s="664">
        <f>G2*0.18</f>
        <v>8557.92</v>
      </c>
      <c r="I2" s="664">
        <f>H2+G2</f>
        <v>56101.919999999998</v>
      </c>
      <c r="J2" s="661" t="s">
        <v>844</v>
      </c>
      <c r="K2" s="661">
        <v>4172</v>
      </c>
      <c r="L2" s="662" t="s">
        <v>46</v>
      </c>
      <c r="M2" s="664">
        <v>56102.42</v>
      </c>
      <c r="N2" s="665">
        <v>43019</v>
      </c>
      <c r="O2" s="666" t="s">
        <v>103</v>
      </c>
      <c r="P2" s="667" t="s">
        <v>845</v>
      </c>
      <c r="Q2" s="668" t="s">
        <v>46</v>
      </c>
      <c r="R2" s="649"/>
    </row>
    <row r="3" spans="2:18" s="648" customFormat="1" ht="19.5" customHeight="1" thickBot="1">
      <c r="B3" s="660">
        <v>43011</v>
      </c>
      <c r="C3" s="661" t="s">
        <v>498</v>
      </c>
      <c r="D3" s="662" t="s">
        <v>843</v>
      </c>
      <c r="E3" s="663">
        <v>32880</v>
      </c>
      <c r="F3" s="664">
        <v>1.4</v>
      </c>
      <c r="G3" s="664">
        <f t="shared" ref="G3:G20" si="0">E3*F3</f>
        <v>46032</v>
      </c>
      <c r="H3" s="664">
        <f t="shared" ref="H3:H16" si="1">G3*0.18</f>
        <v>8285.76</v>
      </c>
      <c r="I3" s="664">
        <f t="shared" ref="I3:I13" si="2">H3+G3</f>
        <v>54317.760000000002</v>
      </c>
      <c r="J3" s="664" t="s">
        <v>844</v>
      </c>
      <c r="K3" s="661">
        <v>4192</v>
      </c>
      <c r="L3" s="662" t="s">
        <v>46</v>
      </c>
      <c r="M3" s="664">
        <v>54318.26</v>
      </c>
      <c r="N3" s="665">
        <v>43025</v>
      </c>
      <c r="O3" s="666" t="s">
        <v>103</v>
      </c>
      <c r="P3" s="667" t="s">
        <v>845</v>
      </c>
      <c r="Q3" s="668" t="s">
        <v>46</v>
      </c>
      <c r="R3" s="649"/>
    </row>
    <row r="4" spans="2:18" ht="19.5" customHeight="1" thickBot="1">
      <c r="B4" s="660">
        <v>43017</v>
      </c>
      <c r="C4" s="661" t="s">
        <v>498</v>
      </c>
      <c r="D4" s="662" t="s">
        <v>843</v>
      </c>
      <c r="E4" s="663">
        <v>26280</v>
      </c>
      <c r="F4" s="664">
        <v>1.4</v>
      </c>
      <c r="G4" s="664">
        <f t="shared" si="0"/>
        <v>36792</v>
      </c>
      <c r="H4" s="664">
        <f t="shared" si="1"/>
        <v>6622.5599999999995</v>
      </c>
      <c r="I4" s="664">
        <f t="shared" si="2"/>
        <v>43414.559999999998</v>
      </c>
      <c r="J4" s="661" t="s">
        <v>844</v>
      </c>
      <c r="K4" s="661">
        <v>4213</v>
      </c>
      <c r="L4" s="662" t="s">
        <v>46</v>
      </c>
      <c r="M4" s="664">
        <v>43415.06</v>
      </c>
      <c r="N4" s="669">
        <v>43031</v>
      </c>
      <c r="O4" s="666" t="s">
        <v>103</v>
      </c>
      <c r="P4" s="667" t="s">
        <v>845</v>
      </c>
      <c r="Q4" s="668" t="s">
        <v>46</v>
      </c>
      <c r="R4" s="649"/>
    </row>
    <row r="5" spans="2:18" ht="19.5" customHeight="1" thickBot="1">
      <c r="B5" s="660">
        <v>43019</v>
      </c>
      <c r="C5" s="661" t="s">
        <v>498</v>
      </c>
      <c r="D5" s="662" t="s">
        <v>843</v>
      </c>
      <c r="E5" s="663">
        <v>36890</v>
      </c>
      <c r="F5" s="664">
        <v>1.4</v>
      </c>
      <c r="G5" s="664">
        <f t="shared" si="0"/>
        <v>51646</v>
      </c>
      <c r="H5" s="664">
        <f t="shared" si="1"/>
        <v>9296.2799999999988</v>
      </c>
      <c r="I5" s="664">
        <f t="shared" si="2"/>
        <v>60942.28</v>
      </c>
      <c r="J5" s="661" t="s">
        <v>844</v>
      </c>
      <c r="K5" s="661">
        <v>1105</v>
      </c>
      <c r="L5" s="662" t="s">
        <v>45</v>
      </c>
      <c r="M5" s="664">
        <v>60942.78</v>
      </c>
      <c r="N5" s="669">
        <v>43033</v>
      </c>
      <c r="O5" s="666" t="s">
        <v>103</v>
      </c>
      <c r="P5" s="728" t="s">
        <v>845</v>
      </c>
      <c r="Q5" s="729" t="s">
        <v>45</v>
      </c>
      <c r="R5" s="649"/>
    </row>
    <row r="6" spans="2:18" ht="19.5" customHeight="1" thickBot="1">
      <c r="B6" s="660">
        <v>43024</v>
      </c>
      <c r="C6" s="661" t="s">
        <v>498</v>
      </c>
      <c r="D6" s="662" t="s">
        <v>843</v>
      </c>
      <c r="E6" s="663">
        <v>32460</v>
      </c>
      <c r="F6" s="664">
        <v>1.4</v>
      </c>
      <c r="G6" s="664">
        <f t="shared" si="0"/>
        <v>45444</v>
      </c>
      <c r="H6" s="664">
        <f t="shared" si="1"/>
        <v>8179.92</v>
      </c>
      <c r="I6" s="664">
        <f t="shared" si="2"/>
        <v>53623.92</v>
      </c>
      <c r="J6" s="664" t="s">
        <v>844</v>
      </c>
      <c r="K6" s="661">
        <v>1124</v>
      </c>
      <c r="L6" s="662" t="s">
        <v>45</v>
      </c>
      <c r="M6" s="664">
        <v>53624.42</v>
      </c>
      <c r="N6" s="665">
        <v>43048</v>
      </c>
      <c r="O6" s="666" t="s">
        <v>103</v>
      </c>
      <c r="P6" s="728" t="s">
        <v>845</v>
      </c>
      <c r="Q6" s="729" t="s">
        <v>45</v>
      </c>
      <c r="R6" s="649"/>
    </row>
    <row r="7" spans="2:18" ht="19.5" customHeight="1" thickBot="1">
      <c r="B7" s="660">
        <v>43027</v>
      </c>
      <c r="C7" s="661" t="s">
        <v>498</v>
      </c>
      <c r="D7" s="662" t="s">
        <v>843</v>
      </c>
      <c r="E7" s="663">
        <v>31480</v>
      </c>
      <c r="F7" s="664">
        <v>1.4</v>
      </c>
      <c r="G7" s="664">
        <f t="shared" si="0"/>
        <v>44072</v>
      </c>
      <c r="H7" s="664">
        <f t="shared" si="1"/>
        <v>7932.96</v>
      </c>
      <c r="I7" s="664">
        <f t="shared" si="2"/>
        <v>52004.959999999999</v>
      </c>
      <c r="J7" s="664" t="s">
        <v>844</v>
      </c>
      <c r="K7" s="661">
        <v>1118</v>
      </c>
      <c r="L7" s="662" t="s">
        <v>45</v>
      </c>
      <c r="M7" s="664">
        <v>52005.46</v>
      </c>
      <c r="N7" s="665">
        <v>43048</v>
      </c>
      <c r="O7" s="666" t="s">
        <v>103</v>
      </c>
      <c r="P7" s="728" t="s">
        <v>845</v>
      </c>
      <c r="Q7" s="729" t="s">
        <v>45</v>
      </c>
      <c r="R7" s="649"/>
    </row>
    <row r="8" spans="2:18" ht="19.5" customHeight="1" thickBot="1">
      <c r="B8" s="660">
        <v>43031</v>
      </c>
      <c r="C8" s="661" t="s">
        <v>498</v>
      </c>
      <c r="D8" s="662" t="s">
        <v>843</v>
      </c>
      <c r="E8" s="663">
        <v>28600</v>
      </c>
      <c r="F8" s="664">
        <v>1.4</v>
      </c>
      <c r="G8" s="664">
        <f t="shared" si="0"/>
        <v>40040</v>
      </c>
      <c r="H8" s="664">
        <f t="shared" si="1"/>
        <v>7207.2</v>
      </c>
      <c r="I8" s="664">
        <f t="shared" si="2"/>
        <v>47247.199999999997</v>
      </c>
      <c r="J8" s="661" t="s">
        <v>844</v>
      </c>
      <c r="K8" s="661">
        <v>1196</v>
      </c>
      <c r="L8" s="662" t="s">
        <v>45</v>
      </c>
      <c r="M8" s="664">
        <f>+I8+0.5</f>
        <v>47247.7</v>
      </c>
      <c r="N8" s="665">
        <v>43055</v>
      </c>
      <c r="O8" s="666" t="s">
        <v>103</v>
      </c>
      <c r="P8" s="728" t="s">
        <v>845</v>
      </c>
      <c r="Q8" s="729" t="s">
        <v>45</v>
      </c>
      <c r="R8" s="649"/>
    </row>
    <row r="9" spans="2:18" ht="19.5" customHeight="1" thickBot="1">
      <c r="B9" s="660">
        <v>43039</v>
      </c>
      <c r="C9" s="661" t="s">
        <v>498</v>
      </c>
      <c r="D9" s="662" t="s">
        <v>843</v>
      </c>
      <c r="E9" s="663">
        <v>32140</v>
      </c>
      <c r="F9" s="664">
        <v>1.4</v>
      </c>
      <c r="G9" s="664">
        <f t="shared" si="0"/>
        <v>44996</v>
      </c>
      <c r="H9" s="664">
        <f t="shared" si="1"/>
        <v>8099.28</v>
      </c>
      <c r="I9" s="664">
        <f t="shared" si="2"/>
        <v>53095.28</v>
      </c>
      <c r="J9" s="661" t="s">
        <v>844</v>
      </c>
      <c r="K9" s="661">
        <v>1198</v>
      </c>
      <c r="L9" s="662" t="s">
        <v>45</v>
      </c>
      <c r="M9" s="664">
        <f>+I9</f>
        <v>53095.28</v>
      </c>
      <c r="N9" s="669">
        <v>43073</v>
      </c>
      <c r="O9" s="666" t="s">
        <v>103</v>
      </c>
      <c r="P9" s="791" t="s">
        <v>845</v>
      </c>
      <c r="Q9" s="792" t="s">
        <v>45</v>
      </c>
      <c r="R9" s="649"/>
    </row>
    <row r="10" spans="2:18" ht="19.5" customHeight="1" thickBot="1">
      <c r="B10" s="660">
        <v>43042</v>
      </c>
      <c r="C10" s="661" t="s">
        <v>498</v>
      </c>
      <c r="D10" s="662" t="s">
        <v>843</v>
      </c>
      <c r="E10" s="663">
        <v>35680</v>
      </c>
      <c r="F10" s="664">
        <v>1.4</v>
      </c>
      <c r="G10" s="664">
        <f t="shared" si="0"/>
        <v>49952</v>
      </c>
      <c r="H10" s="664">
        <f t="shared" si="1"/>
        <v>8991.3599999999988</v>
      </c>
      <c r="I10" s="664">
        <f t="shared" si="2"/>
        <v>58943.360000000001</v>
      </c>
      <c r="J10" s="661" t="s">
        <v>844</v>
      </c>
      <c r="K10" s="661">
        <v>1197</v>
      </c>
      <c r="L10" s="662" t="s">
        <v>45</v>
      </c>
      <c r="M10" s="664">
        <v>58943.86</v>
      </c>
      <c r="N10" s="669">
        <v>43066</v>
      </c>
      <c r="O10" s="666" t="s">
        <v>103</v>
      </c>
      <c r="P10" s="768" t="s">
        <v>845</v>
      </c>
      <c r="Q10" s="769" t="s">
        <v>45</v>
      </c>
      <c r="R10" s="649"/>
    </row>
    <row r="11" spans="2:18" ht="19.5" customHeight="1" thickBot="1">
      <c r="B11" s="660">
        <v>43045</v>
      </c>
      <c r="C11" s="661" t="s">
        <v>498</v>
      </c>
      <c r="D11" s="662" t="s">
        <v>843</v>
      </c>
      <c r="E11" s="663">
        <v>32420</v>
      </c>
      <c r="F11" s="664">
        <v>1.4</v>
      </c>
      <c r="G11" s="664">
        <f t="shared" si="0"/>
        <v>45388</v>
      </c>
      <c r="H11" s="664">
        <f t="shared" si="1"/>
        <v>8169.84</v>
      </c>
      <c r="I11" s="664">
        <f t="shared" si="2"/>
        <v>53557.84</v>
      </c>
      <c r="J11" s="661" t="s">
        <v>844</v>
      </c>
      <c r="K11" s="661">
        <v>1195</v>
      </c>
      <c r="L11" s="662" t="s">
        <v>45</v>
      </c>
      <c r="M11" s="664">
        <v>53558.34</v>
      </c>
      <c r="N11" s="669">
        <v>43062</v>
      </c>
      <c r="O11" s="666" t="s">
        <v>103</v>
      </c>
      <c r="P11" s="768" t="s">
        <v>845</v>
      </c>
      <c r="Q11" s="769" t="s">
        <v>45</v>
      </c>
      <c r="R11" s="649"/>
    </row>
    <row r="12" spans="2:18" ht="19.5" customHeight="1" thickBot="1">
      <c r="B12" s="660">
        <v>43049</v>
      </c>
      <c r="C12" s="661" t="s">
        <v>498</v>
      </c>
      <c r="D12" s="662" t="s">
        <v>843</v>
      </c>
      <c r="E12" s="663">
        <v>35260</v>
      </c>
      <c r="F12" s="664">
        <v>1.4</v>
      </c>
      <c r="G12" s="664">
        <f t="shared" si="0"/>
        <v>49364</v>
      </c>
      <c r="H12" s="664">
        <f t="shared" si="1"/>
        <v>8885.52</v>
      </c>
      <c r="I12" s="664">
        <f t="shared" si="2"/>
        <v>58249.520000000004</v>
      </c>
      <c r="J12" s="661" t="s">
        <v>844</v>
      </c>
      <c r="K12" s="661">
        <v>1311</v>
      </c>
      <c r="L12" s="662" t="s">
        <v>45</v>
      </c>
      <c r="M12" s="664">
        <v>58250.02</v>
      </c>
      <c r="N12" s="669">
        <v>43076</v>
      </c>
      <c r="O12" s="666" t="s">
        <v>103</v>
      </c>
      <c r="P12" s="799" t="s">
        <v>845</v>
      </c>
      <c r="Q12" s="800" t="s">
        <v>45</v>
      </c>
      <c r="R12" s="649"/>
    </row>
    <row r="13" spans="2:18" ht="19.5" customHeight="1" thickBot="1">
      <c r="B13" s="660">
        <v>43056</v>
      </c>
      <c r="C13" s="661" t="s">
        <v>498</v>
      </c>
      <c r="D13" s="662" t="s">
        <v>843</v>
      </c>
      <c r="E13" s="663">
        <v>33980</v>
      </c>
      <c r="F13" s="664">
        <v>1.4</v>
      </c>
      <c r="G13" s="664">
        <f t="shared" si="0"/>
        <v>47572</v>
      </c>
      <c r="H13" s="664">
        <f t="shared" si="1"/>
        <v>8562.9599999999991</v>
      </c>
      <c r="I13" s="664">
        <f t="shared" si="2"/>
        <v>56134.96</v>
      </c>
      <c r="J13" s="661" t="s">
        <v>844</v>
      </c>
      <c r="K13" s="661">
        <v>1312</v>
      </c>
      <c r="L13" s="662" t="s">
        <v>45</v>
      </c>
      <c r="M13" s="664">
        <v>56135.46</v>
      </c>
      <c r="N13" s="669">
        <v>43080</v>
      </c>
      <c r="O13" s="666" t="s">
        <v>103</v>
      </c>
      <c r="P13" s="869" t="s">
        <v>845</v>
      </c>
      <c r="Q13" s="870" t="s">
        <v>45</v>
      </c>
      <c r="R13" s="649"/>
    </row>
    <row r="14" spans="2:18" ht="19.5" customHeight="1" thickBot="1">
      <c r="B14" s="660">
        <v>43076</v>
      </c>
      <c r="C14" s="661" t="s">
        <v>498</v>
      </c>
      <c r="D14" s="662" t="s">
        <v>843</v>
      </c>
      <c r="E14" s="663">
        <v>34560</v>
      </c>
      <c r="F14" s="664">
        <v>1.45</v>
      </c>
      <c r="G14" s="664">
        <f t="shared" si="0"/>
        <v>50112</v>
      </c>
      <c r="H14" s="664">
        <f t="shared" si="1"/>
        <v>9020.16</v>
      </c>
      <c r="I14" s="664">
        <f>H14+G14+0.5</f>
        <v>59132.66</v>
      </c>
      <c r="J14" s="661" t="s">
        <v>844</v>
      </c>
      <c r="K14" s="661">
        <v>1408</v>
      </c>
      <c r="L14" s="662" t="s">
        <v>45</v>
      </c>
      <c r="M14" s="664">
        <v>59132.66</v>
      </c>
      <c r="N14" s="669">
        <v>43094</v>
      </c>
      <c r="O14" s="666" t="s">
        <v>103</v>
      </c>
      <c r="P14" s="964" t="s">
        <v>845</v>
      </c>
      <c r="Q14" s="845" t="s">
        <v>45</v>
      </c>
      <c r="R14" s="649"/>
    </row>
    <row r="15" spans="2:18" ht="19.5" customHeight="1" thickBot="1">
      <c r="B15" s="660">
        <v>43090</v>
      </c>
      <c r="C15" s="661" t="s">
        <v>498</v>
      </c>
      <c r="D15" s="662" t="s">
        <v>843</v>
      </c>
      <c r="E15" s="663">
        <v>34160</v>
      </c>
      <c r="F15" s="664">
        <v>1.45</v>
      </c>
      <c r="G15" s="664">
        <f t="shared" si="0"/>
        <v>49532</v>
      </c>
      <c r="H15" s="664">
        <f t="shared" si="1"/>
        <v>8915.76</v>
      </c>
      <c r="I15" s="664">
        <f>H15+G15+0.5</f>
        <v>58448.26</v>
      </c>
      <c r="J15" s="661" t="s">
        <v>844</v>
      </c>
      <c r="K15" s="661">
        <v>1435</v>
      </c>
      <c r="L15" s="662" t="s">
        <v>45</v>
      </c>
      <c r="M15" s="664">
        <v>58448.26</v>
      </c>
      <c r="N15" s="669"/>
      <c r="O15" s="666" t="s">
        <v>103</v>
      </c>
      <c r="P15" s="964" t="s">
        <v>845</v>
      </c>
      <c r="Q15" s="845" t="s">
        <v>45</v>
      </c>
      <c r="R15" s="649"/>
    </row>
    <row r="16" spans="2:18" ht="19.5" customHeight="1" thickBot="1">
      <c r="B16" s="660">
        <v>43094</v>
      </c>
      <c r="C16" s="661" t="s">
        <v>498</v>
      </c>
      <c r="D16" s="662" t="s">
        <v>843</v>
      </c>
      <c r="E16" s="663">
        <v>34280</v>
      </c>
      <c r="F16" s="664">
        <v>1.45</v>
      </c>
      <c r="G16" s="664">
        <f t="shared" si="0"/>
        <v>49706</v>
      </c>
      <c r="H16" s="664">
        <f t="shared" si="1"/>
        <v>8947.08</v>
      </c>
      <c r="I16" s="664">
        <f>H16+G16+0.5</f>
        <v>58653.58</v>
      </c>
      <c r="J16" s="661" t="s">
        <v>844</v>
      </c>
      <c r="K16" s="661">
        <v>1474</v>
      </c>
      <c r="L16" s="662" t="s">
        <v>45</v>
      </c>
      <c r="M16" s="664">
        <v>58653.58</v>
      </c>
      <c r="N16" s="669"/>
      <c r="O16" s="666" t="s">
        <v>103</v>
      </c>
      <c r="P16" s="964" t="s">
        <v>845</v>
      </c>
      <c r="Q16" s="845" t="s">
        <v>45</v>
      </c>
      <c r="R16" s="649"/>
    </row>
    <row r="17" spans="2:18" ht="19.5" customHeight="1">
      <c r="B17" s="677">
        <v>43103</v>
      </c>
      <c r="C17" s="649" t="s">
        <v>498</v>
      </c>
      <c r="D17" s="678" t="s">
        <v>843</v>
      </c>
      <c r="E17" s="679">
        <v>34440</v>
      </c>
      <c r="F17" s="680">
        <v>1.5</v>
      </c>
      <c r="G17" s="680">
        <f t="shared" si="0"/>
        <v>51660</v>
      </c>
      <c r="H17" s="680">
        <f>G17*0.19</f>
        <v>9815.4</v>
      </c>
      <c r="I17" s="680">
        <f>G17+H17+0.6</f>
        <v>61476</v>
      </c>
      <c r="J17" s="649"/>
      <c r="K17" s="649"/>
      <c r="L17" s="678"/>
      <c r="M17" s="680"/>
      <c r="N17" s="681"/>
      <c r="O17" s="652"/>
      <c r="P17" s="655"/>
      <c r="Q17" s="652"/>
      <c r="R17" s="649"/>
    </row>
    <row r="18" spans="2:18" ht="19.5" customHeight="1">
      <c r="B18" s="677">
        <v>43111</v>
      </c>
      <c r="C18" s="649" t="s">
        <v>498</v>
      </c>
      <c r="D18" s="678" t="s">
        <v>843</v>
      </c>
      <c r="E18" s="679">
        <v>34920</v>
      </c>
      <c r="F18" s="680">
        <v>1.5</v>
      </c>
      <c r="G18" s="680">
        <f t="shared" si="0"/>
        <v>52380</v>
      </c>
      <c r="H18" s="680">
        <f t="shared" ref="H18:H20" si="3">G18*0.19</f>
        <v>9952.2000000000007</v>
      </c>
      <c r="I18" s="680">
        <f t="shared" ref="I18:I20" si="4">G18+H18+0.6</f>
        <v>62332.799999999996</v>
      </c>
      <c r="J18" s="649">
        <v>13</v>
      </c>
      <c r="K18" s="649"/>
      <c r="L18" s="678"/>
      <c r="M18" s="680"/>
      <c r="N18" s="681"/>
      <c r="O18" s="652"/>
      <c r="P18" s="655"/>
      <c r="Q18" s="652"/>
      <c r="R18" s="649"/>
    </row>
    <row r="19" spans="2:18" ht="19.5" customHeight="1">
      <c r="B19" s="677">
        <v>43115</v>
      </c>
      <c r="C19" s="649" t="s">
        <v>498</v>
      </c>
      <c r="D19" s="678" t="s">
        <v>843</v>
      </c>
      <c r="E19" s="679">
        <v>32600</v>
      </c>
      <c r="F19" s="680">
        <v>1.55</v>
      </c>
      <c r="G19" s="680">
        <f t="shared" si="0"/>
        <v>50530</v>
      </c>
      <c r="H19" s="680">
        <f t="shared" si="3"/>
        <v>9600.7000000000007</v>
      </c>
      <c r="I19" s="680">
        <f t="shared" si="4"/>
        <v>60131.299999999996</v>
      </c>
      <c r="J19" s="649">
        <v>15</v>
      </c>
      <c r="K19" s="649"/>
      <c r="L19" s="678"/>
      <c r="M19" s="680"/>
      <c r="N19" s="681"/>
      <c r="O19" s="652"/>
      <c r="P19" s="655"/>
      <c r="Q19" s="652"/>
      <c r="R19" s="649"/>
    </row>
    <row r="20" spans="2:18" ht="19.5" customHeight="1">
      <c r="B20" s="677">
        <v>43118</v>
      </c>
      <c r="C20" s="649" t="s">
        <v>498</v>
      </c>
      <c r="D20" s="678" t="s">
        <v>843</v>
      </c>
      <c r="E20" s="679">
        <v>33800</v>
      </c>
      <c r="F20" s="680">
        <v>1.55</v>
      </c>
      <c r="G20" s="680">
        <f t="shared" si="0"/>
        <v>52390</v>
      </c>
      <c r="H20" s="680">
        <f t="shared" si="3"/>
        <v>9954.1</v>
      </c>
      <c r="I20" s="680">
        <f t="shared" si="4"/>
        <v>62344.7</v>
      </c>
      <c r="J20" s="649">
        <v>16</v>
      </c>
      <c r="K20" s="649"/>
      <c r="L20" s="678"/>
      <c r="M20" s="680"/>
      <c r="N20" s="681"/>
      <c r="O20" s="652"/>
      <c r="P20" s="655"/>
      <c r="Q20" s="652"/>
      <c r="R20" s="649"/>
    </row>
    <row r="21" spans="2:18" ht="19.5" customHeight="1">
      <c r="B21" s="677"/>
      <c r="C21" s="649"/>
      <c r="D21" s="678"/>
      <c r="E21" s="679"/>
      <c r="F21" s="680"/>
      <c r="G21" s="680"/>
      <c r="H21" s="680"/>
      <c r="I21" s="680"/>
      <c r="J21" s="649"/>
      <c r="K21" s="649"/>
      <c r="L21" s="678"/>
      <c r="M21" s="680"/>
      <c r="N21" s="681"/>
      <c r="O21" s="652"/>
      <c r="P21" s="655"/>
      <c r="Q21" s="652"/>
      <c r="R21" s="649"/>
    </row>
    <row r="22" spans="2:18" ht="19.5" customHeight="1">
      <c r="B22" s="677"/>
      <c r="C22" s="649"/>
      <c r="D22" s="678"/>
      <c r="E22" s="679"/>
      <c r="F22" s="680"/>
      <c r="G22" s="680"/>
      <c r="H22" s="680"/>
      <c r="I22" s="680"/>
      <c r="J22" s="649"/>
      <c r="K22" s="649"/>
      <c r="L22" s="678"/>
      <c r="M22" s="680"/>
      <c r="N22" s="681"/>
      <c r="O22" s="652"/>
      <c r="P22" s="655"/>
      <c r="Q22" s="652"/>
      <c r="R22" s="649"/>
    </row>
    <row r="23" spans="2:18" ht="19.5" customHeight="1">
      <c r="B23" s="677"/>
      <c r="C23" s="649"/>
      <c r="D23" s="678"/>
      <c r="E23" s="679"/>
      <c r="F23" s="680"/>
      <c r="G23" s="680"/>
      <c r="H23" s="680"/>
      <c r="I23" s="680"/>
      <c r="J23" s="649"/>
      <c r="K23" s="649"/>
      <c r="L23" s="678"/>
      <c r="M23" s="680"/>
      <c r="N23" s="681"/>
      <c r="O23" s="652"/>
      <c r="P23" s="655"/>
      <c r="Q23" s="652"/>
      <c r="R23" s="649"/>
    </row>
    <row r="24" spans="2:18" ht="19.5" customHeight="1">
      <c r="B24" s="677"/>
      <c r="C24" s="649"/>
      <c r="D24" s="678"/>
      <c r="E24" s="679"/>
      <c r="F24" s="680"/>
      <c r="G24" s="680"/>
      <c r="H24" s="680"/>
      <c r="I24" s="680"/>
      <c r="J24" s="649"/>
      <c r="K24" s="649"/>
      <c r="L24" s="678"/>
      <c r="M24" s="680"/>
      <c r="N24" s="681"/>
      <c r="O24" s="652"/>
      <c r="P24" s="655"/>
      <c r="Q24" s="652"/>
      <c r="R24" s="649"/>
    </row>
    <row r="25" spans="2:18" ht="19.5" customHeight="1">
      <c r="B25" s="677"/>
      <c r="C25" s="649"/>
      <c r="D25" s="678"/>
      <c r="E25" s="679"/>
      <c r="F25" s="680"/>
      <c r="G25" s="680"/>
      <c r="H25" s="680"/>
      <c r="I25" s="680"/>
      <c r="J25" s="649"/>
      <c r="K25" s="649"/>
      <c r="L25" s="678"/>
      <c r="M25" s="680"/>
      <c r="N25" s="681"/>
      <c r="O25" s="652"/>
      <c r="P25" s="655"/>
      <c r="Q25" s="652"/>
      <c r="R25" s="649"/>
    </row>
    <row r="26" spans="2:18" ht="19.5" customHeight="1">
      <c r="B26" s="677"/>
      <c r="C26" s="649"/>
      <c r="D26" s="678"/>
      <c r="E26" s="679"/>
      <c r="F26" s="680"/>
      <c r="G26" s="680"/>
      <c r="H26" s="680"/>
      <c r="I26" s="680"/>
      <c r="J26" s="649"/>
      <c r="K26" s="649"/>
      <c r="L26" s="678"/>
      <c r="M26" s="680"/>
      <c r="N26" s="681"/>
      <c r="O26" s="652"/>
      <c r="P26" s="655"/>
      <c r="Q26" s="652"/>
      <c r="R26" s="649"/>
    </row>
    <row r="27" spans="2:18" ht="19.5" customHeight="1">
      <c r="B27" s="677"/>
      <c r="C27" s="649"/>
      <c r="D27" s="678"/>
      <c r="E27" s="679"/>
      <c r="F27" s="680"/>
      <c r="G27" s="680"/>
      <c r="H27" s="680"/>
      <c r="I27" s="680"/>
      <c r="J27" s="649"/>
      <c r="K27" s="649"/>
      <c r="L27" s="678"/>
      <c r="M27" s="680"/>
      <c r="N27" s="681"/>
      <c r="O27" s="652"/>
      <c r="P27" s="655"/>
      <c r="Q27" s="652"/>
      <c r="R27" s="649"/>
    </row>
    <row r="28" spans="2:18" ht="19.5" customHeight="1">
      <c r="B28" s="677"/>
      <c r="C28" s="649"/>
      <c r="D28" s="678"/>
      <c r="E28" s="679"/>
      <c r="F28" s="680"/>
      <c r="G28" s="680"/>
      <c r="H28" s="680"/>
      <c r="I28" s="680"/>
      <c r="J28" s="649"/>
      <c r="K28" s="649"/>
      <c r="L28" s="678"/>
      <c r="M28" s="680"/>
      <c r="N28" s="681"/>
      <c r="O28" s="652"/>
      <c r="P28" s="655"/>
      <c r="Q28" s="652"/>
      <c r="R28" s="649"/>
    </row>
    <row r="29" spans="2:18" ht="19.5" customHeight="1">
      <c r="B29" s="677"/>
      <c r="C29" s="649"/>
      <c r="D29" s="678"/>
      <c r="E29" s="679"/>
      <c r="F29" s="680"/>
      <c r="G29" s="680"/>
      <c r="H29" s="680"/>
      <c r="I29" s="680"/>
      <c r="J29" s="649"/>
      <c r="K29" s="649"/>
      <c r="L29" s="678"/>
      <c r="M29" s="680"/>
      <c r="N29" s="681"/>
      <c r="O29" s="652"/>
      <c r="P29" s="655"/>
      <c r="Q29" s="652"/>
      <c r="R29" s="649"/>
    </row>
    <row r="30" spans="2:18" ht="19.5" customHeight="1">
      <c r="B30" s="677"/>
      <c r="C30" s="649"/>
      <c r="D30" s="678"/>
      <c r="E30" s="679"/>
      <c r="F30" s="680"/>
      <c r="G30" s="680"/>
      <c r="H30" s="680"/>
      <c r="I30" s="680"/>
      <c r="J30" s="649"/>
      <c r="K30" s="649"/>
      <c r="L30" s="678"/>
      <c r="M30" s="680"/>
      <c r="N30" s="681"/>
      <c r="O30" s="652"/>
      <c r="P30" s="655"/>
      <c r="Q30" s="652"/>
      <c r="R30" s="649"/>
    </row>
    <row r="31" spans="2:18" ht="19.5" customHeight="1">
      <c r="B31" s="677"/>
      <c r="C31" s="649"/>
      <c r="D31" s="678"/>
      <c r="E31" s="679"/>
      <c r="F31" s="680"/>
      <c r="G31" s="680"/>
      <c r="H31" s="680"/>
      <c r="I31" s="680"/>
      <c r="J31" s="649"/>
      <c r="K31" s="649"/>
      <c r="L31" s="678"/>
      <c r="M31" s="680"/>
      <c r="N31" s="681"/>
      <c r="O31" s="652"/>
      <c r="P31" s="655"/>
      <c r="Q31" s="652"/>
      <c r="R31" s="649"/>
    </row>
    <row r="32" spans="2:18" ht="19.5" customHeight="1">
      <c r="B32" s="677"/>
      <c r="C32" s="649"/>
      <c r="D32" s="678"/>
      <c r="E32" s="679"/>
      <c r="F32" s="680"/>
      <c r="G32" s="680"/>
      <c r="H32" s="680"/>
      <c r="I32" s="680"/>
      <c r="J32" s="649"/>
      <c r="K32" s="649"/>
      <c r="L32" s="678"/>
      <c r="M32" s="680"/>
      <c r="N32" s="681"/>
      <c r="O32" s="652"/>
      <c r="P32" s="655"/>
      <c r="Q32" s="652"/>
      <c r="R32" s="649"/>
    </row>
    <row r="33" spans="2:20" ht="19.5" customHeight="1">
      <c r="B33" s="677"/>
      <c r="C33" s="649"/>
      <c r="D33" s="678"/>
      <c r="E33" s="679"/>
      <c r="F33" s="680"/>
      <c r="G33" s="680"/>
      <c r="H33" s="680"/>
      <c r="I33" s="680"/>
      <c r="J33" s="649"/>
      <c r="K33" s="649"/>
      <c r="L33" s="678"/>
      <c r="M33" s="680"/>
      <c r="N33" s="681"/>
      <c r="O33" s="652"/>
      <c r="P33" s="655"/>
      <c r="Q33" s="652"/>
      <c r="R33" s="649"/>
    </row>
    <row r="34" spans="2:20" ht="19.5" customHeight="1">
      <c r="B34" s="677"/>
      <c r="C34" s="649"/>
      <c r="D34" s="678"/>
      <c r="E34" s="679"/>
      <c r="F34" s="680"/>
      <c r="G34" s="680"/>
      <c r="H34" s="680"/>
      <c r="I34" s="680"/>
      <c r="J34" s="649"/>
      <c r="K34" s="649"/>
      <c r="L34" s="678"/>
      <c r="M34" s="680"/>
      <c r="N34" s="681"/>
      <c r="O34" s="652"/>
      <c r="P34" s="655"/>
      <c r="Q34" s="652"/>
      <c r="R34" s="649"/>
    </row>
    <row r="35" spans="2:20" ht="19.5" customHeight="1">
      <c r="B35" s="677"/>
      <c r="C35" s="649"/>
      <c r="D35" s="678"/>
      <c r="E35" s="679"/>
      <c r="F35" s="680"/>
      <c r="G35" s="680"/>
      <c r="H35" s="680"/>
      <c r="I35" s="680"/>
      <c r="J35" s="649"/>
      <c r="K35" s="649"/>
      <c r="L35" s="678"/>
      <c r="M35" s="680"/>
      <c r="N35" s="681"/>
      <c r="O35" s="652"/>
      <c r="P35" s="655"/>
      <c r="Q35" s="652"/>
      <c r="R35" s="649"/>
    </row>
    <row r="36" spans="2:20" ht="19.5" customHeight="1">
      <c r="B36" s="677"/>
      <c r="C36" s="649"/>
      <c r="D36" s="678"/>
      <c r="E36" s="679"/>
      <c r="F36" s="680"/>
      <c r="G36" s="680"/>
      <c r="H36" s="680"/>
      <c r="I36" s="680"/>
      <c r="J36" s="649"/>
      <c r="K36" s="649"/>
      <c r="L36" s="678"/>
      <c r="M36" s="680"/>
      <c r="N36" s="681"/>
      <c r="O36" s="652"/>
      <c r="P36" s="655"/>
      <c r="Q36" s="652"/>
      <c r="R36" s="649"/>
    </row>
    <row r="37" spans="2:20" ht="19.5" customHeight="1">
      <c r="B37" s="677"/>
      <c r="C37" s="649"/>
      <c r="D37" s="678"/>
      <c r="E37" s="679"/>
      <c r="F37" s="680"/>
      <c r="G37" s="680"/>
      <c r="H37" s="680"/>
      <c r="I37" s="680"/>
      <c r="J37" s="649"/>
      <c r="K37" s="649"/>
      <c r="L37" s="678"/>
      <c r="M37" s="680"/>
      <c r="N37" s="681"/>
      <c r="O37" s="652"/>
      <c r="P37" s="655"/>
      <c r="Q37" s="652"/>
      <c r="R37" s="649"/>
    </row>
    <row r="38" spans="2:20" s="648" customFormat="1" ht="19.5" customHeight="1">
      <c r="B38" s="677"/>
      <c r="C38" s="649"/>
      <c r="D38" s="678"/>
      <c r="E38" s="679"/>
      <c r="F38" s="680"/>
      <c r="G38" s="680"/>
      <c r="H38" s="680"/>
      <c r="I38" s="680"/>
      <c r="J38" s="649"/>
      <c r="K38" s="649"/>
      <c r="L38" s="678"/>
      <c r="M38" s="680"/>
      <c r="N38" s="681"/>
      <c r="O38" s="652"/>
      <c r="P38" s="655"/>
      <c r="Q38" s="652"/>
      <c r="R38" s="649"/>
    </row>
    <row r="39" spans="2:20" s="648" customFormat="1" ht="19.5" customHeight="1">
      <c r="B39" s="677"/>
      <c r="C39" s="649"/>
      <c r="D39" s="678"/>
      <c r="E39" s="679"/>
      <c r="F39" s="680"/>
      <c r="G39" s="680"/>
      <c r="H39" s="680"/>
      <c r="I39" s="680"/>
      <c r="J39" s="649"/>
      <c r="K39" s="649"/>
      <c r="L39" s="678"/>
      <c r="M39" s="680"/>
      <c r="N39" s="681"/>
      <c r="O39" s="652"/>
      <c r="P39" s="655"/>
      <c r="Q39" s="652"/>
      <c r="R39" s="649"/>
    </row>
    <row r="40" spans="2:20" s="648" customFormat="1" ht="19.5" customHeight="1">
      <c r="B40" s="677"/>
      <c r="C40" s="649"/>
      <c r="D40" s="678"/>
      <c r="E40" s="679"/>
      <c r="F40" s="680"/>
      <c r="G40" s="680"/>
      <c r="H40" s="680"/>
      <c r="I40" s="680"/>
      <c r="J40" s="649"/>
      <c r="K40" s="649"/>
      <c r="L40" s="678"/>
      <c r="M40" s="680"/>
      <c r="N40" s="681"/>
      <c r="O40" s="652"/>
      <c r="P40" s="655"/>
      <c r="Q40" s="652"/>
      <c r="R40" s="649"/>
      <c r="T40" s="682"/>
    </row>
    <row r="41" spans="2:20" s="648" customFormat="1" ht="19.5" customHeight="1">
      <c r="B41" s="677"/>
      <c r="C41" s="649"/>
      <c r="D41" s="678"/>
      <c r="E41" s="679"/>
      <c r="F41" s="680"/>
      <c r="G41" s="680"/>
      <c r="H41" s="680"/>
      <c r="I41" s="680"/>
      <c r="J41" s="649"/>
      <c r="K41" s="649"/>
      <c r="L41" s="678"/>
      <c r="M41" s="680"/>
      <c r="N41" s="681"/>
      <c r="O41" s="652"/>
      <c r="P41" s="655"/>
      <c r="Q41" s="652"/>
      <c r="R41" s="649"/>
      <c r="T41" s="682"/>
    </row>
    <row r="42" spans="2:20" s="648" customFormat="1" ht="19.5" customHeight="1">
      <c r="B42" s="677"/>
      <c r="C42" s="649"/>
      <c r="D42" s="678"/>
      <c r="E42" s="679"/>
      <c r="F42" s="680"/>
      <c r="G42" s="680"/>
      <c r="H42" s="680"/>
      <c r="I42" s="680"/>
      <c r="J42" s="649"/>
      <c r="K42" s="649"/>
      <c r="L42" s="678"/>
      <c r="M42" s="680"/>
      <c r="N42" s="681"/>
      <c r="O42" s="652"/>
      <c r="P42" s="655"/>
      <c r="Q42" s="652"/>
      <c r="R42" s="649"/>
    </row>
    <row r="43" spans="2:20" s="648" customFormat="1" ht="19.5" customHeight="1">
      <c r="B43" s="677"/>
      <c r="C43" s="649"/>
      <c r="D43" s="678"/>
      <c r="E43" s="679"/>
      <c r="F43" s="680"/>
      <c r="G43" s="680"/>
      <c r="H43" s="680"/>
      <c r="I43" s="680"/>
      <c r="J43" s="649"/>
      <c r="K43" s="649"/>
      <c r="L43" s="678"/>
      <c r="M43" s="680"/>
      <c r="N43" s="681"/>
      <c r="O43" s="652"/>
      <c r="P43" s="655"/>
      <c r="Q43" s="652"/>
      <c r="R43" s="649"/>
    </row>
    <row r="44" spans="2:20" s="648" customFormat="1" ht="19.5" customHeight="1">
      <c r="B44" s="677"/>
      <c r="C44" s="649"/>
      <c r="D44" s="678"/>
      <c r="E44" s="679"/>
      <c r="F44" s="680"/>
      <c r="G44" s="680"/>
      <c r="H44" s="680"/>
      <c r="I44" s="680"/>
      <c r="J44" s="649"/>
      <c r="K44" s="649"/>
      <c r="L44" s="678"/>
      <c r="M44" s="680"/>
      <c r="N44" s="681"/>
      <c r="O44" s="652"/>
      <c r="P44" s="655"/>
      <c r="Q44" s="652"/>
      <c r="R44" s="649"/>
    </row>
    <row r="45" spans="2:20" s="648" customFormat="1" ht="19.5" customHeight="1">
      <c r="B45" s="677"/>
      <c r="C45" s="649"/>
      <c r="D45" s="678"/>
      <c r="E45" s="679"/>
      <c r="F45" s="680"/>
      <c r="G45" s="680"/>
      <c r="H45" s="680"/>
      <c r="I45" s="680"/>
      <c r="J45" s="649"/>
      <c r="K45" s="649"/>
      <c r="L45" s="678"/>
      <c r="M45" s="680"/>
      <c r="N45" s="681"/>
      <c r="O45" s="652"/>
      <c r="P45" s="655"/>
      <c r="Q45" s="652"/>
      <c r="R45" s="649"/>
    </row>
    <row r="46" spans="2:20" s="648" customFormat="1" ht="19.5" customHeight="1">
      <c r="B46" s="677"/>
      <c r="C46" s="649"/>
      <c r="D46" s="678"/>
      <c r="E46" s="679"/>
      <c r="F46" s="680"/>
      <c r="G46" s="680"/>
      <c r="H46" s="680"/>
      <c r="I46" s="680"/>
      <c r="J46" s="649"/>
      <c r="K46" s="649"/>
      <c r="L46" s="678"/>
      <c r="M46" s="680"/>
      <c r="N46" s="681"/>
      <c r="O46" s="652"/>
      <c r="P46" s="655"/>
      <c r="Q46" s="652"/>
      <c r="R46" s="649"/>
    </row>
    <row r="47" spans="2:20" s="648" customFormat="1" ht="19.5" customHeight="1">
      <c r="B47" s="677"/>
      <c r="C47" s="649"/>
      <c r="D47" s="678"/>
      <c r="E47" s="679"/>
      <c r="F47" s="680"/>
      <c r="G47" s="680"/>
      <c r="H47" s="680"/>
      <c r="I47" s="680"/>
      <c r="J47" s="649"/>
      <c r="K47" s="649"/>
      <c r="L47" s="678"/>
      <c r="M47" s="680"/>
      <c r="N47" s="681"/>
      <c r="O47" s="652"/>
      <c r="P47" s="655"/>
      <c r="Q47" s="652"/>
      <c r="R47" s="649"/>
    </row>
    <row r="48" spans="2:20" s="648" customFormat="1" ht="19.5" customHeight="1">
      <c r="B48" s="677"/>
      <c r="C48" s="649"/>
      <c r="D48" s="678"/>
      <c r="E48" s="679"/>
      <c r="F48" s="680"/>
      <c r="G48" s="680"/>
      <c r="H48" s="680"/>
      <c r="I48" s="680"/>
      <c r="J48" s="649"/>
      <c r="K48" s="649"/>
      <c r="L48" s="678"/>
      <c r="M48" s="680"/>
      <c r="N48" s="681"/>
      <c r="O48" s="652"/>
      <c r="P48" s="655"/>
      <c r="Q48" s="652"/>
      <c r="R48" s="649"/>
    </row>
    <row r="49" spans="2:18" s="648" customFormat="1" ht="19.5" customHeight="1">
      <c r="B49" s="677"/>
      <c r="C49" s="649"/>
      <c r="D49" s="678"/>
      <c r="E49" s="679"/>
      <c r="F49" s="680"/>
      <c r="G49" s="680"/>
      <c r="H49" s="680"/>
      <c r="I49" s="680"/>
      <c r="J49" s="649"/>
      <c r="K49" s="649"/>
      <c r="L49" s="678"/>
      <c r="M49" s="680"/>
      <c r="N49" s="681"/>
      <c r="O49" s="652"/>
      <c r="P49" s="655"/>
      <c r="Q49" s="652"/>
      <c r="R49" s="649"/>
    </row>
    <row r="50" spans="2:18" s="648" customFormat="1" ht="19.5" customHeight="1">
      <c r="B50" s="677"/>
      <c r="C50" s="649"/>
      <c r="D50" s="678"/>
      <c r="E50" s="679"/>
      <c r="F50" s="680"/>
      <c r="G50" s="680"/>
      <c r="H50" s="680"/>
      <c r="I50" s="680"/>
      <c r="J50" s="649"/>
      <c r="K50" s="649"/>
      <c r="L50" s="678"/>
      <c r="M50" s="680"/>
      <c r="N50" s="681"/>
      <c r="O50" s="652"/>
      <c r="P50" s="655"/>
      <c r="Q50" s="652"/>
      <c r="R50" s="649"/>
    </row>
    <row r="51" spans="2:18" s="648" customFormat="1" ht="19.5" customHeight="1">
      <c r="B51" s="677"/>
      <c r="C51" s="649"/>
      <c r="D51" s="678"/>
      <c r="E51" s="679"/>
      <c r="F51" s="680"/>
      <c r="G51" s="680"/>
      <c r="H51" s="680"/>
      <c r="I51" s="680"/>
      <c r="J51" s="649"/>
      <c r="K51" s="649"/>
      <c r="L51" s="678"/>
      <c r="M51" s="680"/>
      <c r="N51" s="681"/>
      <c r="O51" s="652"/>
      <c r="P51" s="655"/>
      <c r="Q51" s="652"/>
      <c r="R51" s="649"/>
    </row>
    <row r="52" spans="2:18" s="648" customFormat="1" ht="19.5" customHeight="1">
      <c r="B52" s="677"/>
      <c r="C52" s="649"/>
      <c r="D52" s="678"/>
      <c r="E52" s="679"/>
      <c r="F52" s="680"/>
      <c r="G52" s="680"/>
      <c r="H52" s="680"/>
      <c r="I52" s="680"/>
      <c r="J52" s="649"/>
      <c r="K52" s="649"/>
      <c r="L52" s="678"/>
      <c r="M52" s="680"/>
      <c r="N52" s="681"/>
      <c r="O52" s="652"/>
      <c r="P52" s="655"/>
      <c r="Q52" s="652"/>
      <c r="R52" s="649"/>
    </row>
    <row r="53" spans="2:18" s="648" customFormat="1" ht="19.5" customHeight="1">
      <c r="B53" s="677"/>
      <c r="C53" s="649"/>
      <c r="D53" s="678"/>
      <c r="E53" s="679"/>
      <c r="F53" s="680"/>
      <c r="G53" s="680"/>
      <c r="H53" s="680"/>
      <c r="I53" s="680"/>
      <c r="J53" s="649"/>
      <c r="K53" s="649"/>
      <c r="L53" s="678"/>
      <c r="M53" s="680"/>
      <c r="N53" s="681"/>
      <c r="O53" s="652"/>
      <c r="P53" s="655"/>
      <c r="Q53" s="652"/>
      <c r="R53" s="649"/>
    </row>
    <row r="54" spans="2:18" s="648" customFormat="1" ht="19.5" customHeight="1">
      <c r="B54" s="677"/>
      <c r="C54" s="649"/>
      <c r="D54" s="678"/>
      <c r="E54" s="679"/>
      <c r="F54" s="680"/>
      <c r="G54" s="680"/>
      <c r="H54" s="680"/>
      <c r="I54" s="680"/>
      <c r="J54" s="649"/>
      <c r="K54" s="649"/>
      <c r="L54" s="678"/>
      <c r="M54" s="680"/>
      <c r="N54" s="681"/>
      <c r="O54" s="652"/>
      <c r="P54" s="655"/>
      <c r="Q54" s="652"/>
      <c r="R54" s="649"/>
    </row>
    <row r="55" spans="2:18" s="648" customFormat="1" ht="19.5" customHeight="1">
      <c r="B55" s="677"/>
      <c r="C55" s="649"/>
      <c r="D55" s="678"/>
      <c r="E55" s="679"/>
      <c r="F55" s="680"/>
      <c r="G55" s="680"/>
      <c r="H55" s="680"/>
      <c r="I55" s="680"/>
      <c r="J55" s="649"/>
      <c r="K55" s="649"/>
      <c r="L55" s="678"/>
      <c r="M55" s="680"/>
      <c r="N55" s="681"/>
      <c r="O55" s="652"/>
      <c r="P55" s="655"/>
      <c r="Q55" s="652"/>
      <c r="R55" s="649"/>
    </row>
    <row r="56" spans="2:18" s="648" customFormat="1" ht="19.5" customHeight="1">
      <c r="B56" s="677"/>
      <c r="C56" s="649"/>
      <c r="D56" s="678"/>
      <c r="E56" s="679"/>
      <c r="F56" s="680"/>
      <c r="G56" s="680"/>
      <c r="H56" s="680"/>
      <c r="I56" s="680"/>
      <c r="J56" s="649"/>
      <c r="K56" s="649"/>
      <c r="L56" s="678"/>
      <c r="M56" s="680"/>
      <c r="N56" s="681"/>
      <c r="O56" s="652"/>
      <c r="P56" s="655"/>
      <c r="Q56" s="652"/>
      <c r="R56" s="649"/>
    </row>
    <row r="57" spans="2:18" s="648" customFormat="1" ht="19.5" customHeight="1">
      <c r="B57" s="677"/>
      <c r="C57" s="649"/>
      <c r="D57" s="678"/>
      <c r="E57" s="679"/>
      <c r="F57" s="680"/>
      <c r="G57" s="680"/>
      <c r="H57" s="680"/>
      <c r="I57" s="680"/>
      <c r="J57" s="649"/>
      <c r="K57" s="649"/>
      <c r="L57" s="678"/>
      <c r="M57" s="680"/>
      <c r="N57" s="681"/>
      <c r="O57" s="652"/>
      <c r="P57" s="655"/>
      <c r="Q57" s="652"/>
      <c r="R57" s="649"/>
    </row>
    <row r="58" spans="2:18" s="648" customFormat="1" ht="19.5" customHeight="1">
      <c r="B58" s="677"/>
      <c r="C58" s="649"/>
      <c r="D58" s="678"/>
      <c r="E58" s="679"/>
      <c r="F58" s="680"/>
      <c r="G58" s="680"/>
      <c r="H58" s="680"/>
      <c r="I58" s="680"/>
      <c r="J58" s="649"/>
      <c r="K58" s="649"/>
      <c r="L58" s="678"/>
      <c r="M58" s="680"/>
      <c r="N58" s="681"/>
      <c r="O58" s="652"/>
      <c r="P58" s="655"/>
      <c r="Q58" s="652"/>
      <c r="R58" s="649"/>
    </row>
    <row r="59" spans="2:18" s="648" customFormat="1" ht="19.5" customHeight="1">
      <c r="B59" s="677"/>
      <c r="C59" s="649"/>
      <c r="D59" s="678"/>
      <c r="E59" s="679"/>
      <c r="F59" s="680"/>
      <c r="G59" s="680"/>
      <c r="H59" s="680"/>
      <c r="I59" s="680"/>
      <c r="J59" s="649"/>
      <c r="K59" s="649"/>
      <c r="L59" s="678"/>
      <c r="M59" s="680"/>
      <c r="N59" s="681"/>
      <c r="O59" s="652"/>
      <c r="P59" s="655"/>
      <c r="Q59" s="652"/>
      <c r="R59" s="649"/>
    </row>
    <row r="60" spans="2:18" s="648" customFormat="1" ht="19.5" customHeight="1">
      <c r="B60" s="677"/>
      <c r="C60" s="649"/>
      <c r="D60" s="678"/>
      <c r="E60" s="679"/>
      <c r="F60" s="680"/>
      <c r="G60" s="680"/>
      <c r="H60" s="680"/>
      <c r="I60" s="680"/>
      <c r="J60" s="649"/>
      <c r="K60" s="680"/>
      <c r="L60" s="678"/>
      <c r="M60" s="680"/>
      <c r="N60" s="681"/>
      <c r="O60" s="652"/>
      <c r="P60" s="655"/>
      <c r="Q60" s="652"/>
      <c r="R60" s="649"/>
    </row>
    <row r="61" spans="2:18" s="648" customFormat="1" ht="19.5" customHeight="1">
      <c r="B61" s="677"/>
      <c r="C61" s="649"/>
      <c r="D61" s="678"/>
      <c r="E61" s="679"/>
      <c r="F61" s="680"/>
      <c r="G61" s="680"/>
      <c r="H61" s="680"/>
      <c r="I61" s="680"/>
      <c r="J61" s="649"/>
      <c r="K61" s="680"/>
      <c r="L61" s="678"/>
      <c r="M61" s="680"/>
      <c r="N61" s="681"/>
      <c r="O61" s="652"/>
      <c r="P61" s="655"/>
      <c r="Q61" s="652"/>
      <c r="R61" s="649"/>
    </row>
    <row r="62" spans="2:18" ht="19.5" customHeight="1">
      <c r="B62" s="677"/>
      <c r="C62" s="649"/>
      <c r="D62" s="678"/>
      <c r="E62" s="679"/>
      <c r="F62" s="680"/>
      <c r="G62" s="680"/>
      <c r="H62" s="680"/>
      <c r="I62" s="680"/>
      <c r="J62" s="649"/>
      <c r="K62" s="649"/>
      <c r="L62" s="678"/>
      <c r="M62" s="680"/>
      <c r="N62" s="681"/>
      <c r="O62" s="652"/>
      <c r="P62" s="655"/>
      <c r="Q62" s="652"/>
      <c r="R62" s="649"/>
    </row>
    <row r="63" spans="2:18" ht="19.5" customHeight="1">
      <c r="B63" s="677"/>
      <c r="C63" s="649"/>
      <c r="D63" s="678"/>
      <c r="E63" s="679"/>
      <c r="F63" s="680"/>
      <c r="G63" s="680"/>
      <c r="H63" s="680"/>
      <c r="I63" s="680"/>
      <c r="J63" s="649"/>
      <c r="K63" s="680"/>
      <c r="L63" s="678"/>
      <c r="M63" s="680"/>
      <c r="N63" s="681"/>
      <c r="O63" s="652"/>
      <c r="P63" s="655"/>
      <c r="Q63" s="652"/>
      <c r="R63" s="649"/>
    </row>
    <row r="64" spans="2:18" ht="19.5" customHeight="1">
      <c r="B64" s="677"/>
      <c r="C64" s="649"/>
      <c r="D64" s="678"/>
      <c r="E64" s="679"/>
      <c r="F64" s="680"/>
      <c r="G64" s="680"/>
      <c r="H64" s="680"/>
      <c r="I64" s="680"/>
      <c r="J64" s="649"/>
      <c r="K64" s="680"/>
      <c r="L64" s="678"/>
      <c r="M64" s="680"/>
      <c r="N64" s="681"/>
      <c r="O64" s="652"/>
      <c r="P64" s="655"/>
      <c r="Q64" s="652"/>
      <c r="R64" s="649"/>
    </row>
    <row r="65" spans="2:18" ht="19.5" customHeight="1">
      <c r="B65" s="677"/>
      <c r="C65" s="649"/>
      <c r="D65" s="678"/>
      <c r="E65" s="679"/>
      <c r="F65" s="680"/>
      <c r="G65" s="680"/>
      <c r="H65" s="680"/>
      <c r="I65" s="680"/>
      <c r="J65" s="649"/>
      <c r="K65" s="649"/>
      <c r="L65" s="678"/>
      <c r="M65" s="680"/>
      <c r="N65" s="681"/>
      <c r="O65" s="652"/>
      <c r="P65" s="655"/>
      <c r="Q65" s="652"/>
      <c r="R65" s="649"/>
    </row>
    <row r="66" spans="2:18" s="649" customFormat="1" ht="19.5" customHeight="1">
      <c r="B66" s="677"/>
      <c r="D66" s="678"/>
      <c r="E66" s="679"/>
      <c r="F66" s="680"/>
      <c r="G66" s="680"/>
      <c r="H66" s="680"/>
      <c r="I66" s="680"/>
      <c r="L66" s="678"/>
      <c r="M66" s="680"/>
      <c r="N66" s="681"/>
      <c r="O66" s="652"/>
      <c r="P66" s="655"/>
      <c r="Q66" s="652"/>
    </row>
    <row r="67" spans="2:18" ht="19.5" customHeight="1">
      <c r="B67" s="677"/>
      <c r="C67" s="649"/>
      <c r="D67" s="678"/>
      <c r="E67" s="679"/>
      <c r="F67" s="680"/>
      <c r="G67" s="680"/>
      <c r="H67" s="680"/>
      <c r="I67" s="680"/>
      <c r="J67" s="649"/>
      <c r="K67" s="649"/>
      <c r="L67" s="678"/>
      <c r="M67" s="680"/>
      <c r="N67" s="681"/>
      <c r="O67" s="652"/>
      <c r="P67" s="655"/>
      <c r="Q67" s="652"/>
      <c r="R67" s="649"/>
    </row>
    <row r="68" spans="2:18" ht="19.5" customHeight="1">
      <c r="B68" s="677"/>
      <c r="C68" s="649"/>
      <c r="D68" s="678"/>
      <c r="E68" s="679"/>
      <c r="F68" s="680"/>
      <c r="G68" s="680"/>
      <c r="H68" s="680"/>
      <c r="I68" s="680"/>
      <c r="J68" s="649"/>
      <c r="K68" s="649"/>
      <c r="L68" s="678"/>
      <c r="M68" s="680"/>
      <c r="N68" s="681"/>
      <c r="O68" s="652"/>
      <c r="P68" s="655"/>
      <c r="Q68" s="652"/>
      <c r="R68" s="649"/>
    </row>
  </sheetData>
  <pageMargins left="0" right="0" top="0.74803149606299213" bottom="0.74803149606299213" header="0.31496062992125984" footer="0.31496062992125984"/>
  <pageSetup paperSize="9" orientation="landscape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U11"/>
  <sheetViews>
    <sheetView workbookViewId="0">
      <selection activeCell="K8" activeCellId="1" sqref="K4:K5 K8:K11"/>
    </sheetView>
  </sheetViews>
  <sheetFormatPr baseColWidth="10" defaultRowHeight="12.75"/>
  <cols>
    <col min="1" max="1" width="1.5703125" style="646" customWidth="1"/>
    <col min="2" max="2" width="11.140625" style="683" bestFit="1" customWidth="1"/>
    <col min="3" max="3" width="35.140625" style="683" bestFit="1" customWidth="1"/>
    <col min="4" max="4" width="17" style="646" bestFit="1" customWidth="1"/>
    <col min="5" max="5" width="3.42578125" style="650" bestFit="1" customWidth="1"/>
    <col min="6" max="6" width="10.28515625" style="684" bestFit="1" customWidth="1"/>
    <col min="7" max="7" width="11" style="647" bestFit="1" customWidth="1"/>
    <col min="8" max="8" width="11.140625" style="647" bestFit="1" customWidth="1"/>
    <col min="9" max="9" width="9.28515625" style="647" bestFit="1" customWidth="1"/>
    <col min="10" max="10" width="7.85546875" style="647" bestFit="1" customWidth="1"/>
    <col min="11" max="11" width="9.5703125" style="647" bestFit="1" customWidth="1"/>
    <col min="12" max="12" width="8.28515625" style="646" bestFit="1" customWidth="1"/>
    <col min="13" max="13" width="11" style="646" bestFit="1" customWidth="1"/>
    <col min="14" max="14" width="10" style="650" bestFit="1" customWidth="1"/>
    <col min="15" max="15" width="8.7109375" style="647" bestFit="1" customWidth="1"/>
    <col min="16" max="16" width="9" style="683" bestFit="1" customWidth="1"/>
    <col min="17" max="17" width="8.85546875" style="651" bestFit="1" customWidth="1"/>
    <col min="18" max="18" width="9.85546875" style="646" bestFit="1" customWidth="1"/>
    <col min="19" max="19" width="11.140625" style="646" bestFit="1" customWidth="1"/>
    <col min="20" max="16384" width="11.42578125" style="646"/>
  </cols>
  <sheetData>
    <row r="1" spans="1:21" s="645" customFormat="1" ht="26.25" thickBot="1">
      <c r="B1" s="605" t="s">
        <v>849</v>
      </c>
      <c r="C1" s="605" t="s">
        <v>121</v>
      </c>
      <c r="D1" s="606" t="s">
        <v>423</v>
      </c>
      <c r="E1" s="606" t="s">
        <v>424</v>
      </c>
      <c r="F1" s="607" t="s">
        <v>850</v>
      </c>
      <c r="G1" s="608" t="s">
        <v>426</v>
      </c>
      <c r="H1" s="608" t="s">
        <v>428</v>
      </c>
      <c r="I1" s="608" t="s">
        <v>429</v>
      </c>
      <c r="J1" s="608" t="s">
        <v>846</v>
      </c>
      <c r="K1" s="608" t="s">
        <v>430</v>
      </c>
      <c r="L1" s="606" t="s">
        <v>431</v>
      </c>
      <c r="M1" s="606" t="s">
        <v>432</v>
      </c>
      <c r="N1" s="606" t="s">
        <v>427</v>
      </c>
      <c r="O1" s="608" t="s">
        <v>11</v>
      </c>
      <c r="P1" s="605" t="s">
        <v>10</v>
      </c>
      <c r="Q1" s="610" t="s">
        <v>433</v>
      </c>
      <c r="R1" s="610" t="s">
        <v>851</v>
      </c>
      <c r="S1" s="644" t="s">
        <v>807</v>
      </c>
    </row>
    <row r="2" spans="1:21" s="649" customFormat="1" ht="18.75" customHeight="1" thickBot="1">
      <c r="B2" s="660">
        <v>42914</v>
      </c>
      <c r="C2" s="686" t="s">
        <v>847</v>
      </c>
      <c r="D2" s="661" t="s">
        <v>498</v>
      </c>
      <c r="E2" s="662" t="s">
        <v>843</v>
      </c>
      <c r="F2" s="663">
        <v>37610</v>
      </c>
      <c r="G2" s="664">
        <v>1.4</v>
      </c>
      <c r="H2" s="664">
        <f>G2*F2</f>
        <v>52654</v>
      </c>
      <c r="I2" s="664">
        <f>H2*0.18</f>
        <v>9477.7199999999993</v>
      </c>
      <c r="J2" s="664">
        <f>(H2+I2)*1%</f>
        <v>621.31720000000007</v>
      </c>
      <c r="K2" s="664">
        <f>J2+I2+H2+0.5</f>
        <v>62753.537199999999</v>
      </c>
      <c r="L2" s="661" t="s">
        <v>844</v>
      </c>
      <c r="M2" s="661">
        <v>3</v>
      </c>
      <c r="N2" s="661" t="s">
        <v>126</v>
      </c>
      <c r="O2" s="664">
        <v>62753.536999999997</v>
      </c>
      <c r="P2" s="686">
        <v>42965</v>
      </c>
      <c r="Q2" s="666" t="s">
        <v>103</v>
      </c>
      <c r="R2" s="692">
        <f>+K2-I2</f>
        <v>53275.817199999998</v>
      </c>
      <c r="S2" s="668" t="s">
        <v>852</v>
      </c>
    </row>
    <row r="3" spans="1:21" ht="18.75" customHeight="1" thickBot="1">
      <c r="B3" s="660">
        <v>42942</v>
      </c>
      <c r="C3" s="686" t="s">
        <v>847</v>
      </c>
      <c r="D3" s="661" t="s">
        <v>498</v>
      </c>
      <c r="E3" s="662" t="s">
        <v>843</v>
      </c>
      <c r="F3" s="663">
        <v>37570</v>
      </c>
      <c r="G3" s="664">
        <v>1.4</v>
      </c>
      <c r="H3" s="664">
        <f t="shared" ref="H3:H5" si="0">G3*F3</f>
        <v>52598</v>
      </c>
      <c r="I3" s="664">
        <f t="shared" ref="I3:I5" si="1">H3*0.18</f>
        <v>9467.64</v>
      </c>
      <c r="J3" s="664">
        <f t="shared" ref="J3:J5" si="2">(H3+I3)*1%</f>
        <v>620.65639999999996</v>
      </c>
      <c r="K3" s="664">
        <f t="shared" ref="K3:K5" si="3">J3+I3+H3+0.5</f>
        <v>62686.796399999999</v>
      </c>
      <c r="L3" s="661"/>
      <c r="M3" s="661"/>
      <c r="N3" s="661" t="s">
        <v>126</v>
      </c>
      <c r="O3" s="664"/>
      <c r="P3" s="686"/>
      <c r="Q3" s="666"/>
      <c r="R3" s="666"/>
      <c r="S3" s="874"/>
      <c r="U3" s="649"/>
    </row>
    <row r="4" spans="1:21" ht="18.75" customHeight="1" thickBot="1">
      <c r="B4" s="670">
        <v>42958</v>
      </c>
      <c r="C4" s="691" t="s">
        <v>847</v>
      </c>
      <c r="D4" s="671" t="s">
        <v>498</v>
      </c>
      <c r="E4" s="672" t="s">
        <v>843</v>
      </c>
      <c r="F4" s="673">
        <v>35900</v>
      </c>
      <c r="G4" s="674">
        <v>1.4</v>
      </c>
      <c r="H4" s="674">
        <f t="shared" si="0"/>
        <v>50260</v>
      </c>
      <c r="I4" s="674">
        <f t="shared" si="1"/>
        <v>9046.7999999999993</v>
      </c>
      <c r="J4" s="674">
        <f t="shared" si="2"/>
        <v>593.0680000000001</v>
      </c>
      <c r="K4" s="674">
        <f t="shared" si="3"/>
        <v>59900.368000000002</v>
      </c>
      <c r="L4" s="671"/>
      <c r="M4" s="671"/>
      <c r="N4" s="671" t="s">
        <v>115</v>
      </c>
      <c r="O4" s="674"/>
      <c r="P4" s="691"/>
      <c r="Q4" s="675"/>
      <c r="R4" s="675"/>
      <c r="S4" s="676"/>
      <c r="U4" s="649"/>
    </row>
    <row r="5" spans="1:21" ht="18.75" customHeight="1" thickBot="1">
      <c r="B5" s="670">
        <v>42972</v>
      </c>
      <c r="C5" s="691" t="s">
        <v>847</v>
      </c>
      <c r="D5" s="671" t="s">
        <v>498</v>
      </c>
      <c r="E5" s="672" t="s">
        <v>843</v>
      </c>
      <c r="F5" s="673">
        <v>37400</v>
      </c>
      <c r="G5" s="674">
        <v>1.4</v>
      </c>
      <c r="H5" s="674">
        <f t="shared" si="0"/>
        <v>52360</v>
      </c>
      <c r="I5" s="674">
        <f t="shared" si="1"/>
        <v>9424.7999999999993</v>
      </c>
      <c r="J5" s="674">
        <f t="shared" si="2"/>
        <v>617.84800000000007</v>
      </c>
      <c r="K5" s="674">
        <f t="shared" si="3"/>
        <v>62403.148000000001</v>
      </c>
      <c r="L5" s="671"/>
      <c r="M5" s="671"/>
      <c r="N5" s="671" t="s">
        <v>115</v>
      </c>
      <c r="O5" s="674"/>
      <c r="P5" s="691"/>
      <c r="Q5" s="675"/>
      <c r="R5" s="675"/>
      <c r="S5" s="676"/>
      <c r="U5" s="649"/>
    </row>
    <row r="6" spans="1:21" ht="18.75" customHeight="1" thickBot="1">
      <c r="B6" s="660">
        <v>43036</v>
      </c>
      <c r="C6" s="686" t="s">
        <v>847</v>
      </c>
      <c r="D6" s="661" t="s">
        <v>498</v>
      </c>
      <c r="E6" s="662" t="s">
        <v>843</v>
      </c>
      <c r="F6" s="663">
        <v>38100</v>
      </c>
      <c r="G6" s="664">
        <v>1.4</v>
      </c>
      <c r="H6" s="664">
        <f t="shared" ref="H6" si="4">G6*F6</f>
        <v>53340</v>
      </c>
      <c r="I6" s="664">
        <f t="shared" ref="I6" si="5">H6*0.18</f>
        <v>9601.1999999999989</v>
      </c>
      <c r="J6" s="664">
        <f t="shared" ref="J6" si="6">(H6+I6)*1%</f>
        <v>629.41200000000003</v>
      </c>
      <c r="K6" s="664">
        <f t="shared" ref="K6" si="7">J6+I6+H6+0.5</f>
        <v>63571.112000000001</v>
      </c>
      <c r="L6" s="661"/>
      <c r="M6" s="661"/>
      <c r="N6" s="661" t="s">
        <v>126</v>
      </c>
      <c r="O6" s="664"/>
      <c r="P6" s="686"/>
      <c r="Q6" s="666"/>
      <c r="R6" s="666"/>
      <c r="S6" s="874"/>
      <c r="U6" s="649"/>
    </row>
    <row r="7" spans="1:21" ht="18.75" customHeight="1" thickBot="1">
      <c r="B7" s="660">
        <v>43039</v>
      </c>
      <c r="C7" s="686" t="s">
        <v>847</v>
      </c>
      <c r="D7" s="661" t="s">
        <v>498</v>
      </c>
      <c r="E7" s="662" t="s">
        <v>843</v>
      </c>
      <c r="F7" s="663">
        <v>36740</v>
      </c>
      <c r="G7" s="664">
        <v>1.4</v>
      </c>
      <c r="H7" s="664">
        <f t="shared" ref="H7:H9" si="8">G7*F7</f>
        <v>51436</v>
      </c>
      <c r="I7" s="664">
        <f t="shared" ref="I7:I9" si="9">H7*0.18</f>
        <v>9258.48</v>
      </c>
      <c r="J7" s="664">
        <f t="shared" ref="J7:J9" si="10">(H7+I7)*1%</f>
        <v>606.94479999999999</v>
      </c>
      <c r="K7" s="664">
        <f t="shared" ref="K7:K9" si="11">J7+I7+H7+0.5</f>
        <v>61301.924800000001</v>
      </c>
      <c r="L7" s="661"/>
      <c r="M7" s="661"/>
      <c r="N7" s="661" t="s">
        <v>126</v>
      </c>
      <c r="O7" s="664"/>
      <c r="P7" s="686"/>
      <c r="Q7" s="666"/>
      <c r="R7" s="666"/>
      <c r="S7" s="874"/>
      <c r="U7" s="649"/>
    </row>
    <row r="8" spans="1:21">
      <c r="B8" s="683">
        <v>43095</v>
      </c>
      <c r="C8" s="683" t="s">
        <v>847</v>
      </c>
      <c r="D8" s="646" t="s">
        <v>498</v>
      </c>
      <c r="E8" s="650" t="s">
        <v>843</v>
      </c>
      <c r="F8" s="684">
        <v>36100</v>
      </c>
      <c r="G8" s="647">
        <v>1.45</v>
      </c>
      <c r="H8" s="647">
        <f t="shared" si="8"/>
        <v>52345</v>
      </c>
      <c r="I8" s="647">
        <f t="shared" si="9"/>
        <v>9422.1</v>
      </c>
      <c r="J8" s="647">
        <f t="shared" si="10"/>
        <v>617.67100000000005</v>
      </c>
      <c r="K8" s="647">
        <f t="shared" si="11"/>
        <v>62385.271000000001</v>
      </c>
      <c r="N8" s="650" t="s">
        <v>126</v>
      </c>
    </row>
    <row r="9" spans="1:21">
      <c r="B9" s="683">
        <v>43463</v>
      </c>
      <c r="C9" s="683" t="s">
        <v>847</v>
      </c>
      <c r="D9" s="646" t="s">
        <v>498</v>
      </c>
      <c r="E9" s="650" t="s">
        <v>843</v>
      </c>
      <c r="F9" s="684">
        <v>34540</v>
      </c>
      <c r="G9" s="647">
        <v>1.45</v>
      </c>
      <c r="H9" s="647">
        <f t="shared" si="8"/>
        <v>50083</v>
      </c>
      <c r="I9" s="647">
        <f t="shared" si="9"/>
        <v>9014.94</v>
      </c>
      <c r="J9" s="647">
        <f t="shared" si="10"/>
        <v>590.97940000000006</v>
      </c>
      <c r="K9" s="647">
        <f t="shared" si="11"/>
        <v>59689.419399999999</v>
      </c>
      <c r="N9" s="650" t="s">
        <v>126</v>
      </c>
      <c r="P9" s="683" t="s">
        <v>495</v>
      </c>
    </row>
    <row r="10" spans="1:21" s="26" customFormat="1">
      <c r="A10" s="4"/>
      <c r="B10" s="970">
        <v>43054</v>
      </c>
      <c r="C10" s="956" t="s">
        <v>498</v>
      </c>
      <c r="D10" s="971" t="s">
        <v>434</v>
      </c>
      <c r="F10" s="972">
        <v>33600</v>
      </c>
      <c r="G10" s="727">
        <v>1.45</v>
      </c>
      <c r="H10" s="727">
        <f>+F10*G10</f>
        <v>48720</v>
      </c>
      <c r="I10" s="727">
        <f>+H10*0.18</f>
        <v>8769.6</v>
      </c>
      <c r="J10" s="26">
        <v>0</v>
      </c>
      <c r="K10" s="727">
        <f>+I10+H10+0.5</f>
        <v>57490.1</v>
      </c>
      <c r="L10" s="956" t="s">
        <v>1091</v>
      </c>
      <c r="N10" s="725" t="s">
        <v>126</v>
      </c>
      <c r="O10" s="587"/>
      <c r="P10" s="656"/>
      <c r="Q10" s="651"/>
    </row>
    <row r="11" spans="1:21" s="26" customFormat="1">
      <c r="A11" s="4"/>
      <c r="B11" s="970">
        <v>43068</v>
      </c>
      <c r="C11" s="956" t="s">
        <v>498</v>
      </c>
      <c r="D11" s="971" t="s">
        <v>434</v>
      </c>
      <c r="F11" s="972">
        <v>32800</v>
      </c>
      <c r="G11" s="955">
        <v>1.45</v>
      </c>
      <c r="H11" s="955">
        <f>+F11*G11</f>
        <v>47560</v>
      </c>
      <c r="I11" s="955">
        <f>+H11*0.18</f>
        <v>8560.7999999999993</v>
      </c>
      <c r="J11" s="26">
        <v>0</v>
      </c>
      <c r="K11" s="955">
        <f>+I11+H11+0.5</f>
        <v>56121.3</v>
      </c>
      <c r="L11" s="956" t="s">
        <v>1091</v>
      </c>
      <c r="N11" s="725" t="s">
        <v>126</v>
      </c>
      <c r="O11" s="587"/>
      <c r="P11" s="656"/>
      <c r="Q11" s="651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2:G27"/>
  <sheetViews>
    <sheetView tabSelected="1" workbookViewId="0">
      <selection activeCell="B8" sqref="B8"/>
    </sheetView>
  </sheetViews>
  <sheetFormatPr baseColWidth="10" defaultRowHeight="15"/>
  <cols>
    <col min="1" max="1" width="21.28515625" bestFit="1" customWidth="1"/>
    <col min="2" max="2" width="11" style="49" bestFit="1" customWidth="1"/>
    <col min="3" max="3" width="13.140625" bestFit="1" customWidth="1"/>
    <col min="4" max="4" width="11" style="49" bestFit="1" customWidth="1"/>
    <col min="5" max="5" width="11.42578125" style="49"/>
  </cols>
  <sheetData>
    <row r="2" spans="1:7">
      <c r="A2" t="s">
        <v>983</v>
      </c>
    </row>
    <row r="3" spans="1:7">
      <c r="A3" t="s">
        <v>984</v>
      </c>
      <c r="B3" s="49">
        <v>82353.308999999994</v>
      </c>
    </row>
    <row r="4" spans="1:7">
      <c r="A4" t="s">
        <v>998</v>
      </c>
      <c r="B4" s="49">
        <v>160892.139</v>
      </c>
    </row>
    <row r="5" spans="1:7">
      <c r="A5" t="s">
        <v>997</v>
      </c>
      <c r="B5" s="49">
        <v>123466.409</v>
      </c>
    </row>
    <row r="6" spans="1:7" s="798" customFormat="1">
      <c r="A6" s="798" t="s">
        <v>1362</v>
      </c>
      <c r="B6" s="49">
        <v>71700.870999999999</v>
      </c>
      <c r="D6" s="49"/>
      <c r="E6" s="49"/>
    </row>
    <row r="7" spans="1:7" s="798" customFormat="1">
      <c r="A7" s="798" t="s">
        <v>1379</v>
      </c>
      <c r="B7" s="49">
        <v>66202.448999999993</v>
      </c>
      <c r="D7" s="49"/>
      <c r="E7" s="49"/>
    </row>
    <row r="8" spans="1:7" s="798" customFormat="1">
      <c r="A8" s="798" t="s">
        <v>1407</v>
      </c>
      <c r="B8" s="49">
        <v>71065.41</v>
      </c>
      <c r="D8" s="49"/>
      <c r="E8" s="49"/>
    </row>
    <row r="9" spans="1:7" s="111" customFormat="1">
      <c r="A9" s="111" t="s">
        <v>78</v>
      </c>
      <c r="B9" s="767">
        <f>SUM(B3:B8)</f>
        <v>575680.58699999994</v>
      </c>
      <c r="D9" s="767"/>
      <c r="E9" s="767"/>
    </row>
    <row r="10" spans="1:7">
      <c r="A10" t="s">
        <v>985</v>
      </c>
      <c r="B10" s="49">
        <f>+B9*0.1</f>
        <v>57568.058699999994</v>
      </c>
    </row>
    <row r="11" spans="1:7" s="111" customFormat="1">
      <c r="A11" s="111" t="s">
        <v>986</v>
      </c>
      <c r="B11" s="767">
        <f>+B9-B10</f>
        <v>518112.52829999995</v>
      </c>
      <c r="D11" s="767"/>
      <c r="E11" s="767"/>
    </row>
    <row r="12" spans="1:7" s="111" customFormat="1" ht="6.75" customHeight="1">
      <c r="B12" s="767"/>
      <c r="D12" s="767"/>
      <c r="E12" s="767"/>
    </row>
    <row r="13" spans="1:7">
      <c r="A13" t="s">
        <v>987</v>
      </c>
    </row>
    <row r="14" spans="1:7" s="798" customFormat="1">
      <c r="A14" s="109">
        <v>42828</v>
      </c>
      <c r="B14" s="49" t="s">
        <v>1408</v>
      </c>
      <c r="C14" s="798" t="s">
        <v>989</v>
      </c>
      <c r="D14" s="49">
        <v>49250</v>
      </c>
      <c r="E14" s="49">
        <f t="shared" ref="E14:E17" si="0">+D14/0.985</f>
        <v>50000</v>
      </c>
    </row>
    <row r="15" spans="1:7">
      <c r="A15" s="109">
        <v>42947</v>
      </c>
      <c r="B15" s="49" t="s">
        <v>988</v>
      </c>
      <c r="C15" t="s">
        <v>989</v>
      </c>
      <c r="D15" s="49">
        <v>32447.45</v>
      </c>
      <c r="E15" s="49">
        <f t="shared" si="0"/>
        <v>32941.573604060912</v>
      </c>
      <c r="G15" s="49"/>
    </row>
    <row r="16" spans="1:7">
      <c r="A16" s="109">
        <v>42971</v>
      </c>
      <c r="B16" s="49" t="s">
        <v>990</v>
      </c>
      <c r="C16" t="s">
        <v>991</v>
      </c>
      <c r="D16" s="49">
        <v>45000</v>
      </c>
      <c r="E16" s="49">
        <f t="shared" si="0"/>
        <v>45685.279187817257</v>
      </c>
    </row>
    <row r="17" spans="1:7">
      <c r="A17" s="109">
        <v>42972</v>
      </c>
      <c r="B17" s="49" t="s">
        <v>992</v>
      </c>
      <c r="C17" t="s">
        <v>991</v>
      </c>
      <c r="D17" s="49">
        <v>54000</v>
      </c>
      <c r="E17" s="49">
        <f t="shared" si="0"/>
        <v>54822.335025380715</v>
      </c>
    </row>
    <row r="18" spans="1:7">
      <c r="A18" s="109">
        <v>43004</v>
      </c>
      <c r="B18" s="49" t="s">
        <v>993</v>
      </c>
      <c r="C18" t="s">
        <v>991</v>
      </c>
      <c r="D18" s="49">
        <v>32450</v>
      </c>
      <c r="E18" s="49">
        <f>+D18/0.985</f>
        <v>32944.16243654822</v>
      </c>
    </row>
    <row r="19" spans="1:7">
      <c r="A19" s="109">
        <v>43034</v>
      </c>
      <c r="B19" s="49" t="s">
        <v>994</v>
      </c>
      <c r="C19" t="s">
        <v>989</v>
      </c>
      <c r="D19" s="49">
        <v>39400</v>
      </c>
      <c r="E19" s="49">
        <v>40000</v>
      </c>
      <c r="G19" s="49"/>
    </row>
    <row r="20" spans="1:7" s="798" customFormat="1">
      <c r="A20" s="109">
        <v>43073</v>
      </c>
      <c r="B20" s="49" t="s">
        <v>1364</v>
      </c>
      <c r="C20" s="798" t="s">
        <v>989</v>
      </c>
      <c r="D20" s="49">
        <v>68950</v>
      </c>
      <c r="E20" s="49">
        <f>+D20/0.985</f>
        <v>70000</v>
      </c>
      <c r="G20" s="49"/>
    </row>
    <row r="21" spans="1:7" s="798" customFormat="1">
      <c r="A21" s="109">
        <v>43111</v>
      </c>
      <c r="B21" s="49" t="s">
        <v>1363</v>
      </c>
      <c r="C21" s="798" t="s">
        <v>989</v>
      </c>
      <c r="D21" s="49">
        <v>39400</v>
      </c>
      <c r="E21" s="49">
        <v>40000</v>
      </c>
    </row>
    <row r="22" spans="1:7" s="798" customFormat="1">
      <c r="A22" s="109">
        <v>43210</v>
      </c>
      <c r="B22" s="49" t="s">
        <v>1380</v>
      </c>
      <c r="C22" s="798" t="s">
        <v>989</v>
      </c>
      <c r="D22" s="49">
        <v>59100</v>
      </c>
      <c r="E22" s="49">
        <f>+D22/0.985</f>
        <v>60000</v>
      </c>
    </row>
    <row r="23" spans="1:7" s="798" customFormat="1">
      <c r="A23" s="109">
        <v>43280</v>
      </c>
      <c r="B23" s="49" t="s">
        <v>1406</v>
      </c>
      <c r="C23" s="798" t="s">
        <v>989</v>
      </c>
      <c r="D23" s="49">
        <v>29500</v>
      </c>
      <c r="E23" s="49">
        <f>+D23/0.985</f>
        <v>29949.238578680204</v>
      </c>
    </row>
    <row r="24" spans="1:7">
      <c r="A24" s="1083" t="s">
        <v>995</v>
      </c>
      <c r="B24" s="1083"/>
      <c r="C24" s="1083"/>
      <c r="D24" s="767">
        <f>SUM(D14:D23)</f>
        <v>449497.45</v>
      </c>
      <c r="E24" s="767">
        <f>SUM(E14:E23)</f>
        <v>456342.58883248729</v>
      </c>
    </row>
    <row r="25" spans="1:7" ht="7.5" customHeight="1"/>
    <row r="26" spans="1:7">
      <c r="A26" s="1083" t="s">
        <v>996</v>
      </c>
      <c r="B26" s="1083"/>
      <c r="C26" s="1083"/>
      <c r="D26" s="1083"/>
      <c r="E26" s="767">
        <f>+B11-E24</f>
        <v>61769.939467512653</v>
      </c>
    </row>
    <row r="27" spans="1:7">
      <c r="A27" s="1084"/>
      <c r="B27" s="1084"/>
      <c r="C27" s="1084"/>
    </row>
  </sheetData>
  <mergeCells count="3">
    <mergeCell ref="A24:C24"/>
    <mergeCell ref="A27:C27"/>
    <mergeCell ref="A26:D26"/>
  </mergeCells>
  <pageMargins left="0.7" right="0.7" top="0.75" bottom="0.75" header="0.3" footer="0.3"/>
  <pageSetup paperSize="9" orientation="portrait" horizontalDpi="180" verticalDpi="18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2:I23"/>
  <sheetViews>
    <sheetView workbookViewId="0">
      <selection activeCell="A6" sqref="A6:C6"/>
    </sheetView>
  </sheetViews>
  <sheetFormatPr baseColWidth="10" defaultRowHeight="15"/>
  <cols>
    <col min="3" max="3" width="11.42578125" style="49"/>
    <col min="4" max="4" width="3.140625" customWidth="1"/>
    <col min="6" max="6" width="12.42578125" style="847" bestFit="1" customWidth="1"/>
    <col min="9" max="9" width="11.42578125" style="49"/>
  </cols>
  <sheetData>
    <row r="2" spans="1:9">
      <c r="A2" t="s">
        <v>1057</v>
      </c>
      <c r="B2" s="109">
        <v>42766</v>
      </c>
      <c r="C2" s="49">
        <v>424800.5</v>
      </c>
      <c r="E2" s="773"/>
      <c r="F2" s="847">
        <v>50000</v>
      </c>
      <c r="I2" s="49">
        <v>100000</v>
      </c>
    </row>
    <row r="3" spans="1:9">
      <c r="A3" s="788" t="s">
        <v>1056</v>
      </c>
      <c r="B3" s="789">
        <v>42822</v>
      </c>
      <c r="C3" s="790"/>
      <c r="E3" s="773"/>
      <c r="F3" s="847">
        <v>10000</v>
      </c>
      <c r="I3" s="49">
        <v>100000</v>
      </c>
    </row>
    <row r="4" spans="1:9">
      <c r="A4" s="788" t="s">
        <v>1055</v>
      </c>
      <c r="B4" s="789">
        <v>42849</v>
      </c>
      <c r="C4" s="790"/>
      <c r="E4" s="773"/>
      <c r="F4" s="847">
        <v>10000</v>
      </c>
      <c r="I4" s="49">
        <v>50000</v>
      </c>
    </row>
    <row r="5" spans="1:9">
      <c r="A5" t="s">
        <v>1054</v>
      </c>
      <c r="B5" s="109">
        <v>43019</v>
      </c>
      <c r="C5" s="49">
        <v>95934.5</v>
      </c>
      <c r="E5" s="773"/>
      <c r="F5" s="847">
        <v>40000</v>
      </c>
      <c r="I5" s="49">
        <v>20000</v>
      </c>
    </row>
    <row r="6" spans="1:9">
      <c r="A6" t="s">
        <v>1058</v>
      </c>
      <c r="B6" s="109">
        <v>43028</v>
      </c>
      <c r="C6" s="49">
        <v>63248.5</v>
      </c>
      <c r="E6" s="773"/>
      <c r="F6" s="872">
        <v>20000</v>
      </c>
      <c r="I6" s="49">
        <v>20000</v>
      </c>
    </row>
    <row r="7" spans="1:9" s="111" customFormat="1">
      <c r="A7" s="1083" t="s">
        <v>78</v>
      </c>
      <c r="B7" s="1083"/>
      <c r="C7" s="767">
        <f>SUM(C2:C6)</f>
        <v>583983.5</v>
      </c>
      <c r="F7" s="847">
        <v>100000</v>
      </c>
      <c r="I7" s="767">
        <v>50000</v>
      </c>
    </row>
    <row r="8" spans="1:9">
      <c r="E8" s="773"/>
      <c r="F8" s="847">
        <v>10000</v>
      </c>
      <c r="I8" s="49">
        <v>40000</v>
      </c>
    </row>
    <row r="9" spans="1:9">
      <c r="E9" s="773"/>
      <c r="F9" s="847">
        <v>10000</v>
      </c>
      <c r="I9" s="49">
        <v>50000</v>
      </c>
    </row>
    <row r="10" spans="1:9">
      <c r="E10" s="773"/>
      <c r="F10" s="847">
        <v>50000</v>
      </c>
      <c r="I10" s="49">
        <v>10000</v>
      </c>
    </row>
    <row r="11" spans="1:9">
      <c r="E11" s="773"/>
      <c r="F11" s="847">
        <v>20000</v>
      </c>
      <c r="I11" s="49">
        <v>50000</v>
      </c>
    </row>
    <row r="12" spans="1:9">
      <c r="E12" s="773"/>
      <c r="F12" s="847">
        <v>50000</v>
      </c>
      <c r="I12" s="49">
        <v>100000</v>
      </c>
    </row>
    <row r="13" spans="1:9">
      <c r="E13" s="773"/>
      <c r="F13" s="847">
        <v>50000</v>
      </c>
    </row>
    <row r="14" spans="1:9">
      <c r="E14" s="773"/>
      <c r="F14" s="847">
        <v>20000</v>
      </c>
    </row>
    <row r="15" spans="1:9">
      <c r="E15" s="773"/>
      <c r="F15" s="847">
        <v>20000</v>
      </c>
    </row>
    <row r="16" spans="1:9">
      <c r="F16" s="847">
        <v>50000</v>
      </c>
    </row>
    <row r="17" spans="3:9">
      <c r="E17" s="773"/>
      <c r="F17" s="847">
        <v>100000</v>
      </c>
    </row>
    <row r="18" spans="3:9">
      <c r="F18" s="847">
        <v>100000</v>
      </c>
    </row>
    <row r="19" spans="3:9" s="798" customFormat="1">
      <c r="C19" s="49"/>
      <c r="F19" s="847">
        <v>100000</v>
      </c>
      <c r="I19" s="49"/>
    </row>
    <row r="20" spans="3:9">
      <c r="E20" s="771"/>
      <c r="F20" s="944">
        <f>SUM(F2:F19)</f>
        <v>810000</v>
      </c>
      <c r="I20" s="49">
        <f>SUM(I2:I19)</f>
        <v>590000</v>
      </c>
    </row>
    <row r="21" spans="3:9">
      <c r="E21" s="798"/>
      <c r="F21" s="943">
        <f>F20-C7</f>
        <v>226016.5</v>
      </c>
    </row>
    <row r="22" spans="3:9">
      <c r="E22" s="771"/>
    </row>
    <row r="23" spans="3:9" s="798" customFormat="1">
      <c r="C23" s="49"/>
      <c r="E23" s="771"/>
      <c r="F23" s="847"/>
      <c r="I23" s="49"/>
    </row>
  </sheetData>
  <sortState ref="A2:C6">
    <sortCondition ref="A2:A6"/>
  </sortState>
  <mergeCells count="1">
    <mergeCell ref="A7:B7"/>
  </mergeCells>
  <pageMargins left="0.7" right="0.7" top="0.75" bottom="0.75" header="0.3" footer="0.3"/>
  <pageSetup paperSize="9" orientation="portrait" horizontalDpi="180" verticalDpi="18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69"/>
  <sheetViews>
    <sheetView workbookViewId="0">
      <selection activeCell="B29" activeCellId="1" sqref="B27 B29"/>
    </sheetView>
  </sheetViews>
  <sheetFormatPr baseColWidth="10" defaultRowHeight="15"/>
  <cols>
    <col min="1" max="1" width="15.7109375" style="114" customWidth="1"/>
    <col min="2" max="2" width="15.7109375" style="847" customWidth="1"/>
    <col min="3" max="3" width="15.7109375" style="114" customWidth="1"/>
    <col min="4" max="4" width="15.7109375" style="847" customWidth="1"/>
    <col min="5" max="5" width="3.28515625" style="114" customWidth="1"/>
    <col min="6" max="9" width="15.7109375" style="114" customWidth="1"/>
    <col min="10" max="10" width="2.85546875" style="114" customWidth="1"/>
    <col min="11" max="14" width="15.7109375" style="114" customWidth="1"/>
    <col min="15" max="15" width="4.140625" style="114" customWidth="1"/>
    <col min="16" max="19" width="15.7109375" style="114" customWidth="1"/>
    <col min="20" max="16384" width="11.42578125" style="114"/>
  </cols>
  <sheetData>
    <row r="1" spans="1:19">
      <c r="A1" s="1085" t="s">
        <v>115</v>
      </c>
      <c r="B1" s="1086"/>
      <c r="C1" s="1086"/>
      <c r="D1" s="1087"/>
      <c r="F1" s="1085" t="s">
        <v>45</v>
      </c>
      <c r="G1" s="1086"/>
      <c r="H1" s="1086"/>
      <c r="I1" s="1087"/>
      <c r="K1" s="1085" t="s">
        <v>123</v>
      </c>
      <c r="L1" s="1086"/>
      <c r="M1" s="1086"/>
      <c r="N1" s="1087"/>
      <c r="P1" s="1085" t="s">
        <v>1075</v>
      </c>
      <c r="Q1" s="1086"/>
      <c r="R1" s="1086"/>
      <c r="S1" s="1087"/>
    </row>
    <row r="2" spans="1:19">
      <c r="A2" s="849"/>
      <c r="B2" s="850"/>
      <c r="C2" s="851"/>
      <c r="D2" s="852"/>
      <c r="F2" s="849"/>
      <c r="G2" s="850"/>
      <c r="H2" s="851"/>
      <c r="I2" s="852"/>
      <c r="K2" s="849"/>
      <c r="L2" s="850"/>
      <c r="M2" s="851"/>
      <c r="N2" s="852"/>
      <c r="P2" s="849"/>
      <c r="Q2" s="850"/>
      <c r="R2" s="851"/>
      <c r="S2" s="852"/>
    </row>
    <row r="3" spans="1:19">
      <c r="A3" s="1088" t="s">
        <v>1073</v>
      </c>
      <c r="B3" s="1089"/>
      <c r="C3" s="1089" t="s">
        <v>1074</v>
      </c>
      <c r="D3" s="1090"/>
      <c r="F3" s="1088" t="s">
        <v>1073</v>
      </c>
      <c r="G3" s="1089"/>
      <c r="H3" s="1089" t="s">
        <v>1074</v>
      </c>
      <c r="I3" s="1090"/>
      <c r="K3" s="1088" t="s">
        <v>1073</v>
      </c>
      <c r="L3" s="1089"/>
      <c r="M3" s="1089" t="s">
        <v>1074</v>
      </c>
      <c r="N3" s="1090"/>
      <c r="P3" s="1088" t="s">
        <v>1073</v>
      </c>
      <c r="Q3" s="1089"/>
      <c r="R3" s="1089" t="s">
        <v>1074</v>
      </c>
      <c r="S3" s="1090"/>
    </row>
    <row r="4" spans="1:19">
      <c r="A4" s="849" t="s">
        <v>1080</v>
      </c>
      <c r="B4" s="850">
        <f>+N43</f>
        <v>386509.41</v>
      </c>
      <c r="C4" s="851"/>
      <c r="D4" s="852"/>
      <c r="F4" s="849" t="s">
        <v>129</v>
      </c>
      <c r="G4" s="850">
        <v>200000</v>
      </c>
      <c r="H4" s="851" t="s">
        <v>1078</v>
      </c>
      <c r="I4" s="852">
        <v>9500</v>
      </c>
      <c r="K4" s="849"/>
      <c r="L4" s="850"/>
      <c r="M4" s="851" t="s">
        <v>45</v>
      </c>
      <c r="N4" s="852">
        <f>+G6</f>
        <v>800000</v>
      </c>
      <c r="P4" s="857" t="s">
        <v>1078</v>
      </c>
      <c r="Q4" s="858">
        <f>+N27</f>
        <v>1874.404</v>
      </c>
      <c r="R4" s="851" t="s">
        <v>1107</v>
      </c>
      <c r="S4" s="852">
        <f>+G26</f>
        <v>0</v>
      </c>
    </row>
    <row r="5" spans="1:19">
      <c r="A5" s="849"/>
      <c r="B5" s="850"/>
      <c r="C5" s="851"/>
      <c r="D5" s="852"/>
      <c r="F5" s="849"/>
      <c r="G5" s="850"/>
      <c r="H5" s="851"/>
      <c r="I5" s="852"/>
      <c r="K5" s="849"/>
      <c r="L5" s="850"/>
      <c r="M5" s="851" t="s">
        <v>45</v>
      </c>
      <c r="N5" s="852">
        <f>+G8</f>
        <v>118562.5</v>
      </c>
      <c r="P5" s="857" t="s">
        <v>1077</v>
      </c>
      <c r="Q5" s="858">
        <f>+D28</f>
        <v>0</v>
      </c>
      <c r="R5" s="851" t="s">
        <v>1107</v>
      </c>
      <c r="S5" s="852">
        <f>+G28</f>
        <v>0</v>
      </c>
    </row>
    <row r="6" spans="1:19">
      <c r="A6" s="945"/>
      <c r="B6" s="946"/>
      <c r="C6" s="851"/>
      <c r="D6" s="852"/>
      <c r="F6" s="849" t="s">
        <v>1108</v>
      </c>
      <c r="G6" s="850">
        <v>800000</v>
      </c>
      <c r="H6" s="851" t="s">
        <v>1079</v>
      </c>
      <c r="I6" s="852">
        <v>30000</v>
      </c>
      <c r="K6" s="849"/>
      <c r="L6" s="850"/>
      <c r="M6" s="851"/>
      <c r="N6" s="852"/>
      <c r="P6" s="857"/>
      <c r="Q6" s="858"/>
      <c r="R6" s="851" t="s">
        <v>989</v>
      </c>
      <c r="S6" s="852">
        <f>+B42</f>
        <v>131450</v>
      </c>
    </row>
    <row r="7" spans="1:19">
      <c r="A7" s="849"/>
      <c r="B7" s="850"/>
      <c r="C7" s="851"/>
      <c r="D7" s="852"/>
      <c r="F7" s="849"/>
      <c r="G7" s="850"/>
      <c r="H7" s="851"/>
      <c r="I7" s="852"/>
      <c r="K7" s="849" t="s">
        <v>46</v>
      </c>
      <c r="L7" s="850">
        <f>+D15</f>
        <v>88551.9</v>
      </c>
      <c r="M7" s="851"/>
      <c r="N7" s="852"/>
      <c r="P7" s="857"/>
      <c r="Q7" s="858"/>
      <c r="R7" s="851" t="s">
        <v>46</v>
      </c>
      <c r="S7" s="852">
        <f>+B6</f>
        <v>0</v>
      </c>
    </row>
    <row r="8" spans="1:19">
      <c r="A8" s="849" t="s">
        <v>1077</v>
      </c>
      <c r="B8" s="850">
        <v>438030.33899999998</v>
      </c>
      <c r="C8" s="947"/>
      <c r="D8" s="948"/>
      <c r="F8" s="849" t="s">
        <v>1108</v>
      </c>
      <c r="G8" s="850">
        <f>178562.5-60000</f>
        <v>118562.5</v>
      </c>
      <c r="H8" s="851"/>
      <c r="I8" s="852"/>
      <c r="K8" s="849"/>
      <c r="L8" s="850"/>
      <c r="M8" s="851"/>
      <c r="N8" s="852"/>
      <c r="P8" s="849"/>
      <c r="Q8" s="850"/>
      <c r="R8" s="851" t="s">
        <v>1111</v>
      </c>
      <c r="S8" s="852">
        <f>+L28</f>
        <v>186.667</v>
      </c>
    </row>
    <row r="9" spans="1:19">
      <c r="A9" s="849" t="s">
        <v>1116</v>
      </c>
      <c r="B9" s="850">
        <f>983740-235000</f>
        <v>748740</v>
      </c>
      <c r="C9" s="947"/>
      <c r="D9" s="948"/>
      <c r="F9" s="849" t="s">
        <v>1078</v>
      </c>
      <c r="G9" s="850">
        <v>286625.59600000002</v>
      </c>
      <c r="H9" s="851" t="s">
        <v>1077</v>
      </c>
      <c r="I9" s="852">
        <v>53265.612999999998</v>
      </c>
      <c r="K9" s="849"/>
      <c r="L9" s="850"/>
      <c r="M9" s="851"/>
      <c r="N9" s="852"/>
      <c r="P9" s="849"/>
      <c r="Q9" s="850"/>
      <c r="R9" s="851" t="s">
        <v>1114</v>
      </c>
      <c r="S9" s="852">
        <f>+B27</f>
        <v>211465.29699999999</v>
      </c>
    </row>
    <row r="10" spans="1:19">
      <c r="A10" s="849"/>
      <c r="B10" s="850"/>
      <c r="C10" s="851"/>
      <c r="D10" s="852"/>
      <c r="F10" s="849"/>
      <c r="G10" s="850"/>
      <c r="H10" s="851"/>
      <c r="I10" s="852"/>
      <c r="K10" s="849"/>
      <c r="L10" s="850"/>
      <c r="M10" s="851"/>
      <c r="N10" s="852"/>
      <c r="P10" s="849"/>
      <c r="Q10" s="850"/>
      <c r="R10" s="851" t="s">
        <v>1114</v>
      </c>
      <c r="S10" s="852">
        <f>+B29</f>
        <v>78781.188999999998</v>
      </c>
    </row>
    <row r="11" spans="1:19">
      <c r="A11" s="849"/>
      <c r="B11" s="850"/>
      <c r="C11" s="851"/>
      <c r="D11" s="852"/>
      <c r="F11" s="849" t="s">
        <v>129</v>
      </c>
      <c r="G11" s="850">
        <v>17537.897000000001</v>
      </c>
      <c r="H11" s="851"/>
      <c r="I11" s="852"/>
      <c r="K11" s="849"/>
      <c r="L11" s="850"/>
      <c r="M11" s="851"/>
      <c r="N11" s="852"/>
      <c r="P11" s="849"/>
      <c r="Q11" s="850"/>
      <c r="R11" s="851"/>
      <c r="S11" s="852"/>
    </row>
    <row r="12" spans="1:19">
      <c r="A12" s="849"/>
      <c r="B12" s="850"/>
      <c r="C12" s="851"/>
      <c r="D12" s="852"/>
      <c r="F12" s="849" t="s">
        <v>1110</v>
      </c>
      <c r="G12" s="850">
        <v>1053000</v>
      </c>
      <c r="H12" s="851" t="s">
        <v>1079</v>
      </c>
      <c r="I12" s="852">
        <v>29500</v>
      </c>
      <c r="K12" s="849"/>
      <c r="L12" s="850"/>
      <c r="M12" s="851"/>
      <c r="N12" s="852"/>
      <c r="P12" s="849"/>
      <c r="Q12" s="850"/>
      <c r="R12" s="851" t="s">
        <v>1110</v>
      </c>
      <c r="S12" s="852">
        <f>+B10+B12+B13+B14+B15</f>
        <v>0</v>
      </c>
    </row>
    <row r="13" spans="1:19">
      <c r="A13" s="849"/>
      <c r="B13" s="850"/>
      <c r="C13" s="851"/>
      <c r="D13" s="852"/>
      <c r="F13" s="953" t="s">
        <v>1112</v>
      </c>
      <c r="G13" s="954">
        <v>716490.9</v>
      </c>
      <c r="H13" s="851"/>
      <c r="I13" s="852"/>
      <c r="K13" s="849"/>
      <c r="L13" s="850"/>
      <c r="M13" s="851"/>
      <c r="N13" s="852"/>
      <c r="P13" s="849"/>
      <c r="Q13" s="850"/>
      <c r="R13" s="851" t="s">
        <v>1121</v>
      </c>
      <c r="S13" s="852">
        <f>+G13+G14+G15+G16</f>
        <v>717300.9</v>
      </c>
    </row>
    <row r="14" spans="1:19">
      <c r="A14" s="849"/>
      <c r="B14" s="850"/>
      <c r="C14" s="851"/>
      <c r="D14" s="852"/>
      <c r="F14" s="849" t="s">
        <v>1119</v>
      </c>
      <c r="G14" s="850">
        <v>270</v>
      </c>
      <c r="H14" s="851"/>
      <c r="I14" s="852"/>
      <c r="K14" s="849"/>
      <c r="L14" s="850"/>
      <c r="M14" s="851"/>
      <c r="N14" s="852"/>
      <c r="P14" s="849"/>
      <c r="Q14" s="850"/>
      <c r="R14" s="851"/>
      <c r="S14" s="852"/>
    </row>
    <row r="15" spans="1:19">
      <c r="A15" s="849"/>
      <c r="B15" s="850"/>
      <c r="C15" s="851" t="s">
        <v>123</v>
      </c>
      <c r="D15" s="852">
        <v>88551.9</v>
      </c>
      <c r="F15" s="849" t="s">
        <v>1120</v>
      </c>
      <c r="G15" s="850">
        <v>270</v>
      </c>
      <c r="H15" s="851"/>
      <c r="I15" s="852"/>
      <c r="K15" s="849"/>
      <c r="L15" s="850"/>
      <c r="M15" s="851"/>
      <c r="N15" s="852"/>
      <c r="P15" s="849"/>
      <c r="Q15" s="850"/>
      <c r="R15" s="851"/>
      <c r="S15" s="852"/>
    </row>
    <row r="16" spans="1:19">
      <c r="A16" s="849"/>
      <c r="B16" s="850"/>
      <c r="C16" s="851" t="s">
        <v>582</v>
      </c>
      <c r="D16" s="852">
        <v>11683</v>
      </c>
      <c r="F16" s="849" t="s">
        <v>1117</v>
      </c>
      <c r="G16" s="850">
        <v>270</v>
      </c>
      <c r="H16" s="851"/>
      <c r="I16" s="852"/>
      <c r="K16" s="849"/>
      <c r="L16" s="850"/>
      <c r="M16" s="851"/>
      <c r="N16" s="852"/>
      <c r="P16" s="849"/>
      <c r="Q16" s="850"/>
      <c r="R16" s="851"/>
      <c r="S16" s="852"/>
    </row>
    <row r="17" spans="1:19">
      <c r="A17" s="849"/>
      <c r="B17" s="850"/>
      <c r="C17" s="851" t="s">
        <v>1111</v>
      </c>
      <c r="D17" s="852">
        <f>+L27</f>
        <v>278813.33299999998</v>
      </c>
      <c r="F17" s="849" t="s">
        <v>1114</v>
      </c>
      <c r="G17" s="850">
        <v>2700</v>
      </c>
      <c r="H17" s="851"/>
      <c r="I17" s="852"/>
      <c r="K17" s="849"/>
      <c r="L17" s="850"/>
      <c r="M17" s="851"/>
      <c r="N17" s="852"/>
      <c r="P17" s="849"/>
      <c r="Q17" s="850"/>
      <c r="R17" s="851"/>
      <c r="S17" s="852"/>
    </row>
    <row r="18" spans="1:19">
      <c r="A18" s="849"/>
      <c r="B18" s="850"/>
      <c r="C18" s="851" t="s">
        <v>1114</v>
      </c>
      <c r="D18" s="852">
        <f>+B28</f>
        <v>124391.351</v>
      </c>
      <c r="F18" s="849" t="s">
        <v>1122</v>
      </c>
      <c r="G18" s="850">
        <v>199800</v>
      </c>
      <c r="H18" s="851"/>
      <c r="I18" s="852"/>
      <c r="K18" s="849"/>
      <c r="L18" s="850"/>
      <c r="M18" s="851"/>
      <c r="N18" s="852"/>
      <c r="P18" s="849"/>
      <c r="Q18" s="850"/>
      <c r="R18" s="851"/>
      <c r="S18" s="852"/>
    </row>
    <row r="19" spans="1:19">
      <c r="A19" s="849"/>
      <c r="B19" s="850"/>
      <c r="C19" s="851" t="s">
        <v>1121</v>
      </c>
      <c r="D19" s="852">
        <f>+G12</f>
        <v>1053000</v>
      </c>
      <c r="F19" s="849" t="s">
        <v>1123</v>
      </c>
      <c r="G19" s="850">
        <v>673199.1</v>
      </c>
      <c r="H19" s="851"/>
      <c r="I19" s="852"/>
      <c r="K19" s="849"/>
      <c r="L19" s="850"/>
      <c r="M19" s="851"/>
      <c r="N19" s="852"/>
      <c r="P19" s="849"/>
      <c r="Q19" s="850"/>
      <c r="R19" s="851"/>
      <c r="S19" s="852"/>
    </row>
    <row r="20" spans="1:19">
      <c r="A20" s="849"/>
      <c r="B20" s="850"/>
      <c r="C20" s="851"/>
      <c r="D20" s="852"/>
      <c r="F20" s="849" t="s">
        <v>1124</v>
      </c>
      <c r="G20" s="850">
        <v>54000</v>
      </c>
      <c r="H20" s="851"/>
      <c r="I20" s="852"/>
      <c r="K20" s="849"/>
      <c r="L20" s="850"/>
      <c r="M20" s="851"/>
      <c r="N20" s="852"/>
      <c r="P20" s="849"/>
      <c r="Q20" s="850"/>
      <c r="R20" s="851"/>
      <c r="S20" s="852"/>
    </row>
    <row r="21" spans="1:19" s="848" customFormat="1" ht="15.75" thickBot="1">
      <c r="A21" s="853"/>
      <c r="B21" s="854">
        <f>SUM(B4:B15)</f>
        <v>1573279.7489999998</v>
      </c>
      <c r="C21" s="855"/>
      <c r="D21" s="856">
        <f>SUM(D4:D19)</f>
        <v>1556439.584</v>
      </c>
      <c r="F21" s="853"/>
      <c r="G21" s="854">
        <f>SUM(G4:G20)</f>
        <v>4122725.9929999998</v>
      </c>
      <c r="H21" s="855"/>
      <c r="I21" s="856">
        <f>SUM(I4:I19)</f>
        <v>122265.613</v>
      </c>
      <c r="K21" s="853"/>
      <c r="L21" s="854">
        <f>SUM(L4:L8)</f>
        <v>88551.9</v>
      </c>
      <c r="M21" s="855"/>
      <c r="N21" s="856">
        <f>SUM(N4:N10)</f>
        <v>918562.5</v>
      </c>
      <c r="P21" s="853"/>
      <c r="Q21" s="854">
        <f>SUM(Q4:Q8)</f>
        <v>1874.404</v>
      </c>
      <c r="R21" s="855"/>
      <c r="S21" s="856">
        <f>SUM(S4:S10)</f>
        <v>421883.15299999999</v>
      </c>
    </row>
    <row r="22" spans="1:19" ht="15.75" thickBot="1"/>
    <row r="23" spans="1:19">
      <c r="A23" s="1085" t="s">
        <v>1077</v>
      </c>
      <c r="B23" s="1086"/>
      <c r="C23" s="1086"/>
      <c r="D23" s="1087"/>
      <c r="F23" s="1085" t="s">
        <v>1081</v>
      </c>
      <c r="G23" s="1086"/>
      <c r="H23" s="1086"/>
      <c r="I23" s="1087"/>
      <c r="K23" s="1085" t="s">
        <v>1083</v>
      </c>
      <c r="L23" s="1086"/>
      <c r="M23" s="1086"/>
      <c r="N23" s="1087"/>
      <c r="P23" s="1085" t="s">
        <v>1079</v>
      </c>
      <c r="Q23" s="1086"/>
      <c r="R23" s="1086"/>
      <c r="S23" s="1087"/>
    </row>
    <row r="24" spans="1:19">
      <c r="A24" s="849"/>
      <c r="B24" s="850"/>
      <c r="C24" s="851"/>
      <c r="D24" s="852"/>
      <c r="F24" s="849"/>
      <c r="G24" s="850"/>
      <c r="H24" s="851"/>
      <c r="I24" s="852"/>
      <c r="K24" s="849"/>
      <c r="L24" s="850"/>
      <c r="M24" s="851"/>
      <c r="N24" s="852"/>
      <c r="P24" s="849"/>
      <c r="Q24" s="850"/>
      <c r="R24" s="851"/>
      <c r="S24" s="852"/>
    </row>
    <row r="25" spans="1:19">
      <c r="A25" s="1088" t="s">
        <v>1073</v>
      </c>
      <c r="B25" s="1089"/>
      <c r="C25" s="1089" t="s">
        <v>1074</v>
      </c>
      <c r="D25" s="1090"/>
      <c r="F25" s="1088" t="s">
        <v>1073</v>
      </c>
      <c r="G25" s="1089"/>
      <c r="H25" s="1089" t="s">
        <v>1074</v>
      </c>
      <c r="I25" s="1090"/>
      <c r="K25" s="1088" t="s">
        <v>1073</v>
      </c>
      <c r="L25" s="1089"/>
      <c r="M25" s="1089" t="s">
        <v>1074</v>
      </c>
      <c r="N25" s="1090"/>
      <c r="P25" s="1088" t="s">
        <v>1073</v>
      </c>
      <c r="Q25" s="1089"/>
      <c r="R25" s="1089" t="s">
        <v>1074</v>
      </c>
      <c r="S25" s="1090"/>
    </row>
    <row r="26" spans="1:19">
      <c r="A26" s="849" t="s">
        <v>45</v>
      </c>
      <c r="B26" s="850"/>
      <c r="C26" s="851" t="s">
        <v>46</v>
      </c>
      <c r="D26" s="852">
        <f>+B8</f>
        <v>438030.33899999998</v>
      </c>
      <c r="F26" s="849"/>
      <c r="G26" s="850"/>
      <c r="H26" s="851" t="s">
        <v>1110</v>
      </c>
      <c r="I26" s="852">
        <f>+B9</f>
        <v>748740</v>
      </c>
      <c r="K26" s="849" t="s">
        <v>45</v>
      </c>
      <c r="L26" s="850">
        <f>+I4</f>
        <v>9500</v>
      </c>
      <c r="M26" s="851" t="s">
        <v>45</v>
      </c>
      <c r="N26" s="852">
        <f>+G9</f>
        <v>286625.59600000002</v>
      </c>
      <c r="P26" s="849" t="s">
        <v>1080</v>
      </c>
      <c r="Q26" s="850">
        <f>+N42</f>
        <v>113133</v>
      </c>
      <c r="R26" s="951" t="s">
        <v>1125</v>
      </c>
      <c r="S26" s="952">
        <v>200000</v>
      </c>
    </row>
    <row r="27" spans="1:19">
      <c r="A27" s="953" t="s">
        <v>1112</v>
      </c>
      <c r="B27" s="954">
        <v>211465.29699999999</v>
      </c>
      <c r="C27" s="851" t="s">
        <v>1121</v>
      </c>
      <c r="D27" s="852"/>
      <c r="F27" s="849" t="s">
        <v>129</v>
      </c>
      <c r="G27" s="850">
        <v>250000</v>
      </c>
      <c r="H27" s="851"/>
      <c r="I27" s="852"/>
      <c r="K27" s="849" t="s">
        <v>1110</v>
      </c>
      <c r="L27" s="850">
        <v>278813.33299999998</v>
      </c>
      <c r="M27" s="951" t="s">
        <v>131</v>
      </c>
      <c r="N27" s="952">
        <v>1874.404</v>
      </c>
      <c r="P27" s="849" t="s">
        <v>45</v>
      </c>
      <c r="Q27" s="850">
        <f>+I6</f>
        <v>30000</v>
      </c>
      <c r="R27" s="851"/>
      <c r="S27" s="852"/>
    </row>
    <row r="28" spans="1:19">
      <c r="A28" s="849" t="s">
        <v>1110</v>
      </c>
      <c r="B28" s="850">
        <v>124391.351</v>
      </c>
      <c r="C28" s="951" t="s">
        <v>131</v>
      </c>
      <c r="D28" s="952"/>
      <c r="F28" s="849"/>
      <c r="G28" s="850"/>
      <c r="H28" s="851"/>
      <c r="I28" s="852"/>
      <c r="K28" s="849" t="s">
        <v>1112</v>
      </c>
      <c r="L28" s="850">
        <v>186.667</v>
      </c>
      <c r="M28" s="851"/>
      <c r="N28" s="852"/>
      <c r="P28" s="849" t="s">
        <v>45</v>
      </c>
      <c r="Q28" s="850">
        <f>+I12</f>
        <v>29500</v>
      </c>
      <c r="R28" s="851"/>
      <c r="S28" s="852"/>
    </row>
    <row r="29" spans="1:19">
      <c r="A29" s="849" t="s">
        <v>1113</v>
      </c>
      <c r="B29" s="850">
        <v>78781.188999999998</v>
      </c>
      <c r="C29" s="851"/>
      <c r="D29" s="852"/>
      <c r="F29" s="849" t="s">
        <v>129</v>
      </c>
      <c r="G29" s="850">
        <v>40109.589</v>
      </c>
      <c r="H29" s="851"/>
      <c r="I29" s="852"/>
      <c r="K29" s="849"/>
      <c r="L29" s="850"/>
      <c r="M29" s="851"/>
      <c r="N29" s="852"/>
      <c r="P29" s="849"/>
      <c r="Q29" s="850"/>
      <c r="R29" s="851"/>
      <c r="S29" s="852"/>
    </row>
    <row r="30" spans="1:19">
      <c r="A30" s="849"/>
      <c r="B30" s="850"/>
      <c r="C30" s="851"/>
      <c r="D30" s="852"/>
      <c r="F30" s="849"/>
      <c r="G30" s="850"/>
      <c r="H30" s="851"/>
      <c r="I30" s="852"/>
      <c r="K30" s="849"/>
      <c r="L30" s="850"/>
      <c r="M30" s="851"/>
      <c r="N30" s="852"/>
      <c r="P30" s="849"/>
      <c r="Q30" s="850"/>
      <c r="R30" s="851"/>
      <c r="S30" s="852"/>
    </row>
    <row r="31" spans="1:19">
      <c r="A31" s="849"/>
      <c r="B31" s="850"/>
      <c r="C31" s="851"/>
      <c r="D31" s="852"/>
      <c r="F31" s="849"/>
      <c r="G31" s="850"/>
      <c r="H31" s="851"/>
      <c r="I31" s="852"/>
      <c r="K31" s="849"/>
      <c r="L31" s="850"/>
      <c r="M31" s="851"/>
      <c r="N31" s="852"/>
      <c r="P31" s="849"/>
      <c r="Q31" s="850"/>
      <c r="R31" s="851"/>
      <c r="S31" s="852"/>
    </row>
    <row r="32" spans="1:19">
      <c r="A32" s="849"/>
      <c r="B32" s="850"/>
      <c r="C32" s="851"/>
      <c r="D32" s="852"/>
      <c r="F32" s="849"/>
      <c r="G32" s="850"/>
      <c r="H32" s="851"/>
      <c r="I32" s="852"/>
      <c r="K32" s="849"/>
      <c r="L32" s="850"/>
      <c r="M32" s="851"/>
      <c r="N32" s="852"/>
      <c r="P32" s="849"/>
      <c r="Q32" s="850"/>
      <c r="R32" s="851"/>
      <c r="S32" s="852"/>
    </row>
    <row r="33" spans="1:19">
      <c r="A33" s="849"/>
      <c r="B33" s="850"/>
      <c r="C33" s="851"/>
      <c r="D33" s="852"/>
      <c r="F33" s="849"/>
      <c r="G33" s="850"/>
      <c r="H33" s="851"/>
      <c r="I33" s="852"/>
      <c r="K33" s="849"/>
      <c r="L33" s="850"/>
      <c r="M33" s="851"/>
      <c r="N33" s="852"/>
      <c r="P33" s="849"/>
      <c r="Q33" s="850"/>
      <c r="R33" s="851"/>
      <c r="S33" s="852"/>
    </row>
    <row r="34" spans="1:19">
      <c r="A34" s="849"/>
      <c r="B34" s="850"/>
      <c r="C34" s="851"/>
      <c r="D34" s="852"/>
      <c r="F34" s="849"/>
      <c r="G34" s="850"/>
      <c r="H34" s="851"/>
      <c r="I34" s="852"/>
      <c r="K34" s="849"/>
      <c r="L34" s="850"/>
      <c r="M34" s="851"/>
      <c r="N34" s="852"/>
      <c r="P34" s="849"/>
      <c r="Q34" s="850"/>
      <c r="R34" s="851"/>
      <c r="S34" s="852"/>
    </row>
    <row r="35" spans="1:19" ht="15.75" thickBot="1">
      <c r="A35" s="853"/>
      <c r="B35" s="854">
        <f>SUM(B26:B30)</f>
        <v>414637.837</v>
      </c>
      <c r="C35" s="855"/>
      <c r="D35" s="856">
        <f>SUM(D26:D30)</f>
        <v>438030.33899999998</v>
      </c>
      <c r="F35" s="853"/>
      <c r="G35" s="854">
        <f>SUM(G26:G30)</f>
        <v>290109.58899999998</v>
      </c>
      <c r="H35" s="855"/>
      <c r="I35" s="856">
        <f>SUM(I26:I32)</f>
        <v>748740</v>
      </c>
      <c r="K35" s="853"/>
      <c r="L35" s="854">
        <f>SUM(L26:L30)</f>
        <v>288500</v>
      </c>
      <c r="M35" s="855"/>
      <c r="N35" s="856">
        <f>SUM(N26:N32)</f>
        <v>288500</v>
      </c>
      <c r="P35" s="853"/>
      <c r="Q35" s="854">
        <f>SUM(Q26:Q30)</f>
        <v>172633</v>
      </c>
      <c r="R35" s="855"/>
      <c r="S35" s="856">
        <f>SUM(S26:S32)</f>
        <v>200000</v>
      </c>
    </row>
    <row r="36" spans="1:19">
      <c r="B36" s="114"/>
      <c r="D36" s="114"/>
    </row>
    <row r="37" spans="1:19" ht="15.75" thickBot="1"/>
    <row r="38" spans="1:19">
      <c r="A38" s="1085" t="s">
        <v>989</v>
      </c>
      <c r="B38" s="1086"/>
      <c r="C38" s="1086"/>
      <c r="D38" s="1087"/>
      <c r="F38" s="1085" t="s">
        <v>1106</v>
      </c>
      <c r="G38" s="1086"/>
      <c r="H38" s="1086"/>
      <c r="I38" s="1087"/>
      <c r="K38" s="1085" t="s">
        <v>1080</v>
      </c>
      <c r="L38" s="1086"/>
      <c r="M38" s="1086"/>
      <c r="N38" s="1087"/>
      <c r="P38" s="1085" t="s">
        <v>1076</v>
      </c>
      <c r="Q38" s="1086"/>
      <c r="R38" s="1086"/>
      <c r="S38" s="1087"/>
    </row>
    <row r="39" spans="1:19">
      <c r="A39" s="849"/>
      <c r="B39" s="850"/>
      <c r="C39" s="851"/>
      <c r="D39" s="852"/>
      <c r="F39" s="849"/>
      <c r="G39" s="850"/>
      <c r="H39" s="851"/>
      <c r="I39" s="852"/>
      <c r="K39" s="849"/>
      <c r="L39" s="850"/>
      <c r="M39" s="851"/>
      <c r="N39" s="852"/>
      <c r="P39" s="849"/>
      <c r="Q39" s="850"/>
      <c r="R39" s="851"/>
      <c r="S39" s="852"/>
    </row>
    <row r="40" spans="1:19">
      <c r="A40" s="1088" t="s">
        <v>1073</v>
      </c>
      <c r="B40" s="1089"/>
      <c r="C40" s="1089" t="s">
        <v>1074</v>
      </c>
      <c r="D40" s="1090"/>
      <c r="F40" s="1088" t="s">
        <v>1073</v>
      </c>
      <c r="G40" s="1089"/>
      <c r="H40" s="1089" t="s">
        <v>1074</v>
      </c>
      <c r="I40" s="1090"/>
      <c r="K40" s="1088" t="s">
        <v>1073</v>
      </c>
      <c r="L40" s="1089"/>
      <c r="M40" s="1089" t="s">
        <v>1074</v>
      </c>
      <c r="N40" s="1090"/>
      <c r="P40" s="1088" t="s">
        <v>1073</v>
      </c>
      <c r="Q40" s="1089"/>
      <c r="R40" s="1089" t="s">
        <v>1074</v>
      </c>
      <c r="S40" s="1090"/>
    </row>
    <row r="41" spans="1:19">
      <c r="A41" s="849" t="s">
        <v>129</v>
      </c>
      <c r="B41" s="850">
        <v>180000</v>
      </c>
      <c r="C41" s="951" t="s">
        <v>1125</v>
      </c>
      <c r="D41" s="952">
        <v>300000</v>
      </c>
      <c r="F41" s="849" t="s">
        <v>46</v>
      </c>
      <c r="G41" s="850">
        <f>+D13</f>
        <v>0</v>
      </c>
      <c r="H41" s="851" t="s">
        <v>1107</v>
      </c>
      <c r="I41" s="852">
        <f>+G27</f>
        <v>250000</v>
      </c>
      <c r="K41" s="849" t="s">
        <v>45</v>
      </c>
      <c r="L41" s="850">
        <f>+I10</f>
        <v>0</v>
      </c>
      <c r="M41" s="851" t="s">
        <v>1076</v>
      </c>
      <c r="N41" s="852">
        <v>40000</v>
      </c>
      <c r="P41" s="849" t="s">
        <v>126</v>
      </c>
      <c r="Q41" s="850">
        <f>+N41</f>
        <v>40000</v>
      </c>
      <c r="R41" s="851"/>
      <c r="S41" s="852"/>
    </row>
    <row r="42" spans="1:19">
      <c r="A42" s="849" t="s">
        <v>1082</v>
      </c>
      <c r="B42" s="850">
        <v>131450</v>
      </c>
      <c r="C42" s="851"/>
      <c r="D42" s="852"/>
      <c r="F42" s="849"/>
      <c r="G42" s="850"/>
      <c r="H42" s="851" t="s">
        <v>989</v>
      </c>
      <c r="I42" s="852">
        <f>+B41</f>
        <v>180000</v>
      </c>
      <c r="K42" s="849" t="s">
        <v>46</v>
      </c>
      <c r="L42" s="850">
        <f>+D12</f>
        <v>0</v>
      </c>
      <c r="M42" s="851" t="s">
        <v>1079</v>
      </c>
      <c r="N42" s="852">
        <v>113133</v>
      </c>
      <c r="P42" s="849"/>
      <c r="Q42" s="850"/>
      <c r="R42" s="951"/>
      <c r="S42" s="952"/>
    </row>
    <row r="43" spans="1:19">
      <c r="A43" s="849" t="s">
        <v>46</v>
      </c>
      <c r="B43" s="850">
        <f>+D16</f>
        <v>11683</v>
      </c>
      <c r="C43" s="851"/>
      <c r="D43" s="852"/>
      <c r="F43" s="849"/>
      <c r="G43" s="850"/>
      <c r="H43" s="851" t="s">
        <v>45</v>
      </c>
      <c r="I43" s="852">
        <f>+G4</f>
        <v>200000</v>
      </c>
      <c r="K43" s="849" t="s">
        <v>847</v>
      </c>
      <c r="L43" s="850">
        <f>+'AUTRE FACTURE '!K3+'AUTRE FACTURE '!K6+'AUTRE FACTURE '!K7</f>
        <v>187559.83319999999</v>
      </c>
      <c r="M43" s="851" t="s">
        <v>46</v>
      </c>
      <c r="N43" s="852">
        <v>386509.41</v>
      </c>
      <c r="P43" s="849"/>
      <c r="Q43" s="850"/>
      <c r="R43" s="851"/>
      <c r="S43" s="852"/>
    </row>
    <row r="44" spans="1:19">
      <c r="A44" s="849" t="s">
        <v>129</v>
      </c>
      <c r="B44" s="850">
        <v>9950.6830000000009</v>
      </c>
      <c r="C44" s="851"/>
      <c r="D44" s="852"/>
      <c r="F44" s="849"/>
      <c r="G44" s="850"/>
      <c r="H44" s="851" t="s">
        <v>1121</v>
      </c>
      <c r="I44" s="852">
        <f>+G20</f>
        <v>54000</v>
      </c>
      <c r="K44" s="849"/>
      <c r="L44" s="850"/>
      <c r="M44" s="851"/>
      <c r="N44" s="852"/>
      <c r="P44" s="849"/>
      <c r="Q44" s="850"/>
      <c r="R44" s="851"/>
      <c r="S44" s="852"/>
    </row>
    <row r="45" spans="1:19">
      <c r="A45" s="849"/>
      <c r="B45" s="850"/>
      <c r="C45" s="851"/>
      <c r="D45" s="852"/>
      <c r="F45" s="849"/>
      <c r="G45" s="850"/>
      <c r="H45" s="851" t="s">
        <v>1107</v>
      </c>
      <c r="I45" s="852">
        <f>+G29</f>
        <v>40109.589</v>
      </c>
      <c r="K45" s="849"/>
      <c r="L45" s="850"/>
      <c r="M45" s="851"/>
      <c r="N45" s="852"/>
      <c r="P45" s="849"/>
      <c r="Q45" s="850"/>
      <c r="R45" s="851"/>
      <c r="S45" s="852"/>
    </row>
    <row r="46" spans="1:19">
      <c r="A46" s="849"/>
      <c r="B46" s="850"/>
      <c r="C46" s="851"/>
      <c r="D46" s="852"/>
      <c r="F46" s="849"/>
      <c r="G46" s="850"/>
      <c r="H46" s="851" t="s">
        <v>989</v>
      </c>
      <c r="I46" s="852">
        <f>+B44</f>
        <v>9950.6830000000009</v>
      </c>
      <c r="K46" s="849"/>
      <c r="L46" s="850"/>
      <c r="M46" s="851"/>
      <c r="N46" s="852"/>
      <c r="P46" s="849"/>
      <c r="Q46" s="850"/>
      <c r="R46" s="851"/>
      <c r="S46" s="852"/>
    </row>
    <row r="47" spans="1:19">
      <c r="A47" s="849"/>
      <c r="B47" s="850"/>
      <c r="C47" s="851"/>
      <c r="D47" s="852"/>
      <c r="F47" s="849"/>
      <c r="G47" s="850"/>
      <c r="H47" s="851" t="s">
        <v>45</v>
      </c>
      <c r="I47" s="852">
        <f>G11</f>
        <v>17537.897000000001</v>
      </c>
      <c r="K47" s="849"/>
      <c r="L47" s="850"/>
      <c r="M47" s="851"/>
      <c r="N47" s="852"/>
      <c r="P47" s="849"/>
      <c r="Q47" s="850"/>
      <c r="R47" s="851"/>
      <c r="S47" s="852"/>
    </row>
    <row r="48" spans="1:19">
      <c r="A48" s="849"/>
      <c r="B48" s="850"/>
      <c r="C48" s="851"/>
      <c r="D48" s="852"/>
      <c r="F48" s="849"/>
      <c r="G48" s="850"/>
      <c r="H48" s="851"/>
      <c r="I48" s="852"/>
      <c r="K48" s="849"/>
      <c r="L48" s="850"/>
      <c r="M48" s="851"/>
      <c r="N48" s="852"/>
      <c r="P48" s="849"/>
      <c r="Q48" s="850"/>
      <c r="R48" s="851"/>
      <c r="S48" s="852"/>
    </row>
    <row r="49" spans="1:19">
      <c r="A49" s="849"/>
      <c r="B49" s="850"/>
      <c r="C49" s="851"/>
      <c r="D49" s="852"/>
      <c r="F49" s="849"/>
      <c r="G49" s="850"/>
      <c r="H49" s="851"/>
      <c r="I49" s="852"/>
      <c r="K49" s="849"/>
      <c r="L49" s="850"/>
      <c r="M49" s="851"/>
      <c r="N49" s="852"/>
      <c r="P49" s="849"/>
      <c r="Q49" s="850"/>
      <c r="R49" s="851"/>
      <c r="S49" s="852"/>
    </row>
    <row r="50" spans="1:19" ht="15.75" thickBot="1">
      <c r="A50" s="853"/>
      <c r="B50" s="854">
        <f>SUM(B41:B42)</f>
        <v>311450</v>
      </c>
      <c r="C50" s="855"/>
      <c r="D50" s="856">
        <f>SUM(D41:D44)</f>
        <v>300000</v>
      </c>
      <c r="F50" s="853"/>
      <c r="G50" s="854">
        <f>SUM(G41:G45)</f>
        <v>0</v>
      </c>
      <c r="H50" s="855"/>
      <c r="I50" s="856">
        <f>SUM(I41:I47)</f>
        <v>751598.16899999999</v>
      </c>
      <c r="K50" s="853"/>
      <c r="L50" s="854">
        <f>SUM(L41:L43)</f>
        <v>187559.83319999999</v>
      </c>
      <c r="M50" s="855"/>
      <c r="N50" s="856">
        <f>SUM(N41:N43)</f>
        <v>539642.40999999992</v>
      </c>
      <c r="P50" s="853"/>
      <c r="Q50" s="854">
        <f>SUM(Q41:Q45)</f>
        <v>40000</v>
      </c>
      <c r="R50" s="855"/>
      <c r="S50" s="856">
        <f>SUM(S41:S47)</f>
        <v>0</v>
      </c>
    </row>
    <row r="69" spans="10:15">
      <c r="J69" s="848"/>
      <c r="O69" s="848"/>
    </row>
  </sheetData>
  <mergeCells count="36">
    <mergeCell ref="K23:N23"/>
    <mergeCell ref="K25:L25"/>
    <mergeCell ref="M25:N25"/>
    <mergeCell ref="P23:S23"/>
    <mergeCell ref="P25:Q25"/>
    <mergeCell ref="R25:S25"/>
    <mergeCell ref="P1:S1"/>
    <mergeCell ref="P3:Q3"/>
    <mergeCell ref="R3:S3"/>
    <mergeCell ref="A1:D1"/>
    <mergeCell ref="F1:I1"/>
    <mergeCell ref="F3:G3"/>
    <mergeCell ref="H3:I3"/>
    <mergeCell ref="K1:N1"/>
    <mergeCell ref="K3:L3"/>
    <mergeCell ref="M3:N3"/>
    <mergeCell ref="F23:I23"/>
    <mergeCell ref="F25:G25"/>
    <mergeCell ref="H25:I25"/>
    <mergeCell ref="C3:D3"/>
    <mergeCell ref="A3:B3"/>
    <mergeCell ref="A23:D23"/>
    <mergeCell ref="A25:B25"/>
    <mergeCell ref="C25:D25"/>
    <mergeCell ref="P38:S38"/>
    <mergeCell ref="P40:Q40"/>
    <mergeCell ref="R40:S40"/>
    <mergeCell ref="A38:D38"/>
    <mergeCell ref="A40:B40"/>
    <mergeCell ref="C40:D40"/>
    <mergeCell ref="F38:I38"/>
    <mergeCell ref="F40:G40"/>
    <mergeCell ref="H40:I40"/>
    <mergeCell ref="K38:N38"/>
    <mergeCell ref="K40:L40"/>
    <mergeCell ref="M40:N40"/>
  </mergeCells>
  <pageMargins left="0" right="0" top="0" bottom="0" header="0" footer="0"/>
  <pageSetup paperSize="9" scale="56" orientation="landscape" horizontalDpi="180" verticalDpi="18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43"/>
  <sheetViews>
    <sheetView topLeftCell="A10" workbookViewId="0">
      <selection activeCell="L37" sqref="L37"/>
    </sheetView>
  </sheetViews>
  <sheetFormatPr baseColWidth="10" defaultRowHeight="15"/>
  <cols>
    <col min="1" max="1" width="9.28515625" style="802" bestFit="1" customWidth="1"/>
    <col min="2" max="2" width="17" style="802" bestFit="1" customWidth="1"/>
    <col min="3" max="3" width="3.42578125" style="802" bestFit="1" customWidth="1"/>
    <col min="4" max="4" width="10" style="802" bestFit="1" customWidth="1"/>
    <col min="5" max="5" width="4.85546875" style="802" bestFit="1" customWidth="1"/>
    <col min="6" max="6" width="13" style="802" bestFit="1" customWidth="1"/>
    <col min="7" max="7" width="9.85546875" style="802" bestFit="1" customWidth="1"/>
    <col min="8" max="8" width="13.85546875" style="802" bestFit="1" customWidth="1"/>
    <col min="9" max="9" width="7.5703125" style="803" customWidth="1"/>
    <col min="10" max="10" width="13.28515625" style="803" bestFit="1" customWidth="1"/>
    <col min="11" max="16384" width="11.42578125" style="802"/>
  </cols>
  <sheetData>
    <row r="2" spans="1:10" ht="15.75" thickBot="1">
      <c r="D2" s="802" t="s">
        <v>1086</v>
      </c>
      <c r="E2" s="802" t="s">
        <v>1087</v>
      </c>
      <c r="F2" s="802" t="s">
        <v>1088</v>
      </c>
      <c r="G2" s="802" t="s">
        <v>1089</v>
      </c>
      <c r="H2" s="802" t="s">
        <v>1090</v>
      </c>
      <c r="I2" s="803" t="s">
        <v>840</v>
      </c>
      <c r="J2" s="803" t="s">
        <v>73</v>
      </c>
    </row>
    <row r="3" spans="1:10">
      <c r="A3" s="805">
        <v>42986</v>
      </c>
      <c r="B3" s="806" t="s">
        <v>498</v>
      </c>
      <c r="C3" s="807" t="s">
        <v>434</v>
      </c>
      <c r="D3" s="808">
        <v>30440</v>
      </c>
      <c r="E3" s="809">
        <v>1.4</v>
      </c>
      <c r="F3" s="809">
        <f t="shared" ref="F3:F7" si="0">+D3*E3</f>
        <v>42616</v>
      </c>
      <c r="G3" s="809">
        <f t="shared" ref="G3:G8" si="1">+F3*0.18</f>
        <v>7670.88</v>
      </c>
      <c r="H3" s="809">
        <f t="shared" ref="H3:H7" si="2">+G3+F3</f>
        <v>50286.879999999997</v>
      </c>
      <c r="I3" s="1091" t="s">
        <v>45</v>
      </c>
      <c r="J3" s="1093" t="s">
        <v>1085</v>
      </c>
    </row>
    <row r="4" spans="1:10">
      <c r="A4" s="810">
        <v>42998</v>
      </c>
      <c r="B4" s="649" t="s">
        <v>498</v>
      </c>
      <c r="C4" s="678" t="s">
        <v>434</v>
      </c>
      <c r="D4" s="679">
        <v>25980</v>
      </c>
      <c r="E4" s="680">
        <v>1.4</v>
      </c>
      <c r="F4" s="680">
        <f t="shared" si="0"/>
        <v>36372</v>
      </c>
      <c r="G4" s="680">
        <f t="shared" si="1"/>
        <v>6546.96</v>
      </c>
      <c r="H4" s="680">
        <f t="shared" si="2"/>
        <v>42918.96</v>
      </c>
      <c r="I4" s="1095"/>
      <c r="J4" s="1096"/>
    </row>
    <row r="5" spans="1:10">
      <c r="A5" s="810">
        <v>43003</v>
      </c>
      <c r="B5" s="649" t="s">
        <v>498</v>
      </c>
      <c r="C5" s="678" t="s">
        <v>434</v>
      </c>
      <c r="D5" s="679">
        <v>41100</v>
      </c>
      <c r="E5" s="680">
        <v>1.4</v>
      </c>
      <c r="F5" s="680">
        <f t="shared" si="0"/>
        <v>57539.999999999993</v>
      </c>
      <c r="G5" s="680">
        <f t="shared" si="1"/>
        <v>10357.199999999999</v>
      </c>
      <c r="H5" s="680">
        <f t="shared" si="2"/>
        <v>67897.2</v>
      </c>
      <c r="I5" s="1095"/>
      <c r="J5" s="1096"/>
    </row>
    <row r="6" spans="1:10">
      <c r="A6" s="810">
        <v>43006</v>
      </c>
      <c r="B6" s="649" t="s">
        <v>498</v>
      </c>
      <c r="C6" s="678" t="s">
        <v>434</v>
      </c>
      <c r="D6" s="679">
        <v>16670</v>
      </c>
      <c r="E6" s="680">
        <v>1.4</v>
      </c>
      <c r="F6" s="680">
        <f t="shared" si="0"/>
        <v>23338</v>
      </c>
      <c r="G6" s="680">
        <f t="shared" si="1"/>
        <v>4200.84</v>
      </c>
      <c r="H6" s="680">
        <f t="shared" si="2"/>
        <v>27538.84</v>
      </c>
      <c r="I6" s="1095"/>
      <c r="J6" s="1096"/>
    </row>
    <row r="7" spans="1:10" ht="15.75" thickBot="1">
      <c r="A7" s="811">
        <v>43006</v>
      </c>
      <c r="B7" s="812" t="s">
        <v>498</v>
      </c>
      <c r="C7" s="813" t="s">
        <v>434</v>
      </c>
      <c r="D7" s="814">
        <v>16192</v>
      </c>
      <c r="E7" s="815">
        <v>1.4</v>
      </c>
      <c r="F7" s="815">
        <f t="shared" si="0"/>
        <v>22668.799999999999</v>
      </c>
      <c r="G7" s="815">
        <f t="shared" si="1"/>
        <v>4080.3839999999996</v>
      </c>
      <c r="H7" s="815">
        <f t="shared" si="2"/>
        <v>26749.183999999997</v>
      </c>
      <c r="I7" s="1092"/>
      <c r="J7" s="1094"/>
    </row>
    <row r="8" spans="1:10" s="839" customFormat="1">
      <c r="A8" s="835"/>
      <c r="B8" s="652"/>
      <c r="C8" s="655"/>
      <c r="D8" s="836">
        <f>SUM(D3:D7)</f>
        <v>130382</v>
      </c>
      <c r="E8" s="837"/>
      <c r="F8" s="837">
        <f>SUM(F3:F7)</f>
        <v>182534.8</v>
      </c>
      <c r="G8" s="837">
        <f t="shared" si="1"/>
        <v>32856.263999999996</v>
      </c>
      <c r="H8" s="837">
        <f>+G8+F8+0.5</f>
        <v>215391.56399999998</v>
      </c>
      <c r="I8" s="838"/>
      <c r="J8" s="838"/>
    </row>
    <row r="9" spans="1:10" ht="15.75" thickBot="1">
      <c r="A9" s="677"/>
      <c r="B9" s="649"/>
      <c r="C9" s="678"/>
      <c r="D9" s="679"/>
      <c r="E9" s="680"/>
      <c r="F9" s="680"/>
      <c r="G9" s="680"/>
      <c r="H9" s="680"/>
    </row>
    <row r="10" spans="1:10">
      <c r="A10" s="821">
        <v>43049</v>
      </c>
      <c r="B10" s="822" t="s">
        <v>894</v>
      </c>
      <c r="C10" s="823" t="s">
        <v>434</v>
      </c>
      <c r="D10" s="824">
        <v>3500</v>
      </c>
      <c r="E10" s="825">
        <v>0.3</v>
      </c>
      <c r="F10" s="809">
        <f>+D10*E10</f>
        <v>1050</v>
      </c>
      <c r="G10" s="809">
        <f>+F10*0.18</f>
        <v>189</v>
      </c>
      <c r="H10" s="809">
        <f>+G10+F10</f>
        <v>1239</v>
      </c>
      <c r="I10" s="1091" t="s">
        <v>45</v>
      </c>
      <c r="J10" s="1093" t="s">
        <v>1085</v>
      </c>
    </row>
    <row r="11" spans="1:10" ht="15.75" thickBot="1">
      <c r="A11" s="826">
        <v>43055</v>
      </c>
      <c r="B11" s="827" t="s">
        <v>894</v>
      </c>
      <c r="C11" s="828" t="s">
        <v>434</v>
      </c>
      <c r="D11" s="829">
        <v>13320</v>
      </c>
      <c r="E11" s="830">
        <v>0.3</v>
      </c>
      <c r="F11" s="815">
        <f>+D11*E11</f>
        <v>3996</v>
      </c>
      <c r="G11" s="815">
        <f>+F11*0.18</f>
        <v>719.28</v>
      </c>
      <c r="H11" s="815">
        <f>+G11+F11</f>
        <v>4715.28</v>
      </c>
      <c r="I11" s="1092"/>
      <c r="J11" s="1094"/>
    </row>
    <row r="12" spans="1:10" s="839" customFormat="1">
      <c r="A12" s="840"/>
      <c r="B12" s="841"/>
      <c r="C12" s="842"/>
      <c r="D12" s="843">
        <f>SUM(D10:D11)</f>
        <v>16820</v>
      </c>
      <c r="E12" s="844"/>
      <c r="F12" s="837">
        <f>SUM(F10:F11)</f>
        <v>5046</v>
      </c>
      <c r="G12" s="837">
        <f>SUM(G10:G11)</f>
        <v>908.28</v>
      </c>
      <c r="H12" s="837">
        <f>SUM(H10:H11)+0.5</f>
        <v>5954.78</v>
      </c>
      <c r="I12" s="838"/>
      <c r="J12" s="838"/>
    </row>
    <row r="13" spans="1:10" ht="15.75" thickBot="1">
      <c r="A13" s="683"/>
      <c r="B13" s="646"/>
      <c r="C13" s="650"/>
      <c r="D13" s="684"/>
      <c r="E13" s="647"/>
      <c r="F13" s="680"/>
      <c r="G13" s="680"/>
      <c r="H13" s="680"/>
    </row>
    <row r="14" spans="1:10">
      <c r="A14" s="821">
        <v>43024</v>
      </c>
      <c r="B14" s="822" t="s">
        <v>498</v>
      </c>
      <c r="C14" s="823" t="s">
        <v>434</v>
      </c>
      <c r="D14" s="824">
        <v>40940</v>
      </c>
      <c r="E14" s="825">
        <v>1.4</v>
      </c>
      <c r="F14" s="809">
        <f>+D14*E14</f>
        <v>57316</v>
      </c>
      <c r="G14" s="809">
        <f>+F14*0.18</f>
        <v>10316.879999999999</v>
      </c>
      <c r="H14" s="809">
        <f>+G14+F14</f>
        <v>67632.88</v>
      </c>
      <c r="I14" s="1091" t="s">
        <v>45</v>
      </c>
      <c r="J14" s="1093" t="s">
        <v>1091</v>
      </c>
    </row>
    <row r="15" spans="1:10">
      <c r="A15" s="810">
        <v>43031</v>
      </c>
      <c r="B15" s="649" t="s">
        <v>498</v>
      </c>
      <c r="C15" s="678" t="s">
        <v>434</v>
      </c>
      <c r="D15" s="679">
        <v>11391</v>
      </c>
      <c r="E15" s="680">
        <v>1.4</v>
      </c>
      <c r="F15" s="680">
        <f>+D15*E15</f>
        <v>15947.4</v>
      </c>
      <c r="G15" s="680">
        <f>+F15*0.18</f>
        <v>2870.5319999999997</v>
      </c>
      <c r="H15" s="680">
        <f>+G15+F15</f>
        <v>18817.932000000001</v>
      </c>
      <c r="I15" s="1095"/>
      <c r="J15" s="1096"/>
    </row>
    <row r="16" spans="1:10">
      <c r="A16" s="810">
        <v>43038</v>
      </c>
      <c r="B16" s="649" t="s">
        <v>498</v>
      </c>
      <c r="C16" s="678" t="s">
        <v>434</v>
      </c>
      <c r="D16" s="679">
        <v>41120</v>
      </c>
      <c r="E16" s="680">
        <v>1.4</v>
      </c>
      <c r="F16" s="680">
        <f>+D16*E16</f>
        <v>57567.999999999993</v>
      </c>
      <c r="G16" s="680">
        <f>+F16*0.18</f>
        <v>10362.239999999998</v>
      </c>
      <c r="H16" s="680">
        <f>+G16+F16</f>
        <v>67930.239999999991</v>
      </c>
      <c r="I16" s="1095"/>
      <c r="J16" s="1096"/>
    </row>
    <row r="17" spans="1:10" ht="15.75" thickBot="1">
      <c r="A17" s="826">
        <v>43039</v>
      </c>
      <c r="B17" s="827" t="s">
        <v>498</v>
      </c>
      <c r="C17" s="828" t="s">
        <v>434</v>
      </c>
      <c r="D17" s="829">
        <v>6073</v>
      </c>
      <c r="E17" s="830">
        <v>1.4</v>
      </c>
      <c r="F17" s="830">
        <f>+D17*E17</f>
        <v>8502.1999999999989</v>
      </c>
      <c r="G17" s="830">
        <f>+F17*0.18</f>
        <v>1530.3959999999997</v>
      </c>
      <c r="H17" s="815">
        <f>+G17+F17</f>
        <v>10032.595999999998</v>
      </c>
      <c r="I17" s="1092"/>
      <c r="J17" s="1094"/>
    </row>
    <row r="18" spans="1:10">
      <c r="A18" s="816"/>
      <c r="B18" s="817"/>
      <c r="C18" s="818"/>
      <c r="D18" s="843">
        <f>SUM(D14:D17)</f>
        <v>99524</v>
      </c>
      <c r="E18" s="820"/>
      <c r="F18" s="844">
        <f>SUM(F14:F17)</f>
        <v>139333.6</v>
      </c>
      <c r="G18" s="844">
        <f>SUM(G14:G17)</f>
        <v>25080.047999999995</v>
      </c>
      <c r="H18" s="873">
        <f>SUM(H14:H17)+0.5</f>
        <v>164414.14799999999</v>
      </c>
      <c r="I18" s="804"/>
      <c r="J18" s="804"/>
    </row>
    <row r="19" spans="1:10" ht="15.75" thickBot="1">
      <c r="A19" s="816"/>
      <c r="B19" s="817"/>
      <c r="C19" s="818"/>
      <c r="D19" s="819"/>
      <c r="E19" s="820"/>
      <c r="F19" s="820"/>
      <c r="G19" s="820"/>
      <c r="H19" s="680"/>
    </row>
    <row r="20" spans="1:10">
      <c r="A20" s="821">
        <v>43045</v>
      </c>
      <c r="B20" s="822" t="s">
        <v>498</v>
      </c>
      <c r="C20" s="823" t="s">
        <v>434</v>
      </c>
      <c r="D20" s="824">
        <v>18422</v>
      </c>
      <c r="E20" s="809">
        <v>1.4</v>
      </c>
      <c r="F20" s="825">
        <f>+D20*E20</f>
        <v>25790.799999999999</v>
      </c>
      <c r="G20" s="825">
        <f>+F20*0.18</f>
        <v>4642.3440000000001</v>
      </c>
      <c r="H20" s="809">
        <f>+G20+F20</f>
        <v>30433.144</v>
      </c>
      <c r="I20" s="1091" t="s">
        <v>45</v>
      </c>
      <c r="J20" s="1093" t="s">
        <v>1091</v>
      </c>
    </row>
    <row r="21" spans="1:10">
      <c r="A21" s="831">
        <v>43056</v>
      </c>
      <c r="B21" s="817" t="s">
        <v>498</v>
      </c>
      <c r="C21" s="818" t="s">
        <v>434</v>
      </c>
      <c r="D21" s="819">
        <v>41320</v>
      </c>
      <c r="E21" s="680">
        <v>1.4</v>
      </c>
      <c r="F21" s="820">
        <f>+D21*E21</f>
        <v>57847.999999999993</v>
      </c>
      <c r="G21" s="820">
        <f>+F21*0.18</f>
        <v>10412.639999999998</v>
      </c>
      <c r="H21" s="680">
        <f>+G21+F21</f>
        <v>68260.639999999985</v>
      </c>
      <c r="I21" s="1095"/>
      <c r="J21" s="1096"/>
    </row>
    <row r="22" spans="1:10" ht="15.75" thickBot="1">
      <c r="A22" s="826">
        <v>43059</v>
      </c>
      <c r="B22" s="827" t="s">
        <v>498</v>
      </c>
      <c r="C22" s="828" t="s">
        <v>434</v>
      </c>
      <c r="D22" s="829">
        <v>34280</v>
      </c>
      <c r="E22" s="815">
        <v>1.45</v>
      </c>
      <c r="F22" s="830">
        <f>+D22*E22</f>
        <v>49706</v>
      </c>
      <c r="G22" s="830">
        <f>+F22*0.18</f>
        <v>8947.08</v>
      </c>
      <c r="H22" s="815">
        <f>+G22+F22</f>
        <v>58653.08</v>
      </c>
      <c r="I22" s="1092"/>
      <c r="J22" s="1094"/>
    </row>
    <row r="23" spans="1:10">
      <c r="A23" s="816"/>
      <c r="B23" s="817"/>
      <c r="C23" s="818"/>
      <c r="D23" s="843">
        <f>SUM(D20:D22)</f>
        <v>94022</v>
      </c>
      <c r="E23" s="680"/>
      <c r="F23" s="844">
        <f>SUM(F20:F22)</f>
        <v>133344.79999999999</v>
      </c>
      <c r="G23" s="844">
        <f>SUM(G20:G22)</f>
        <v>24002.063999999998</v>
      </c>
      <c r="H23" s="873">
        <f>SUM(H20:H22)+0.5</f>
        <v>157347.364</v>
      </c>
      <c r="I23" s="804"/>
      <c r="J23" s="804"/>
    </row>
    <row r="24" spans="1:10" ht="15.75" thickBot="1">
      <c r="A24" s="683"/>
      <c r="B24" s="646"/>
      <c r="C24" s="650"/>
      <c r="D24" s="684"/>
      <c r="E24" s="682"/>
      <c r="F24" s="647"/>
      <c r="G24" s="647"/>
      <c r="H24" s="680"/>
    </row>
    <row r="25" spans="1:10" ht="15.75" thickBot="1">
      <c r="A25" s="687">
        <v>43054</v>
      </c>
      <c r="B25" s="707" t="s">
        <v>459</v>
      </c>
      <c r="C25" s="689" t="s">
        <v>434</v>
      </c>
      <c r="D25" s="688">
        <v>400</v>
      </c>
      <c r="E25" s="690">
        <v>4</v>
      </c>
      <c r="F25" s="674">
        <f>+D25*E25</f>
        <v>1600</v>
      </c>
      <c r="G25" s="674">
        <f>+F25*0.18</f>
        <v>288</v>
      </c>
      <c r="H25" s="674">
        <f>+G25+F25</f>
        <v>1888</v>
      </c>
      <c r="I25" s="832" t="s">
        <v>123</v>
      </c>
      <c r="J25" s="833" t="s">
        <v>1085</v>
      </c>
    </row>
    <row r="26" spans="1:10">
      <c r="A26" s="816"/>
      <c r="B26" s="817"/>
      <c r="C26" s="818"/>
      <c r="D26" s="843">
        <f>SUM(D25)</f>
        <v>400</v>
      </c>
      <c r="E26" s="820"/>
      <c r="F26" s="837">
        <f>SUM(F25)</f>
        <v>1600</v>
      </c>
      <c r="G26" s="837">
        <f>SUM(G25)</f>
        <v>288</v>
      </c>
      <c r="H26" s="837">
        <f>SUM(H25)+0.5</f>
        <v>1888.5</v>
      </c>
      <c r="I26" s="804"/>
      <c r="J26" s="804"/>
    </row>
    <row r="27" spans="1:10" ht="15.75" thickBot="1">
      <c r="A27" s="683"/>
      <c r="B27" s="646"/>
      <c r="C27" s="650"/>
      <c r="D27" s="684"/>
      <c r="E27" s="647"/>
      <c r="F27" s="680"/>
      <c r="G27" s="680"/>
      <c r="H27" s="680"/>
    </row>
    <row r="28" spans="1:10">
      <c r="A28" s="805">
        <v>43003</v>
      </c>
      <c r="B28" s="806" t="s">
        <v>436</v>
      </c>
      <c r="C28" s="807" t="s">
        <v>434</v>
      </c>
      <c r="D28" s="808">
        <v>6570</v>
      </c>
      <c r="E28" s="809">
        <v>4.2</v>
      </c>
      <c r="F28" s="809">
        <f>+D28*E28</f>
        <v>27594</v>
      </c>
      <c r="G28" s="809">
        <f>+F28*0.18</f>
        <v>4966.92</v>
      </c>
      <c r="H28" s="809">
        <f>+F28+G28</f>
        <v>32560.92</v>
      </c>
      <c r="I28" s="1091" t="s">
        <v>45</v>
      </c>
      <c r="J28" s="1093" t="s">
        <v>1085</v>
      </c>
    </row>
    <row r="29" spans="1:10" ht="15.75" thickBot="1">
      <c r="A29" s="811">
        <v>43006</v>
      </c>
      <c r="B29" s="812" t="s">
        <v>436</v>
      </c>
      <c r="C29" s="813" t="s">
        <v>434</v>
      </c>
      <c r="D29" s="814">
        <v>6113</v>
      </c>
      <c r="E29" s="815">
        <v>4.2</v>
      </c>
      <c r="F29" s="815">
        <f>+D29*E29</f>
        <v>25674.600000000002</v>
      </c>
      <c r="G29" s="815">
        <f>+F29*0.18</f>
        <v>4621.4279999999999</v>
      </c>
      <c r="H29" s="815">
        <f>+F29+G29</f>
        <v>30296.028000000002</v>
      </c>
      <c r="I29" s="1092"/>
      <c r="J29" s="1094"/>
    </row>
    <row r="30" spans="1:10">
      <c r="A30" s="677"/>
      <c r="B30" s="649"/>
      <c r="C30" s="678"/>
      <c r="D30" s="836">
        <f>SUM(D28:D29)</f>
        <v>12683</v>
      </c>
      <c r="E30" s="680"/>
      <c r="F30" s="837">
        <f>SUM(F28:F29)</f>
        <v>53268.600000000006</v>
      </c>
      <c r="G30" s="837">
        <f>SUM(G28:G29)</f>
        <v>9588.348</v>
      </c>
      <c r="H30" s="837">
        <f>SUM(H28:H29)+0.5</f>
        <v>62857.448000000004</v>
      </c>
      <c r="I30" s="804"/>
      <c r="J30" s="804"/>
    </row>
    <row r="31" spans="1:10" ht="15.75" thickBot="1">
      <c r="A31" s="677"/>
      <c r="B31" s="649"/>
      <c r="C31" s="678"/>
      <c r="D31" s="679"/>
      <c r="E31" s="680"/>
      <c r="F31" s="680"/>
      <c r="G31" s="680"/>
      <c r="H31" s="680"/>
    </row>
    <row r="32" spans="1:10">
      <c r="A32" s="805">
        <v>43010</v>
      </c>
      <c r="B32" s="806" t="s">
        <v>436</v>
      </c>
      <c r="C32" s="807" t="s">
        <v>434</v>
      </c>
      <c r="D32" s="808">
        <v>2661</v>
      </c>
      <c r="E32" s="809">
        <v>4.4000000000000004</v>
      </c>
      <c r="F32" s="809">
        <f t="shared" ref="F32:F37" si="3">+D32*E32</f>
        <v>11708.400000000001</v>
      </c>
      <c r="G32" s="809">
        <f t="shared" ref="G32:G37" si="4">+F32*0.18</f>
        <v>2107.5120000000002</v>
      </c>
      <c r="H32" s="809">
        <f t="shared" ref="H32:H37" si="5">+F32+G32</f>
        <v>13815.912000000002</v>
      </c>
      <c r="I32" s="1091" t="s">
        <v>45</v>
      </c>
      <c r="J32" s="1093" t="s">
        <v>1091</v>
      </c>
    </row>
    <row r="33" spans="1:10">
      <c r="A33" s="810">
        <v>43021</v>
      </c>
      <c r="B33" s="649" t="s">
        <v>436</v>
      </c>
      <c r="C33" s="678" t="s">
        <v>434</v>
      </c>
      <c r="D33" s="679">
        <v>6100</v>
      </c>
      <c r="E33" s="680">
        <v>4.4000000000000004</v>
      </c>
      <c r="F33" s="680">
        <f t="shared" si="3"/>
        <v>26840.000000000004</v>
      </c>
      <c r="G33" s="680">
        <f t="shared" si="4"/>
        <v>4831.2000000000007</v>
      </c>
      <c r="H33" s="680">
        <f t="shared" si="5"/>
        <v>31671.200000000004</v>
      </c>
      <c r="I33" s="1095"/>
      <c r="J33" s="1096"/>
    </row>
    <row r="34" spans="1:10">
      <c r="A34" s="810">
        <v>43026</v>
      </c>
      <c r="B34" s="649" t="s">
        <v>436</v>
      </c>
      <c r="C34" s="678" t="s">
        <v>434</v>
      </c>
      <c r="D34" s="679">
        <v>3964</v>
      </c>
      <c r="E34" s="680">
        <v>4.4000000000000004</v>
      </c>
      <c r="F34" s="680">
        <f t="shared" si="3"/>
        <v>17441.600000000002</v>
      </c>
      <c r="G34" s="680">
        <f t="shared" si="4"/>
        <v>3139.4880000000003</v>
      </c>
      <c r="H34" s="680">
        <f t="shared" si="5"/>
        <v>20581.088000000003</v>
      </c>
      <c r="I34" s="1095"/>
      <c r="J34" s="1096"/>
    </row>
    <row r="35" spans="1:10">
      <c r="A35" s="831">
        <v>43027</v>
      </c>
      <c r="B35" s="817" t="s">
        <v>436</v>
      </c>
      <c r="C35" s="818" t="s">
        <v>434</v>
      </c>
      <c r="D35" s="819">
        <v>3876</v>
      </c>
      <c r="E35" s="680">
        <v>4.4000000000000004</v>
      </c>
      <c r="F35" s="820">
        <f t="shared" si="3"/>
        <v>17054.400000000001</v>
      </c>
      <c r="G35" s="820">
        <f t="shared" si="4"/>
        <v>3069.7920000000004</v>
      </c>
      <c r="H35" s="820">
        <f t="shared" si="5"/>
        <v>20124.192000000003</v>
      </c>
      <c r="I35" s="1095"/>
      <c r="J35" s="1096"/>
    </row>
    <row r="36" spans="1:10">
      <c r="A36" s="831">
        <v>43031</v>
      </c>
      <c r="B36" s="817" t="s">
        <v>436</v>
      </c>
      <c r="C36" s="818" t="s">
        <v>434</v>
      </c>
      <c r="D36" s="819">
        <v>4967</v>
      </c>
      <c r="E36" s="680">
        <v>4.4000000000000004</v>
      </c>
      <c r="F36" s="680">
        <f t="shared" si="3"/>
        <v>21854.800000000003</v>
      </c>
      <c r="G36" s="820">
        <f t="shared" si="4"/>
        <v>3933.8640000000005</v>
      </c>
      <c r="H36" s="820">
        <f t="shared" si="5"/>
        <v>25788.664000000004</v>
      </c>
      <c r="I36" s="1095"/>
      <c r="J36" s="1096"/>
    </row>
    <row r="37" spans="1:10" ht="15.75" thickBot="1">
      <c r="A37" s="826">
        <v>43039</v>
      </c>
      <c r="B37" s="827" t="s">
        <v>436</v>
      </c>
      <c r="C37" s="828" t="s">
        <v>434</v>
      </c>
      <c r="D37" s="829">
        <v>2714</v>
      </c>
      <c r="E37" s="815">
        <v>4.4000000000000004</v>
      </c>
      <c r="F37" s="815">
        <f t="shared" si="3"/>
        <v>11941.6</v>
      </c>
      <c r="G37" s="830">
        <f t="shared" si="4"/>
        <v>2149.4879999999998</v>
      </c>
      <c r="H37" s="830">
        <f t="shared" si="5"/>
        <v>14091.088</v>
      </c>
      <c r="I37" s="1092"/>
      <c r="J37" s="1094"/>
    </row>
    <row r="38" spans="1:10">
      <c r="A38" s="816"/>
      <c r="B38" s="817"/>
      <c r="C38" s="818"/>
      <c r="D38" s="843">
        <f>SUM(D32:D37)</f>
        <v>24282</v>
      </c>
      <c r="E38" s="680"/>
      <c r="F38" s="837">
        <f>SUM(F32:F37)</f>
        <v>106840.80000000003</v>
      </c>
      <c r="G38" s="844">
        <f>SUM(G32:G37)</f>
        <v>19231.344000000005</v>
      </c>
      <c r="H38" s="873">
        <f>SUM(H32:H37)+0.5</f>
        <v>126072.64400000003</v>
      </c>
      <c r="I38" s="804"/>
      <c r="J38" s="804"/>
    </row>
    <row r="39" spans="1:10" ht="15.75" thickBot="1">
      <c r="A39" s="816"/>
      <c r="B39" s="817"/>
      <c r="C39" s="818"/>
      <c r="D39" s="819"/>
      <c r="E39" s="680"/>
      <c r="F39" s="680"/>
      <c r="G39" s="820"/>
      <c r="H39" s="820"/>
    </row>
    <row r="40" spans="1:10">
      <c r="A40" s="821">
        <v>43052</v>
      </c>
      <c r="B40" s="822" t="s">
        <v>436</v>
      </c>
      <c r="C40" s="823" t="s">
        <v>434</v>
      </c>
      <c r="D40" s="824">
        <v>4924</v>
      </c>
      <c r="E40" s="825">
        <v>4.4000000000000004</v>
      </c>
      <c r="F40" s="809">
        <f>+D40*E40</f>
        <v>21665.600000000002</v>
      </c>
      <c r="G40" s="809">
        <f>+F40*0.18</f>
        <v>3899.8080000000004</v>
      </c>
      <c r="H40" s="809">
        <f>+G40+F40</f>
        <v>25565.408000000003</v>
      </c>
      <c r="I40" s="1091" t="s">
        <v>45</v>
      </c>
      <c r="J40" s="1093" t="s">
        <v>1085</v>
      </c>
    </row>
    <row r="41" spans="1:10" ht="15.75" thickBot="1">
      <c r="A41" s="826">
        <v>43054</v>
      </c>
      <c r="B41" s="827" t="s">
        <v>436</v>
      </c>
      <c r="C41" s="828" t="s">
        <v>434</v>
      </c>
      <c r="D41" s="829">
        <v>2850</v>
      </c>
      <c r="E41" s="830">
        <v>4.4000000000000004</v>
      </c>
      <c r="F41" s="815">
        <f>+D41*E41</f>
        <v>12540.000000000002</v>
      </c>
      <c r="G41" s="815">
        <f>+F41*0.18</f>
        <v>2257.2000000000003</v>
      </c>
      <c r="H41" s="815">
        <f>+G41+F41</f>
        <v>14797.200000000003</v>
      </c>
      <c r="I41" s="1092"/>
      <c r="J41" s="1094"/>
    </row>
    <row r="42" spans="1:10">
      <c r="A42" s="816"/>
      <c r="B42" s="817"/>
      <c r="C42" s="818"/>
      <c r="D42" s="843">
        <f>SUM(D40:D41)</f>
        <v>7774</v>
      </c>
      <c r="E42" s="820"/>
      <c r="F42" s="844">
        <f>SUM(F40:F41)</f>
        <v>34205.600000000006</v>
      </c>
      <c r="G42" s="844">
        <f>SUM(G40:G41)</f>
        <v>6157.0080000000007</v>
      </c>
      <c r="H42" s="844">
        <f>SUM(H40:H41)+0.5</f>
        <v>40363.108000000007</v>
      </c>
    </row>
    <row r="43" spans="1:10">
      <c r="A43" s="683"/>
      <c r="B43" s="646"/>
      <c r="C43" s="650"/>
      <c r="D43" s="684"/>
      <c r="E43" s="647"/>
      <c r="F43" s="647"/>
      <c r="G43" s="647"/>
      <c r="H43" s="647"/>
    </row>
  </sheetData>
  <sortState ref="A9:J30">
    <sortCondition ref="B9:B30"/>
    <sortCondition ref="A9:A30"/>
  </sortState>
  <mergeCells count="14">
    <mergeCell ref="I3:I7"/>
    <mergeCell ref="I10:I11"/>
    <mergeCell ref="I14:I17"/>
    <mergeCell ref="J3:J7"/>
    <mergeCell ref="J10:J11"/>
    <mergeCell ref="J14:J17"/>
    <mergeCell ref="I40:I41"/>
    <mergeCell ref="J40:J41"/>
    <mergeCell ref="I20:I22"/>
    <mergeCell ref="J20:J22"/>
    <mergeCell ref="I28:I29"/>
    <mergeCell ref="J28:J29"/>
    <mergeCell ref="I32:I37"/>
    <mergeCell ref="J32:J37"/>
  </mergeCells>
  <pageMargins left="0.39370078740157483" right="0.39370078740157483" top="0.74803149606299213" bottom="0.74803149606299213" header="0.31496062992125984" footer="0.31496062992125984"/>
  <pageSetup paperSize="9" scale="95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F27" sqref="F27"/>
    </sheetView>
  </sheetViews>
  <sheetFormatPr baseColWidth="10" defaultRowHeight="15"/>
  <cols>
    <col min="1" max="1" width="20.85546875" bestFit="1" customWidth="1"/>
    <col min="2" max="2" width="11.42578125" style="49"/>
    <col min="3" max="3" width="21" bestFit="1" customWidth="1"/>
    <col min="4" max="4" width="11.42578125" style="49"/>
  </cols>
  <sheetData>
    <row r="1" spans="1:6" s="798" customFormat="1">
      <c r="B1" s="49"/>
      <c r="D1" s="49"/>
    </row>
    <row r="2" spans="1:6" s="798" customFormat="1">
      <c r="B2" s="49"/>
      <c r="D2" s="49"/>
    </row>
    <row r="3" spans="1:6" s="798" customFormat="1">
      <c r="B3" s="49"/>
      <c r="D3" s="49"/>
    </row>
    <row r="4" spans="1:6" s="111" customFormat="1">
      <c r="A4" s="1083" t="s">
        <v>1100</v>
      </c>
      <c r="B4" s="1083"/>
      <c r="C4" s="1083" t="s">
        <v>807</v>
      </c>
      <c r="D4" s="1083"/>
    </row>
    <row r="5" spans="1:6" s="798" customFormat="1">
      <c r="A5" s="798" t="s">
        <v>45</v>
      </c>
      <c r="B5" s="49">
        <v>32000</v>
      </c>
      <c r="C5" s="798" t="s">
        <v>1095</v>
      </c>
      <c r="D5" s="49">
        <f>3850+25800</f>
        <v>29650</v>
      </c>
      <c r="F5" s="49">
        <f>32000-25800</f>
        <v>6200</v>
      </c>
    </row>
    <row r="6" spans="1:6" s="798" customFormat="1">
      <c r="A6" s="798" t="s">
        <v>1361</v>
      </c>
      <c r="B6" s="49">
        <v>20000</v>
      </c>
      <c r="C6" s="798" t="s">
        <v>1096</v>
      </c>
      <c r="D6" s="49">
        <f>2900+16800</f>
        <v>19700</v>
      </c>
      <c r="F6" s="49">
        <f>20000-16800</f>
        <v>3200</v>
      </c>
    </row>
    <row r="7" spans="1:6" s="798" customFormat="1">
      <c r="A7" s="798" t="s">
        <v>1093</v>
      </c>
      <c r="B7" s="992">
        <v>1488.35</v>
      </c>
      <c r="C7" s="798" t="s">
        <v>1098</v>
      </c>
      <c r="D7" s="49">
        <f>40+70+40</f>
        <v>150</v>
      </c>
      <c r="E7"/>
    </row>
    <row r="8" spans="1:6">
      <c r="A8" s="798" t="s">
        <v>1092</v>
      </c>
      <c r="B8" s="49">
        <v>53275</v>
      </c>
      <c r="C8" s="798" t="s">
        <v>852</v>
      </c>
      <c r="D8" s="49">
        <v>54000</v>
      </c>
    </row>
    <row r="9" spans="1:6">
      <c r="A9" s="798" t="s">
        <v>1094</v>
      </c>
      <c r="B9" s="992">
        <v>1093.9649999999999</v>
      </c>
      <c r="C9" s="798" t="s">
        <v>1099</v>
      </c>
      <c r="D9" s="49">
        <f>3000+400+367.719</f>
        <v>3767.7190000000001</v>
      </c>
    </row>
    <row r="10" spans="1:6">
      <c r="A10" s="114" t="s">
        <v>1101</v>
      </c>
      <c r="B10" s="847">
        <v>1000</v>
      </c>
      <c r="C10" s="798" t="s">
        <v>1382</v>
      </c>
      <c r="D10" s="49">
        <f>33370+40</f>
        <v>33410</v>
      </c>
    </row>
    <row r="11" spans="1:6">
      <c r="A11" s="798" t="s">
        <v>1381</v>
      </c>
      <c r="B11" s="49">
        <v>55279.481</v>
      </c>
      <c r="C11" s="798" t="s">
        <v>1383</v>
      </c>
      <c r="D11" s="49">
        <v>13500</v>
      </c>
    </row>
    <row r="12" spans="1:6">
      <c r="A12" s="798" t="s">
        <v>1389</v>
      </c>
      <c r="B12" s="49">
        <v>130</v>
      </c>
      <c r="C12" s="798" t="s">
        <v>1384</v>
      </c>
      <c r="D12" s="49">
        <f>12+78.8</f>
        <v>90.8</v>
      </c>
    </row>
    <row r="13" spans="1:6">
      <c r="A13" s="798" t="s">
        <v>1390</v>
      </c>
      <c r="B13" s="49">
        <v>1100</v>
      </c>
      <c r="C13" s="798" t="s">
        <v>1385</v>
      </c>
      <c r="D13" s="49">
        <v>75</v>
      </c>
      <c r="E13" s="798"/>
    </row>
    <row r="14" spans="1:6" s="798" customFormat="1">
      <c r="A14" s="798" t="s">
        <v>1392</v>
      </c>
      <c r="B14" s="49">
        <v>3000</v>
      </c>
      <c r="C14" s="798" t="s">
        <v>1386</v>
      </c>
      <c r="D14" s="49">
        <v>10300</v>
      </c>
      <c r="E14"/>
    </row>
    <row r="15" spans="1:6">
      <c r="A15" s="798"/>
      <c r="C15" s="798" t="s">
        <v>1387</v>
      </c>
      <c r="D15" s="49">
        <v>1000</v>
      </c>
      <c r="E15" s="798"/>
    </row>
    <row r="16" spans="1:6" s="798" customFormat="1">
      <c r="B16" s="49"/>
      <c r="C16" s="798" t="s">
        <v>1388</v>
      </c>
      <c r="D16" s="49">
        <v>112.486</v>
      </c>
    </row>
    <row r="17" spans="1:5" s="798" customFormat="1">
      <c r="B17" s="49"/>
      <c r="C17" s="798" t="s">
        <v>1097</v>
      </c>
      <c r="D17" s="49">
        <v>400</v>
      </c>
    </row>
    <row r="18" spans="1:5" s="798" customFormat="1">
      <c r="B18" s="49"/>
      <c r="C18" s="798" t="s">
        <v>1391</v>
      </c>
      <c r="D18" s="49">
        <v>715</v>
      </c>
    </row>
    <row r="19" spans="1:5" s="798" customFormat="1">
      <c r="B19" s="49"/>
      <c r="C19" s="798" t="s">
        <v>1393</v>
      </c>
      <c r="D19" s="49">
        <v>630.9</v>
      </c>
    </row>
    <row r="20" spans="1:5" s="798" customFormat="1">
      <c r="B20" s="49"/>
      <c r="C20" s="798" t="s">
        <v>1394</v>
      </c>
      <c r="D20" s="49">
        <v>100</v>
      </c>
    </row>
    <row r="21" spans="1:5" s="798" customFormat="1">
      <c r="B21" s="49"/>
      <c r="D21" s="49"/>
    </row>
    <row r="22" spans="1:5" s="798" customFormat="1">
      <c r="A22" s="111"/>
      <c r="B22" s="767">
        <f>SUM(B5:B15)</f>
        <v>168366.796</v>
      </c>
      <c r="C22" s="111"/>
      <c r="D22" s="767">
        <f>SUM(D5:D20)</f>
        <v>167601.90499999997</v>
      </c>
      <c r="E22" s="111"/>
    </row>
    <row r="23" spans="1:5" s="111" customFormat="1">
      <c r="A23"/>
      <c r="B23" s="49"/>
      <c r="C23"/>
      <c r="D23" s="834">
        <f>+B22-D22</f>
        <v>764.89100000003236</v>
      </c>
      <c r="E23"/>
    </row>
  </sheetData>
  <mergeCells count="2">
    <mergeCell ref="A4:B4"/>
    <mergeCell ref="C4:D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S66"/>
  <sheetViews>
    <sheetView workbookViewId="0">
      <selection activeCell="I23" sqref="I23"/>
    </sheetView>
  </sheetViews>
  <sheetFormatPr baseColWidth="10" defaultRowHeight="15"/>
  <cols>
    <col min="1" max="1" width="15.7109375" style="114" customWidth="1"/>
    <col min="2" max="2" width="15.7109375" style="847" customWidth="1"/>
    <col min="3" max="3" width="15.7109375" style="114" customWidth="1"/>
    <col min="4" max="4" width="15.7109375" style="847" customWidth="1"/>
    <col min="5" max="5" width="3.28515625" style="114" customWidth="1"/>
    <col min="6" max="9" width="15.7109375" style="114" customWidth="1"/>
    <col min="10" max="10" width="2.85546875" style="114" customWidth="1"/>
    <col min="11" max="14" width="15.7109375" style="114" customWidth="1"/>
    <col min="15" max="15" width="4.140625" style="114" customWidth="1"/>
    <col min="16" max="19" width="15.7109375" style="114" customWidth="1"/>
    <col min="20" max="16384" width="11.42578125" style="114"/>
  </cols>
  <sheetData>
    <row r="1" spans="1:19">
      <c r="A1" s="1085" t="s">
        <v>115</v>
      </c>
      <c r="B1" s="1086"/>
      <c r="C1" s="1086"/>
      <c r="D1" s="1087"/>
      <c r="F1" s="1085" t="s">
        <v>45</v>
      </c>
      <c r="G1" s="1086"/>
      <c r="H1" s="1086"/>
      <c r="I1" s="1087"/>
      <c r="K1" s="1085" t="s">
        <v>123</v>
      </c>
      <c r="L1" s="1086"/>
      <c r="M1" s="1086"/>
      <c r="N1" s="1087"/>
      <c r="P1" s="1085" t="s">
        <v>1075</v>
      </c>
      <c r="Q1" s="1086"/>
      <c r="R1" s="1086"/>
      <c r="S1" s="1087"/>
    </row>
    <row r="2" spans="1:19">
      <c r="A2" s="849"/>
      <c r="B2" s="850"/>
      <c r="C2" s="851"/>
      <c r="D2" s="852"/>
      <c r="F2" s="849"/>
      <c r="G2" s="850"/>
      <c r="H2" s="851"/>
      <c r="I2" s="852"/>
      <c r="K2" s="849"/>
      <c r="L2" s="850"/>
      <c r="M2" s="851"/>
      <c r="N2" s="852"/>
      <c r="P2" s="849"/>
      <c r="Q2" s="850"/>
      <c r="R2" s="851"/>
      <c r="S2" s="852"/>
    </row>
    <row r="3" spans="1:19">
      <c r="A3" s="1088" t="s">
        <v>1073</v>
      </c>
      <c r="B3" s="1089"/>
      <c r="C3" s="1089" t="s">
        <v>1074</v>
      </c>
      <c r="D3" s="1090"/>
      <c r="F3" s="1088" t="s">
        <v>1073</v>
      </c>
      <c r="G3" s="1089"/>
      <c r="H3" s="1089" t="s">
        <v>1074</v>
      </c>
      <c r="I3" s="1090"/>
      <c r="K3" s="1088" t="s">
        <v>1073</v>
      </c>
      <c r="L3" s="1089"/>
      <c r="M3" s="1089" t="s">
        <v>1074</v>
      </c>
      <c r="N3" s="1090"/>
      <c r="P3" s="1088" t="s">
        <v>1073</v>
      </c>
      <c r="Q3" s="1089"/>
      <c r="R3" s="1089" t="s">
        <v>1074</v>
      </c>
      <c r="S3" s="1090"/>
    </row>
    <row r="4" spans="1:19">
      <c r="A4" s="849" t="s">
        <v>1075</v>
      </c>
      <c r="B4" s="962">
        <v>157194.57800000001</v>
      </c>
      <c r="C4" s="960" t="s">
        <v>1109</v>
      </c>
      <c r="D4" s="961">
        <v>53500</v>
      </c>
      <c r="F4" s="963" t="s">
        <v>46</v>
      </c>
      <c r="G4" s="962">
        <f>+D8</f>
        <v>34428.322999999997</v>
      </c>
      <c r="H4" s="960" t="s">
        <v>46</v>
      </c>
      <c r="I4" s="961">
        <f>+B6</f>
        <v>130075.519</v>
      </c>
      <c r="K4" s="963" t="s">
        <v>45</v>
      </c>
      <c r="L4" s="962">
        <f>+I6</f>
        <v>43606.078000000001</v>
      </c>
      <c r="M4" s="960" t="s">
        <v>45</v>
      </c>
      <c r="N4" s="961">
        <f>+G7</f>
        <v>70000</v>
      </c>
      <c r="P4" s="857" t="s">
        <v>1359</v>
      </c>
      <c r="Q4" s="858">
        <v>156386.70000000001</v>
      </c>
      <c r="R4" s="960" t="s">
        <v>1351</v>
      </c>
      <c r="S4" s="961">
        <f>+B4</f>
        <v>157194.57800000001</v>
      </c>
    </row>
    <row r="5" spans="1:19">
      <c r="A5" s="849" t="s">
        <v>1116</v>
      </c>
      <c r="B5" s="962">
        <f>+I23</f>
        <v>235000</v>
      </c>
      <c r="C5" s="960" t="s">
        <v>1109</v>
      </c>
      <c r="D5" s="961">
        <v>57600.56</v>
      </c>
      <c r="F5" s="963" t="s">
        <v>46</v>
      </c>
      <c r="G5" s="962">
        <f t="shared" ref="G5:G6" si="0">+D9</f>
        <v>201210.579</v>
      </c>
      <c r="H5" s="960" t="s">
        <v>46</v>
      </c>
      <c r="I5" s="961">
        <f>+B7</f>
        <v>45911.106</v>
      </c>
      <c r="K5" s="963" t="s">
        <v>45</v>
      </c>
      <c r="L5" s="962">
        <f>+I7</f>
        <v>14302.6</v>
      </c>
      <c r="M5" s="851"/>
      <c r="N5" s="852"/>
      <c r="P5" s="849" t="str">
        <f>+C7</f>
        <v>FG AVANCE/ACT°</v>
      </c>
      <c r="Q5" s="858">
        <v>235000</v>
      </c>
      <c r="R5" s="851" t="s">
        <v>1107</v>
      </c>
      <c r="S5" s="852">
        <f>+G23</f>
        <v>233285.242</v>
      </c>
    </row>
    <row r="6" spans="1:19">
      <c r="A6" s="849" t="s">
        <v>45</v>
      </c>
      <c r="B6" s="962">
        <v>130075.519</v>
      </c>
      <c r="C6" s="960" t="s">
        <v>1109</v>
      </c>
      <c r="D6" s="961">
        <f>+Q41</f>
        <v>34208.044999999998</v>
      </c>
      <c r="F6" s="963" t="s">
        <v>46</v>
      </c>
      <c r="G6" s="962">
        <f t="shared" si="0"/>
        <v>12851.075000000001</v>
      </c>
      <c r="H6" s="960" t="s">
        <v>123</v>
      </c>
      <c r="I6" s="961">
        <v>43606.078000000001</v>
      </c>
      <c r="K6" s="963" t="s">
        <v>46</v>
      </c>
      <c r="L6" s="962">
        <f>+D13</f>
        <v>364.21600000000001</v>
      </c>
      <c r="M6" s="960" t="s">
        <v>46</v>
      </c>
      <c r="N6" s="961">
        <f>+B8</f>
        <v>292.35000000000002</v>
      </c>
      <c r="P6" s="857"/>
      <c r="Q6" s="858"/>
      <c r="R6" s="960" t="s">
        <v>1357</v>
      </c>
      <c r="S6" s="961">
        <f>+B9</f>
        <v>15873.333000000001</v>
      </c>
    </row>
    <row r="7" spans="1:19">
      <c r="A7" s="849" t="s">
        <v>45</v>
      </c>
      <c r="B7" s="962">
        <v>45911.106</v>
      </c>
      <c r="C7" s="960" t="s">
        <v>1353</v>
      </c>
      <c r="D7" s="961">
        <f>+Q5</f>
        <v>235000</v>
      </c>
      <c r="F7" s="963" t="s">
        <v>123</v>
      </c>
      <c r="G7" s="962">
        <v>70000</v>
      </c>
      <c r="H7" s="960" t="s">
        <v>123</v>
      </c>
      <c r="I7" s="961">
        <v>14302.6</v>
      </c>
      <c r="K7" s="849"/>
      <c r="L7" s="850"/>
      <c r="M7" s="851"/>
      <c r="N7" s="852"/>
      <c r="P7" s="857"/>
      <c r="Q7" s="858"/>
      <c r="R7" s="851"/>
      <c r="S7" s="852"/>
    </row>
    <row r="8" spans="1:19">
      <c r="A8" s="849" t="s">
        <v>123</v>
      </c>
      <c r="B8" s="962">
        <v>292.35000000000002</v>
      </c>
      <c r="C8" s="960" t="s">
        <v>45</v>
      </c>
      <c r="D8" s="961">
        <v>34428.322999999997</v>
      </c>
      <c r="F8" s="963" t="s">
        <v>1357</v>
      </c>
      <c r="G8" s="962">
        <v>53000</v>
      </c>
      <c r="H8" s="960" t="s">
        <v>1080</v>
      </c>
      <c r="I8" s="961">
        <f>21240*0.85</f>
        <v>18054</v>
      </c>
      <c r="K8" s="849"/>
      <c r="L8" s="850"/>
      <c r="M8" s="851"/>
      <c r="N8" s="852"/>
      <c r="P8" s="849"/>
      <c r="Q8" s="850"/>
      <c r="R8" s="851"/>
      <c r="S8" s="852"/>
    </row>
    <row r="9" spans="1:19">
      <c r="A9" s="849" t="s">
        <v>1112</v>
      </c>
      <c r="B9" s="962">
        <v>15873.333000000001</v>
      </c>
      <c r="C9" s="960" t="s">
        <v>45</v>
      </c>
      <c r="D9" s="961">
        <v>201210.579</v>
      </c>
      <c r="F9" s="849"/>
      <c r="G9" s="850"/>
      <c r="H9" s="851"/>
      <c r="I9" s="852"/>
      <c r="K9" s="849"/>
      <c r="L9" s="850"/>
      <c r="M9" s="851"/>
      <c r="N9" s="852"/>
      <c r="P9" s="849"/>
      <c r="Q9" s="850"/>
      <c r="R9" s="851"/>
      <c r="S9" s="852"/>
    </row>
    <row r="10" spans="1:19">
      <c r="A10" s="849" t="s">
        <v>1117</v>
      </c>
      <c r="B10" s="962">
        <v>66.667000000000002</v>
      </c>
      <c r="C10" s="960" t="s">
        <v>45</v>
      </c>
      <c r="D10" s="961">
        <v>12851.075000000001</v>
      </c>
      <c r="F10" s="849"/>
      <c r="G10" s="850"/>
      <c r="H10" s="851"/>
      <c r="I10" s="852"/>
      <c r="K10" s="849"/>
      <c r="L10" s="850"/>
      <c r="M10" s="851"/>
      <c r="N10" s="852"/>
      <c r="P10" s="849"/>
      <c r="Q10" s="850"/>
      <c r="R10" s="851"/>
      <c r="S10" s="852"/>
    </row>
    <row r="11" spans="1:19">
      <c r="A11" s="849" t="s">
        <v>1118</v>
      </c>
      <c r="B11" s="962">
        <v>66.667000000000002</v>
      </c>
      <c r="C11" s="960" t="s">
        <v>1080</v>
      </c>
      <c r="D11" s="961">
        <v>8001.9949999999999</v>
      </c>
      <c r="F11" s="849"/>
      <c r="G11" s="850"/>
      <c r="H11" s="851"/>
      <c r="I11" s="852"/>
      <c r="K11" s="849"/>
      <c r="L11" s="850"/>
      <c r="M11" s="851"/>
      <c r="N11" s="852"/>
      <c r="P11" s="849"/>
      <c r="Q11" s="850"/>
      <c r="R11" s="851"/>
      <c r="S11" s="852"/>
    </row>
    <row r="12" spans="1:19">
      <c r="A12" s="849" t="s">
        <v>1119</v>
      </c>
      <c r="B12" s="962">
        <v>133.333</v>
      </c>
      <c r="C12" s="851" t="s">
        <v>106</v>
      </c>
      <c r="D12" s="852">
        <v>8440.3019999999997</v>
      </c>
      <c r="F12" s="849"/>
      <c r="G12" s="850"/>
      <c r="H12" s="851"/>
      <c r="I12" s="852"/>
      <c r="K12" s="849"/>
      <c r="L12" s="850"/>
      <c r="M12" s="851"/>
      <c r="N12" s="852"/>
      <c r="P12" s="849"/>
      <c r="Q12" s="850"/>
      <c r="R12" s="851"/>
      <c r="S12" s="852"/>
    </row>
    <row r="13" spans="1:19">
      <c r="A13" s="849" t="s">
        <v>1120</v>
      </c>
      <c r="B13" s="962">
        <v>66.667000000000002</v>
      </c>
      <c r="C13" s="960" t="s">
        <v>123</v>
      </c>
      <c r="D13" s="961">
        <v>364.21600000000001</v>
      </c>
      <c r="F13" s="849"/>
      <c r="G13" s="850"/>
      <c r="H13" s="851"/>
      <c r="I13" s="852"/>
      <c r="K13" s="849"/>
      <c r="L13" s="850"/>
      <c r="M13" s="851"/>
      <c r="N13" s="852"/>
      <c r="P13" s="849"/>
      <c r="Q13" s="850"/>
      <c r="R13" s="851"/>
      <c r="S13" s="852"/>
    </row>
    <row r="14" spans="1:19">
      <c r="A14" s="849"/>
      <c r="B14" s="850"/>
      <c r="C14" s="960" t="s">
        <v>1354</v>
      </c>
      <c r="D14" s="961">
        <v>315</v>
      </c>
      <c r="F14" s="849"/>
      <c r="G14" s="850"/>
      <c r="H14" s="851"/>
      <c r="I14" s="852"/>
      <c r="K14" s="849"/>
      <c r="L14" s="850"/>
      <c r="M14" s="851"/>
      <c r="N14" s="852"/>
      <c r="P14" s="849"/>
      <c r="Q14" s="850"/>
      <c r="R14" s="851"/>
      <c r="S14" s="852"/>
    </row>
    <row r="15" spans="1:19">
      <c r="A15" s="849"/>
      <c r="B15" s="850"/>
      <c r="C15" s="960" t="s">
        <v>129</v>
      </c>
      <c r="D15" s="961">
        <v>478.25200000000001</v>
      </c>
      <c r="F15" s="849"/>
      <c r="G15" s="850"/>
      <c r="H15" s="851"/>
      <c r="I15" s="852"/>
      <c r="K15" s="849"/>
      <c r="L15" s="850"/>
      <c r="M15" s="851"/>
      <c r="N15" s="852"/>
      <c r="P15" s="849"/>
      <c r="Q15" s="850"/>
      <c r="R15" s="851"/>
      <c r="S15" s="852"/>
    </row>
    <row r="16" spans="1:19">
      <c r="A16" s="849"/>
      <c r="B16" s="850"/>
      <c r="C16" s="851" t="s">
        <v>1356</v>
      </c>
      <c r="D16" s="852">
        <v>74992.5</v>
      </c>
      <c r="F16" s="849"/>
      <c r="G16" s="850"/>
      <c r="H16" s="851"/>
      <c r="I16" s="852"/>
      <c r="K16" s="849"/>
      <c r="L16" s="850"/>
      <c r="M16" s="851"/>
      <c r="N16" s="852"/>
      <c r="P16" s="849"/>
      <c r="Q16" s="850"/>
      <c r="R16" s="851"/>
      <c r="S16" s="852"/>
    </row>
    <row r="17" spans="1:19">
      <c r="A17" s="849"/>
      <c r="B17" s="850"/>
      <c r="C17" s="960" t="s">
        <v>45</v>
      </c>
      <c r="D17" s="961">
        <v>53000</v>
      </c>
      <c r="F17" s="849"/>
      <c r="G17" s="850"/>
      <c r="H17" s="851"/>
      <c r="I17" s="852"/>
      <c r="K17" s="849"/>
      <c r="L17" s="850"/>
      <c r="M17" s="851"/>
      <c r="N17" s="852"/>
      <c r="P17" s="849"/>
      <c r="Q17" s="850"/>
      <c r="R17" s="851"/>
      <c r="S17" s="852"/>
    </row>
    <row r="18" spans="1:19" s="848" customFormat="1" ht="15.75" thickBot="1">
      <c r="A18" s="853"/>
      <c r="B18" s="854">
        <f>SUM(B4:B16)</f>
        <v>584680.22</v>
      </c>
      <c r="C18" s="855"/>
      <c r="D18" s="856">
        <f>SUM(D4:D17)</f>
        <v>774390.84699999995</v>
      </c>
      <c r="F18" s="853"/>
      <c r="G18" s="854">
        <f>SUM(G4:G17)</f>
        <v>371489.97700000001</v>
      </c>
      <c r="H18" s="855"/>
      <c r="I18" s="856">
        <f>SUM(I4:I16)</f>
        <v>251949.30300000001</v>
      </c>
      <c r="K18" s="853"/>
      <c r="L18" s="854">
        <f>SUM(L4:L8)</f>
        <v>58272.894</v>
      </c>
      <c r="M18" s="855"/>
      <c r="N18" s="856">
        <f>SUM(N4:N10)</f>
        <v>70292.350000000006</v>
      </c>
      <c r="P18" s="853"/>
      <c r="Q18" s="854">
        <f>SUM(Q4:Q8)</f>
        <v>391386.7</v>
      </c>
      <c r="R18" s="855"/>
      <c r="S18" s="856">
        <f>SUM(S4:S10)</f>
        <v>406353.15299999999</v>
      </c>
    </row>
    <row r="19" spans="1:19" ht="15.75" thickBot="1">
      <c r="D19" s="847">
        <f>+D18-B18</f>
        <v>189710.62699999998</v>
      </c>
    </row>
    <row r="20" spans="1:19">
      <c r="A20" s="1100" t="s">
        <v>1077</v>
      </c>
      <c r="B20" s="1101"/>
      <c r="C20" s="1101"/>
      <c r="D20" s="1102"/>
      <c r="F20" s="1085" t="s">
        <v>1081</v>
      </c>
      <c r="G20" s="1086"/>
      <c r="H20" s="1086"/>
      <c r="I20" s="1087"/>
      <c r="K20" s="1100" t="s">
        <v>1083</v>
      </c>
      <c r="L20" s="1101"/>
      <c r="M20" s="1101"/>
      <c r="N20" s="1102"/>
      <c r="P20" s="1100" t="s">
        <v>1079</v>
      </c>
      <c r="Q20" s="1101"/>
      <c r="R20" s="1101"/>
      <c r="S20" s="1102"/>
    </row>
    <row r="21" spans="1:19">
      <c r="A21" s="859"/>
      <c r="B21" s="860"/>
      <c r="C21" s="861"/>
      <c r="D21" s="862"/>
      <c r="F21" s="849"/>
      <c r="G21" s="850"/>
      <c r="H21" s="851"/>
      <c r="I21" s="852"/>
      <c r="K21" s="859"/>
      <c r="L21" s="860"/>
      <c r="M21" s="861"/>
      <c r="N21" s="862"/>
      <c r="P21" s="859"/>
      <c r="Q21" s="860"/>
      <c r="R21" s="861"/>
      <c r="S21" s="862"/>
    </row>
    <row r="22" spans="1:19">
      <c r="A22" s="1097" t="s">
        <v>1073</v>
      </c>
      <c r="B22" s="1098"/>
      <c r="C22" s="1098" t="s">
        <v>1074</v>
      </c>
      <c r="D22" s="1099"/>
      <c r="F22" s="1088" t="s">
        <v>1073</v>
      </c>
      <c r="G22" s="1089"/>
      <c r="H22" s="1089" t="s">
        <v>1074</v>
      </c>
      <c r="I22" s="1090"/>
      <c r="K22" s="1097" t="s">
        <v>1073</v>
      </c>
      <c r="L22" s="1098"/>
      <c r="M22" s="1098" t="s">
        <v>1074</v>
      </c>
      <c r="N22" s="1099"/>
      <c r="P22" s="1097" t="s">
        <v>1073</v>
      </c>
      <c r="Q22" s="1098"/>
      <c r="R22" s="1098" t="s">
        <v>1074</v>
      </c>
      <c r="S22" s="1099"/>
    </row>
    <row r="23" spans="1:19">
      <c r="A23" s="859"/>
      <c r="B23" s="860"/>
      <c r="C23" s="861"/>
      <c r="D23" s="862"/>
      <c r="F23" s="849" t="s">
        <v>1082</v>
      </c>
      <c r="G23" s="850">
        <v>233285.242</v>
      </c>
      <c r="H23" s="851" t="s">
        <v>1110</v>
      </c>
      <c r="I23" s="852">
        <v>235000</v>
      </c>
      <c r="K23" s="859"/>
      <c r="L23" s="860"/>
      <c r="M23" s="861"/>
      <c r="N23" s="862"/>
      <c r="P23" s="859"/>
      <c r="Q23" s="860"/>
      <c r="R23" s="863"/>
      <c r="S23" s="864"/>
    </row>
    <row r="24" spans="1:19">
      <c r="A24" s="949"/>
      <c r="B24" s="950"/>
      <c r="C24" s="861"/>
      <c r="D24" s="862"/>
      <c r="F24" s="849"/>
      <c r="G24" s="850"/>
      <c r="H24" s="851"/>
      <c r="I24" s="852"/>
      <c r="K24" s="859"/>
      <c r="L24" s="860"/>
      <c r="M24" s="863"/>
      <c r="N24" s="864"/>
      <c r="P24" s="859"/>
      <c r="Q24" s="860"/>
      <c r="R24" s="861"/>
      <c r="S24" s="862"/>
    </row>
    <row r="25" spans="1:19">
      <c r="A25" s="859"/>
      <c r="B25" s="860"/>
      <c r="C25" s="863"/>
      <c r="D25" s="864"/>
      <c r="F25" s="849"/>
      <c r="G25" s="850"/>
      <c r="H25" s="851"/>
      <c r="I25" s="852"/>
      <c r="K25" s="859"/>
      <c r="L25" s="860"/>
      <c r="M25" s="861"/>
      <c r="N25" s="862"/>
      <c r="P25" s="859"/>
      <c r="Q25" s="860"/>
      <c r="R25" s="861"/>
      <c r="S25" s="862"/>
    </row>
    <row r="26" spans="1:19">
      <c r="A26" s="859"/>
      <c r="B26" s="860"/>
      <c r="C26" s="861"/>
      <c r="D26" s="862"/>
      <c r="F26" s="849"/>
      <c r="G26" s="850"/>
      <c r="H26" s="851"/>
      <c r="I26" s="852"/>
      <c r="K26" s="859"/>
      <c r="L26" s="860"/>
      <c r="M26" s="861"/>
      <c r="N26" s="862"/>
      <c r="P26" s="859"/>
      <c r="Q26" s="860"/>
      <c r="R26" s="861"/>
      <c r="S26" s="862"/>
    </row>
    <row r="27" spans="1:19">
      <c r="A27" s="859"/>
      <c r="B27" s="860"/>
      <c r="C27" s="861"/>
      <c r="D27" s="862"/>
      <c r="F27" s="849"/>
      <c r="G27" s="850"/>
      <c r="H27" s="851"/>
      <c r="I27" s="852"/>
      <c r="K27" s="859"/>
      <c r="L27" s="860"/>
      <c r="M27" s="861"/>
      <c r="N27" s="862"/>
      <c r="P27" s="859"/>
      <c r="Q27" s="860"/>
      <c r="R27" s="861"/>
      <c r="S27" s="862"/>
    </row>
    <row r="28" spans="1:19">
      <c r="A28" s="859"/>
      <c r="B28" s="860"/>
      <c r="C28" s="861"/>
      <c r="D28" s="862"/>
      <c r="F28" s="849"/>
      <c r="G28" s="850"/>
      <c r="H28" s="851"/>
      <c r="I28" s="852"/>
      <c r="K28" s="859"/>
      <c r="L28" s="860"/>
      <c r="M28" s="861"/>
      <c r="N28" s="862"/>
      <c r="P28" s="859"/>
      <c r="Q28" s="860"/>
      <c r="R28" s="861"/>
      <c r="S28" s="862"/>
    </row>
    <row r="29" spans="1:19">
      <c r="A29" s="859"/>
      <c r="B29" s="860"/>
      <c r="C29" s="861"/>
      <c r="D29" s="862"/>
      <c r="F29" s="849"/>
      <c r="G29" s="850"/>
      <c r="H29" s="851"/>
      <c r="I29" s="852"/>
      <c r="K29" s="859"/>
      <c r="L29" s="860"/>
      <c r="M29" s="861"/>
      <c r="N29" s="862"/>
      <c r="P29" s="859"/>
      <c r="Q29" s="860"/>
      <c r="R29" s="861"/>
      <c r="S29" s="862"/>
    </row>
    <row r="30" spans="1:19">
      <c r="A30" s="859"/>
      <c r="B30" s="860"/>
      <c r="C30" s="861"/>
      <c r="D30" s="862"/>
      <c r="F30" s="849"/>
      <c r="G30" s="850"/>
      <c r="H30" s="851"/>
      <c r="I30" s="852"/>
      <c r="K30" s="859"/>
      <c r="L30" s="860"/>
      <c r="M30" s="861"/>
      <c r="N30" s="862"/>
      <c r="P30" s="859"/>
      <c r="Q30" s="860"/>
      <c r="R30" s="861"/>
      <c r="S30" s="862"/>
    </row>
    <row r="31" spans="1:19">
      <c r="A31" s="859"/>
      <c r="B31" s="860"/>
      <c r="C31" s="861"/>
      <c r="D31" s="862"/>
      <c r="F31" s="849"/>
      <c r="G31" s="850"/>
      <c r="H31" s="851"/>
      <c r="I31" s="852"/>
      <c r="K31" s="859"/>
      <c r="L31" s="860"/>
      <c r="M31" s="861"/>
      <c r="N31" s="862"/>
      <c r="P31" s="859"/>
      <c r="Q31" s="860"/>
      <c r="R31" s="861"/>
      <c r="S31" s="862"/>
    </row>
    <row r="32" spans="1:19" ht="15.75" thickBot="1">
      <c r="A32" s="865"/>
      <c r="B32" s="866">
        <f>SUM(B23:B27)</f>
        <v>0</v>
      </c>
      <c r="C32" s="867"/>
      <c r="D32" s="868">
        <f>SUM(D23:D27)</f>
        <v>0</v>
      </c>
      <c r="F32" s="853"/>
      <c r="G32" s="854">
        <f>SUM(G23:G27)</f>
        <v>233285.242</v>
      </c>
      <c r="H32" s="855"/>
      <c r="I32" s="856">
        <f>SUM(I23:I29)</f>
        <v>235000</v>
      </c>
      <c r="K32" s="865"/>
      <c r="L32" s="866">
        <f>SUM(L23:L27)</f>
        <v>0</v>
      </c>
      <c r="M32" s="867"/>
      <c r="N32" s="868">
        <f>SUM(N23:N29)</f>
        <v>0</v>
      </c>
      <c r="P32" s="865"/>
      <c r="Q32" s="866">
        <f>SUM(Q23:Q27)</f>
        <v>0</v>
      </c>
      <c r="R32" s="867"/>
      <c r="S32" s="868">
        <f>SUM(S23:S29)</f>
        <v>0</v>
      </c>
    </row>
    <row r="33" spans="1:19">
      <c r="B33" s="114"/>
      <c r="D33" s="114"/>
    </row>
    <row r="34" spans="1:19" ht="15.75" thickBot="1"/>
    <row r="35" spans="1:19">
      <c r="A35" s="1100" t="s">
        <v>989</v>
      </c>
      <c r="B35" s="1101"/>
      <c r="C35" s="1101"/>
      <c r="D35" s="1102"/>
      <c r="F35" s="1085" t="s">
        <v>1106</v>
      </c>
      <c r="G35" s="1086"/>
      <c r="H35" s="1086"/>
      <c r="I35" s="1087"/>
      <c r="K35" s="1085" t="s">
        <v>1080</v>
      </c>
      <c r="L35" s="1086"/>
      <c r="M35" s="1086"/>
      <c r="N35" s="1087"/>
      <c r="P35" s="1100" t="s">
        <v>1076</v>
      </c>
      <c r="Q35" s="1101"/>
      <c r="R35" s="1101"/>
      <c r="S35" s="1102"/>
    </row>
    <row r="36" spans="1:19">
      <c r="A36" s="859"/>
      <c r="B36" s="860"/>
      <c r="C36" s="861"/>
      <c r="D36" s="862"/>
      <c r="F36" s="849"/>
      <c r="G36" s="850"/>
      <c r="H36" s="851"/>
      <c r="I36" s="852"/>
      <c r="K36" s="849"/>
      <c r="L36" s="850"/>
      <c r="M36" s="851"/>
      <c r="N36" s="852"/>
      <c r="P36" s="859"/>
      <c r="Q36" s="860"/>
      <c r="R36" s="861"/>
      <c r="S36" s="862"/>
    </row>
    <row r="37" spans="1:19">
      <c r="A37" s="1097" t="s">
        <v>1073</v>
      </c>
      <c r="B37" s="1098"/>
      <c r="C37" s="1098" t="s">
        <v>1074</v>
      </c>
      <c r="D37" s="1099"/>
      <c r="F37" s="1088" t="s">
        <v>1073</v>
      </c>
      <c r="G37" s="1089"/>
      <c r="H37" s="1089" t="s">
        <v>1074</v>
      </c>
      <c r="I37" s="1090"/>
      <c r="K37" s="1088" t="s">
        <v>1073</v>
      </c>
      <c r="L37" s="1089"/>
      <c r="M37" s="1089" t="s">
        <v>1074</v>
      </c>
      <c r="N37" s="1090"/>
      <c r="P37" s="1097" t="s">
        <v>1073</v>
      </c>
      <c r="Q37" s="1098"/>
      <c r="R37" s="1098" t="s">
        <v>1074</v>
      </c>
      <c r="S37" s="1099"/>
    </row>
    <row r="38" spans="1:19">
      <c r="A38" s="859"/>
      <c r="B38" s="860"/>
      <c r="C38" s="863"/>
      <c r="D38" s="864"/>
      <c r="F38" s="849" t="s">
        <v>1352</v>
      </c>
      <c r="G38" s="850">
        <f>+D38</f>
        <v>0</v>
      </c>
      <c r="H38" s="851" t="s">
        <v>1107</v>
      </c>
      <c r="I38" s="948">
        <f>+G24</f>
        <v>0</v>
      </c>
      <c r="K38" s="849"/>
      <c r="L38" s="850"/>
      <c r="M38" s="851"/>
      <c r="N38" s="852"/>
      <c r="P38" s="859"/>
      <c r="Q38" s="860"/>
      <c r="R38" s="861" t="s">
        <v>1355</v>
      </c>
      <c r="S38" s="862">
        <f>+Q4</f>
        <v>156386.70000000001</v>
      </c>
    </row>
    <row r="39" spans="1:19">
      <c r="A39" s="859"/>
      <c r="B39" s="860"/>
      <c r="C39" s="861"/>
      <c r="D39" s="862"/>
      <c r="F39" s="849"/>
      <c r="G39" s="850"/>
      <c r="H39" s="851" t="s">
        <v>1107</v>
      </c>
      <c r="I39" s="948">
        <f>+G26</f>
        <v>0</v>
      </c>
      <c r="K39" s="849"/>
      <c r="L39" s="850"/>
      <c r="M39" s="851"/>
      <c r="N39" s="852"/>
      <c r="P39" s="859" t="s">
        <v>46</v>
      </c>
      <c r="Q39" s="860">
        <f>+D4</f>
        <v>53500</v>
      </c>
      <c r="R39" s="863" t="s">
        <v>1115</v>
      </c>
      <c r="S39" s="864"/>
    </row>
    <row r="40" spans="1:19">
      <c r="A40" s="859"/>
      <c r="B40" s="860"/>
      <c r="C40" s="861"/>
      <c r="D40" s="862"/>
      <c r="F40" s="849"/>
      <c r="G40" s="850"/>
      <c r="H40" s="851"/>
      <c r="I40" s="852"/>
      <c r="K40" s="849"/>
      <c r="L40" s="850"/>
      <c r="M40" s="851"/>
      <c r="N40" s="852"/>
      <c r="P40" s="859" t="s">
        <v>46</v>
      </c>
      <c r="Q40" s="860">
        <f>+D5</f>
        <v>57600.56</v>
      </c>
      <c r="R40" s="861"/>
      <c r="S40" s="862"/>
    </row>
    <row r="41" spans="1:19">
      <c r="A41" s="859"/>
      <c r="B41" s="860"/>
      <c r="C41" s="861"/>
      <c r="D41" s="862"/>
      <c r="F41" s="849"/>
      <c r="G41" s="850"/>
      <c r="H41" s="851"/>
      <c r="I41" s="852"/>
      <c r="K41" s="849"/>
      <c r="L41" s="850"/>
      <c r="M41" s="851"/>
      <c r="N41" s="852"/>
      <c r="P41" s="859" t="s">
        <v>46</v>
      </c>
      <c r="Q41" s="860">
        <v>34208.044999999998</v>
      </c>
      <c r="R41" s="861"/>
      <c r="S41" s="862"/>
    </row>
    <row r="42" spans="1:19">
      <c r="A42" s="859"/>
      <c r="B42" s="860"/>
      <c r="C42" s="861"/>
      <c r="D42" s="862"/>
      <c r="F42" s="849"/>
      <c r="G42" s="850"/>
      <c r="H42" s="851"/>
      <c r="I42" s="948"/>
      <c r="K42" s="849"/>
      <c r="L42" s="850"/>
      <c r="M42" s="851"/>
      <c r="N42" s="852"/>
      <c r="P42" s="859"/>
      <c r="Q42" s="860"/>
      <c r="R42" s="861"/>
      <c r="S42" s="862"/>
    </row>
    <row r="43" spans="1:19">
      <c r="A43" s="859"/>
      <c r="B43" s="860"/>
      <c r="C43" s="861"/>
      <c r="D43" s="862"/>
      <c r="F43" s="849"/>
      <c r="G43" s="850"/>
      <c r="H43" s="851"/>
      <c r="I43" s="852"/>
      <c r="K43" s="849"/>
      <c r="L43" s="850"/>
      <c r="M43" s="851"/>
      <c r="N43" s="852"/>
      <c r="P43" s="859"/>
      <c r="Q43" s="860"/>
      <c r="R43" s="861"/>
      <c r="S43" s="862"/>
    </row>
    <row r="44" spans="1:19">
      <c r="A44" s="859"/>
      <c r="B44" s="860"/>
      <c r="C44" s="861"/>
      <c r="D44" s="862"/>
      <c r="F44" s="849"/>
      <c r="G44" s="850"/>
      <c r="H44" s="851"/>
      <c r="I44" s="852"/>
      <c r="K44" s="849"/>
      <c r="L44" s="850"/>
      <c r="M44" s="851"/>
      <c r="N44" s="852"/>
      <c r="P44" s="859"/>
      <c r="Q44" s="860"/>
      <c r="R44" s="861"/>
      <c r="S44" s="862"/>
    </row>
    <row r="45" spans="1:19">
      <c r="A45" s="859"/>
      <c r="B45" s="860"/>
      <c r="C45" s="861"/>
      <c r="D45" s="862"/>
      <c r="F45" s="849"/>
      <c r="G45" s="850"/>
      <c r="H45" s="851"/>
      <c r="I45" s="852"/>
      <c r="K45" s="849"/>
      <c r="L45" s="850"/>
      <c r="M45" s="851"/>
      <c r="N45" s="852"/>
      <c r="P45" s="859"/>
      <c r="Q45" s="860"/>
      <c r="R45" s="861"/>
      <c r="S45" s="862"/>
    </row>
    <row r="46" spans="1:19">
      <c r="A46" s="859"/>
      <c r="B46" s="860"/>
      <c r="C46" s="861"/>
      <c r="D46" s="862"/>
      <c r="F46" s="849"/>
      <c r="G46" s="850"/>
      <c r="H46" s="851"/>
      <c r="I46" s="852"/>
      <c r="K46" s="849"/>
      <c r="L46" s="850"/>
      <c r="M46" s="851"/>
      <c r="N46" s="852"/>
      <c r="P46" s="859"/>
      <c r="Q46" s="860"/>
      <c r="R46" s="861"/>
      <c r="S46" s="862"/>
    </row>
    <row r="47" spans="1:19" ht="15.75" thickBot="1">
      <c r="A47" s="865"/>
      <c r="B47" s="866">
        <f>SUM(B38:B39)</f>
        <v>0</v>
      </c>
      <c r="C47" s="867"/>
      <c r="D47" s="868">
        <f>SUM(D38:D41)</f>
        <v>0</v>
      </c>
      <c r="F47" s="853"/>
      <c r="G47" s="854">
        <f>SUM(G38:G42)</f>
        <v>0</v>
      </c>
      <c r="H47" s="855"/>
      <c r="I47" s="856">
        <f>SUM(I38:I44)</f>
        <v>0</v>
      </c>
      <c r="K47" s="853"/>
      <c r="L47" s="854">
        <f>SUM(L38:L40)</f>
        <v>0</v>
      </c>
      <c r="M47" s="855"/>
      <c r="N47" s="856">
        <f>SUM(N38:N40)</f>
        <v>0</v>
      </c>
      <c r="P47" s="865"/>
      <c r="Q47" s="866">
        <f>SUM(Q38:Q42)</f>
        <v>145308.60499999998</v>
      </c>
      <c r="R47" s="867"/>
      <c r="S47" s="868">
        <f>SUM(S38:S44)</f>
        <v>156386.70000000001</v>
      </c>
    </row>
    <row r="66" spans="10:15">
      <c r="J66" s="848"/>
      <c r="O66" s="848"/>
    </row>
  </sheetData>
  <mergeCells count="36">
    <mergeCell ref="A1:D1"/>
    <mergeCell ref="F1:I1"/>
    <mergeCell ref="K1:N1"/>
    <mergeCell ref="P1:S1"/>
    <mergeCell ref="A3:B3"/>
    <mergeCell ref="C3:D3"/>
    <mergeCell ref="F3:G3"/>
    <mergeCell ref="H3:I3"/>
    <mergeCell ref="K3:L3"/>
    <mergeCell ref="M3:N3"/>
    <mergeCell ref="P3:Q3"/>
    <mergeCell ref="R3:S3"/>
    <mergeCell ref="A20:D20"/>
    <mergeCell ref="F20:I20"/>
    <mergeCell ref="K20:N20"/>
    <mergeCell ref="P20:S20"/>
    <mergeCell ref="P22:Q22"/>
    <mergeCell ref="R22:S22"/>
    <mergeCell ref="A35:D35"/>
    <mergeCell ref="F35:I35"/>
    <mergeCell ref="K35:N35"/>
    <mergeCell ref="P35:S35"/>
    <mergeCell ref="A22:B22"/>
    <mergeCell ref="C22:D22"/>
    <mergeCell ref="F22:G22"/>
    <mergeCell ref="H22:I22"/>
    <mergeCell ref="K22:L22"/>
    <mergeCell ref="M22:N22"/>
    <mergeCell ref="P37:Q37"/>
    <mergeCell ref="R37:S37"/>
    <mergeCell ref="A37:B37"/>
    <mergeCell ref="C37:D37"/>
    <mergeCell ref="F37:G37"/>
    <mergeCell ref="H37:I37"/>
    <mergeCell ref="K37:L37"/>
    <mergeCell ref="M37:N3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sqref="A1:A1048576"/>
    </sheetView>
  </sheetViews>
  <sheetFormatPr baseColWidth="10" defaultRowHeight="15"/>
  <sheetData>
    <row r="1" spans="1:1">
      <c r="A1">
        <v>54836.697999999997</v>
      </c>
    </row>
    <row r="2" spans="1:1">
      <c r="A2">
        <v>11456.674000000001</v>
      </c>
    </row>
    <row r="3" spans="1:1">
      <c r="A3">
        <v>61783.521999999997</v>
      </c>
    </row>
    <row r="4" spans="1:1">
      <c r="A4">
        <v>43705.305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sqref="A1:D15"/>
    </sheetView>
  </sheetViews>
  <sheetFormatPr baseColWidth="10" defaultRowHeight="15"/>
  <cols>
    <col min="1" max="1" width="30.140625" bestFit="1" customWidth="1"/>
    <col min="2" max="2" width="27.5703125" style="994" customWidth="1"/>
    <col min="3" max="3" width="27.5703125" style="49" customWidth="1"/>
    <col min="4" max="4" width="11.42578125" style="49"/>
  </cols>
  <sheetData>
    <row r="1" spans="1:4" s="111" customFormat="1" ht="15.75" thickBot="1">
      <c r="A1" s="1105" t="s">
        <v>1395</v>
      </c>
      <c r="B1" s="1106"/>
      <c r="C1" s="1005">
        <v>117101.84</v>
      </c>
      <c r="D1" s="111" t="s">
        <v>1396</v>
      </c>
    </row>
    <row r="2" spans="1:4" s="798" customFormat="1" ht="6" customHeight="1" thickBot="1">
      <c r="A2" s="993"/>
      <c r="B2" s="993"/>
      <c r="C2" s="49"/>
      <c r="D2" s="49"/>
    </row>
    <row r="3" spans="1:4" s="798" customFormat="1" ht="15.75" thickBot="1">
      <c r="A3" s="1000">
        <v>43348</v>
      </c>
      <c r="B3" s="1003" t="s">
        <v>1086</v>
      </c>
      <c r="C3" s="1004" t="s">
        <v>1398</v>
      </c>
      <c r="D3" s="49"/>
    </row>
    <row r="4" spans="1:4">
      <c r="A4" s="997" t="s">
        <v>1397</v>
      </c>
      <c r="B4" s="1002">
        <v>1342018</v>
      </c>
      <c r="C4" s="1001">
        <v>2623597.4739999999</v>
      </c>
    </row>
    <row r="5" spans="1:4">
      <c r="A5" s="998" t="s">
        <v>1399</v>
      </c>
      <c r="B5" s="995">
        <v>531</v>
      </c>
      <c r="C5" s="918">
        <v>20221.080000000002</v>
      </c>
    </row>
    <row r="6" spans="1:4" ht="15.75" thickBot="1">
      <c r="A6" s="999" t="s">
        <v>1400</v>
      </c>
      <c r="B6" s="996">
        <v>8502</v>
      </c>
      <c r="C6" s="926">
        <v>44518.872000000003</v>
      </c>
    </row>
    <row r="7" spans="1:4" ht="15.75" thickBot="1">
      <c r="A7" s="1103" t="s">
        <v>1401</v>
      </c>
      <c r="B7" s="1104"/>
      <c r="C7" s="1006">
        <f>SUM(C4:C6)</f>
        <v>2688337.426</v>
      </c>
    </row>
    <row r="8" spans="1:4" ht="6" customHeight="1" thickBot="1"/>
    <row r="9" spans="1:4">
      <c r="A9" s="1107" t="s">
        <v>1404</v>
      </c>
      <c r="B9" s="1108"/>
      <c r="C9" s="922">
        <v>2406902.9989999998</v>
      </c>
    </row>
    <row r="10" spans="1:4" s="798" customFormat="1">
      <c r="A10" s="1109" t="s">
        <v>1405</v>
      </c>
      <c r="B10" s="1110"/>
      <c r="C10" s="1001">
        <v>6311.6419999999998</v>
      </c>
      <c r="D10" s="49"/>
    </row>
    <row r="11" spans="1:4">
      <c r="A11" s="1109" t="s">
        <v>1402</v>
      </c>
      <c r="B11" s="1110"/>
      <c r="C11" s="918">
        <v>84319.24</v>
      </c>
    </row>
    <row r="12" spans="1:4" ht="15.75" thickBot="1">
      <c r="A12" s="1111" t="s">
        <v>1403</v>
      </c>
      <c r="B12" s="1112"/>
      <c r="C12" s="926">
        <v>78816.679999999993</v>
      </c>
    </row>
    <row r="13" spans="1:4" s="111" customFormat="1" ht="15.75" thickBot="1">
      <c r="A13" s="1103" t="s">
        <v>78</v>
      </c>
      <c r="B13" s="1104"/>
      <c r="C13" s="1006">
        <f>SUM(C9:C12)</f>
        <v>2576350.5610000002</v>
      </c>
      <c r="D13" s="767"/>
    </row>
    <row r="14" spans="1:4" ht="6" customHeight="1" thickBot="1"/>
    <row r="15" spans="1:4" ht="15.75" thickBot="1">
      <c r="A15" s="1103" t="s">
        <v>996</v>
      </c>
      <c r="B15" s="1104"/>
      <c r="C15" s="1006">
        <f>+C1+C7-C13</f>
        <v>229088.70499999961</v>
      </c>
    </row>
  </sheetData>
  <mergeCells count="8">
    <mergeCell ref="A15:B15"/>
    <mergeCell ref="A1:B1"/>
    <mergeCell ref="A7:B7"/>
    <mergeCell ref="A9:B9"/>
    <mergeCell ref="A11:B11"/>
    <mergeCell ref="A12:B12"/>
    <mergeCell ref="A13:B13"/>
    <mergeCell ref="A10:B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17</vt:i4>
      </vt:variant>
    </vt:vector>
  </HeadingPairs>
  <TitlesOfParts>
    <vt:vector size="36" baseType="lpstr">
      <vt:lpstr>12-2017</vt:lpstr>
      <vt:lpstr>etranger</vt:lpstr>
      <vt:lpstr>CMT</vt:lpstr>
      <vt:lpstr>EXPORT</vt:lpstr>
      <vt:lpstr>FED</vt:lpstr>
      <vt:lpstr>CHEQUE</vt:lpstr>
      <vt:lpstr>TRAITE</vt:lpstr>
      <vt:lpstr>KAIS TAYACHI</vt:lpstr>
      <vt:lpstr>SOTRAM</vt:lpstr>
      <vt:lpstr>HAZEM</vt:lpstr>
      <vt:lpstr>AUTRE FACTURE </vt:lpstr>
      <vt:lpstr>Feuil1</vt:lpstr>
      <vt:lpstr>Feuil2</vt:lpstr>
      <vt:lpstr>Feuil3</vt:lpstr>
      <vt:lpstr>Feuil4</vt:lpstr>
      <vt:lpstr>Feuil6</vt:lpstr>
      <vt:lpstr>Feuil5</vt:lpstr>
      <vt:lpstr>Feuil7</vt:lpstr>
      <vt:lpstr>Feuil8</vt:lpstr>
      <vt:lpstr>CHEQUE!Impression_des_titres</vt:lpstr>
      <vt:lpstr>TRAITE!Impression_des_titres</vt:lpstr>
      <vt:lpstr>'12-2017'!Zone_d_impression</vt:lpstr>
      <vt:lpstr>'AUTRE FACTURE '!Zone_d_impression</vt:lpstr>
      <vt:lpstr>CHEQUE!Zone_d_impression</vt:lpstr>
      <vt:lpstr>CMT!Zone_d_impression</vt:lpstr>
      <vt:lpstr>etranger!Zone_d_impression</vt:lpstr>
      <vt:lpstr>EXPORT!Zone_d_impression</vt:lpstr>
      <vt:lpstr>FED!Zone_d_impression</vt:lpstr>
      <vt:lpstr>Feuil1!Zone_d_impression</vt:lpstr>
      <vt:lpstr>Feuil2!Zone_d_impression</vt:lpstr>
      <vt:lpstr>Feuil3!Zone_d_impression</vt:lpstr>
      <vt:lpstr>Feuil4!Zone_d_impression</vt:lpstr>
      <vt:lpstr>HAZEM!Zone_d_impression</vt:lpstr>
      <vt:lpstr>'KAIS TAYACHI'!Zone_d_impression</vt:lpstr>
      <vt:lpstr>SOTRAM!Zone_d_impression</vt:lpstr>
      <vt:lpstr>TRAITE!Zone_d_impression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2019-05-07T08:46:25Z</cp:lastPrinted>
  <dcterms:created xsi:type="dcterms:W3CDTF">2016-03-21T13:00:29Z</dcterms:created>
  <dcterms:modified xsi:type="dcterms:W3CDTF">2019-05-07T09:50:54Z</dcterms:modified>
</cp:coreProperties>
</file>