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0" windowWidth="18630" windowHeight="6450" activeTab="12"/>
  </bookViews>
  <sheets>
    <sheet name="11-2017" sheetId="22" r:id="rId1"/>
    <sheet name="12-2017" sheetId="23" r:id="rId2"/>
    <sheet name="etranger" sheetId="3" r:id="rId3"/>
    <sheet name="CMT" sheetId="5" r:id="rId4"/>
    <sheet name="EXPORT" sheetId="1" r:id="rId5"/>
    <sheet name="FED" sheetId="6" r:id="rId6"/>
    <sheet name="CHEQUE" sheetId="16" r:id="rId7"/>
    <sheet name="TRAITE" sheetId="17" r:id="rId8"/>
    <sheet name="KAIS TAYACHI" sheetId="18" r:id="rId9"/>
    <sheet name="SOTRAM" sheetId="21" r:id="rId10"/>
    <sheet name="HAZEM" sheetId="20" r:id="rId11"/>
    <sheet name="AUTRE FACTURE " sheetId="19" r:id="rId12"/>
    <sheet name="Feuil1" sheetId="24" r:id="rId13"/>
    <sheet name="Feuil2" sheetId="25" r:id="rId14"/>
  </sheets>
  <definedNames>
    <definedName name="_xlnm._FilterDatabase" localSheetId="6" hidden="1">CHEQUE!$A$1:$A$1041</definedName>
    <definedName name="_xlnm._FilterDatabase" localSheetId="4" hidden="1">EXPORT!$A$1:$A$134</definedName>
    <definedName name="_xlnm.Print_Titles" localSheetId="6">CHEQUE!$1:$1</definedName>
    <definedName name="_xlnm.Print_Titles" localSheetId="7">TRAITE!$1:$1</definedName>
    <definedName name="_xlnm.Print_Area" localSheetId="0">'11-2017'!$A$1:$L$66</definedName>
    <definedName name="_xlnm.Print_Area" localSheetId="1">'12-2017'!$A$1:$L$66</definedName>
    <definedName name="_xlnm.Print_Area" localSheetId="6">CHEQUE!$A$1:$E$457</definedName>
    <definedName name="_xlnm.Print_Area" localSheetId="3">CMT!$B$54:$I$61</definedName>
    <definedName name="_xlnm.Print_Area" localSheetId="2">etranger!$A$69:$F$76</definedName>
    <definedName name="_xlnm.Print_Area" localSheetId="4">EXPORT!$A$125:$E$134</definedName>
    <definedName name="_xlnm.Print_Area" localSheetId="5">FED!$A$10:$H$11</definedName>
    <definedName name="_xlnm.Print_Area" localSheetId="12">Feuil1!$A$2:$E$27</definedName>
    <definedName name="_xlnm.Print_Area" localSheetId="13">Feuil2!$A$2:$F$19</definedName>
    <definedName name="_xlnm.Print_Area" localSheetId="10">HAZEM!$B$12:$Q$13</definedName>
    <definedName name="_xlnm.Print_Area" localSheetId="8">'KAIS TAYACHI'!$B$54:$Q$87</definedName>
    <definedName name="_xlnm.Print_Area" localSheetId="9">SOTRAM!$B$1:$R$22</definedName>
    <definedName name="_xlnm.Print_Area" localSheetId="7">TRAITE!$A$1:$E$49</definedName>
  </definedNames>
  <calcPr calcId="125725"/>
</workbook>
</file>

<file path=xl/calcChain.xml><?xml version="1.0" encoding="utf-8"?>
<calcChain xmlns="http://schemas.openxmlformats.org/spreadsheetml/2006/main">
  <c r="D25" i="24"/>
  <c r="B11"/>
  <c r="B9" l="1"/>
  <c r="E21"/>
  <c r="E17"/>
  <c r="E18"/>
  <c r="E16"/>
  <c r="D94" i="17"/>
  <c r="D78"/>
  <c r="D1124" i="16"/>
  <c r="F19" i="25"/>
  <c r="C7"/>
  <c r="F50" i="22"/>
  <c r="C9"/>
  <c r="B129" i="1"/>
  <c r="K96"/>
  <c r="K95"/>
  <c r="F8" i="23"/>
  <c r="F63"/>
  <c r="F59" i="22"/>
  <c r="G18" i="23"/>
  <c r="I9" l="1"/>
  <c r="G40" i="22"/>
  <c r="F44"/>
  <c r="S59"/>
  <c r="L15"/>
  <c r="F50" i="23"/>
  <c r="I63" i="22"/>
  <c r="C11"/>
  <c r="D1139" i="16"/>
  <c r="D1042"/>
  <c r="D832"/>
  <c r="D458"/>
  <c r="C131" i="1"/>
  <c r="K24"/>
  <c r="K94"/>
  <c r="F106"/>
  <c r="M106"/>
  <c r="G106"/>
  <c r="H7" i="19"/>
  <c r="I7" s="1"/>
  <c r="H6"/>
  <c r="I6" s="1"/>
  <c r="J7" l="1"/>
  <c r="K7" s="1"/>
  <c r="J6"/>
  <c r="K6" s="1"/>
  <c r="M9" i="22"/>
  <c r="F14" i="23"/>
  <c r="K14" l="1"/>
  <c r="M105" i="1" l="1"/>
  <c r="F105"/>
  <c r="G105"/>
  <c r="Q44" i="23"/>
  <c r="Q28"/>
  <c r="Q8"/>
  <c r="G37" i="22"/>
  <c r="K30" i="23"/>
  <c r="G30"/>
  <c r="G30" i="22"/>
  <c r="D11" i="3"/>
  <c r="D49"/>
  <c r="C50"/>
  <c r="F46"/>
  <c r="D46"/>
  <c r="D53"/>
  <c r="D52"/>
  <c r="D37"/>
  <c r="D38"/>
  <c r="D39"/>
  <c r="D40"/>
  <c r="D41"/>
  <c r="D36"/>
  <c r="F37"/>
  <c r="F38"/>
  <c r="F39"/>
  <c r="F40"/>
  <c r="F41"/>
  <c r="B10" i="24" l="1"/>
  <c r="M9" i="23"/>
  <c r="M59"/>
  <c r="D3"/>
  <c r="H3"/>
  <c r="K3"/>
  <c r="O3"/>
  <c r="S4"/>
  <c r="R4"/>
  <c r="Q4"/>
  <c r="P4"/>
  <c r="O4"/>
  <c r="N4"/>
  <c r="M4"/>
  <c r="L4"/>
  <c r="K4"/>
  <c r="J4"/>
  <c r="I4"/>
  <c r="H4"/>
  <c r="G4"/>
  <c r="F4"/>
  <c r="E4"/>
  <c r="D4"/>
  <c r="C4"/>
  <c r="B4"/>
  <c r="Q42" i="22"/>
  <c r="Q29" s="1"/>
  <c r="Q44"/>
  <c r="Q8"/>
  <c r="Q4"/>
  <c r="Q13"/>
  <c r="L37"/>
  <c r="D1141" i="16"/>
  <c r="G74" i="18"/>
  <c r="H74" s="1"/>
  <c r="I74" s="1"/>
  <c r="G13" i="20"/>
  <c r="H13" s="1"/>
  <c r="I13" s="1"/>
  <c r="G12"/>
  <c r="H12" s="1"/>
  <c r="I12" s="1"/>
  <c r="M8"/>
  <c r="D96" i="17" l="1"/>
  <c r="B12" i="24"/>
  <c r="D27" s="1"/>
  <c r="Q28" i="22"/>
  <c r="Q65" s="1"/>
  <c r="Q3" i="23" s="1"/>
  <c r="Q65" s="1"/>
  <c r="K92" i="1"/>
  <c r="B132"/>
  <c r="K113"/>
  <c r="F123"/>
  <c r="M123"/>
  <c r="G123"/>
  <c r="F104"/>
  <c r="M104"/>
  <c r="G104"/>
  <c r="M26"/>
  <c r="G26"/>
  <c r="F26"/>
  <c r="G77" i="18"/>
  <c r="H77" s="1"/>
  <c r="I77" s="1"/>
  <c r="G78"/>
  <c r="H78"/>
  <c r="I78"/>
  <c r="G79"/>
  <c r="H79" s="1"/>
  <c r="I79" s="1"/>
  <c r="G80"/>
  <c r="H80" s="1"/>
  <c r="I80" s="1"/>
  <c r="G81"/>
  <c r="H81" s="1"/>
  <c r="I81" s="1"/>
  <c r="H76"/>
  <c r="I76" s="1"/>
  <c r="G76"/>
  <c r="M86"/>
  <c r="G22" i="21" l="1"/>
  <c r="G21"/>
  <c r="I22" i="22"/>
  <c r="I22" i="21" l="1"/>
  <c r="H22"/>
  <c r="H21"/>
  <c r="J22" l="1"/>
  <c r="I21"/>
  <c r="J21" s="1"/>
  <c r="F103" i="1"/>
  <c r="M103"/>
  <c r="G103"/>
  <c r="K21" l="1"/>
  <c r="K22"/>
  <c r="K88"/>
  <c r="I71" i="18"/>
  <c r="I72"/>
  <c r="G71"/>
  <c r="H71" s="1"/>
  <c r="M13" i="22"/>
  <c r="N13"/>
  <c r="O13"/>
  <c r="P13"/>
  <c r="R13"/>
  <c r="S13"/>
  <c r="G37" i="23" l="1"/>
  <c r="I63"/>
  <c r="G73" i="18"/>
  <c r="H73" s="1"/>
  <c r="I73" s="1"/>
  <c r="I86" s="1"/>
  <c r="M87" s="1"/>
  <c r="G20" i="21"/>
  <c r="G19"/>
  <c r="N18"/>
  <c r="G11" i="20"/>
  <c r="H11"/>
  <c r="I11" s="1"/>
  <c r="G10"/>
  <c r="H10" s="1"/>
  <c r="I10" s="1"/>
  <c r="G9"/>
  <c r="H9"/>
  <c r="I9" s="1"/>
  <c r="F102" i="1"/>
  <c r="M102"/>
  <c r="G102"/>
  <c r="F36" i="3"/>
  <c r="I20" i="21" l="1"/>
  <c r="H20"/>
  <c r="I19"/>
  <c r="H19"/>
  <c r="F8" i="3"/>
  <c r="D8"/>
  <c r="G67" i="18"/>
  <c r="H67" s="1"/>
  <c r="G72"/>
  <c r="H72" s="1"/>
  <c r="F101" i="1"/>
  <c r="M101"/>
  <c r="G101"/>
  <c r="F122"/>
  <c r="M122"/>
  <c r="G122"/>
  <c r="J20" i="21" l="1"/>
  <c r="J19"/>
  <c r="I67" i="18"/>
  <c r="C70" i="3"/>
  <c r="P9" i="23"/>
  <c r="N9"/>
  <c r="J9"/>
  <c r="F9"/>
  <c r="E9"/>
  <c r="J9" i="22"/>
  <c r="E9"/>
  <c r="P9"/>
  <c r="N9"/>
  <c r="I9"/>
  <c r="F9"/>
  <c r="E44"/>
  <c r="D63" i="23" l="1"/>
  <c r="G64"/>
  <c r="L64" i="22"/>
  <c r="D13" l="1"/>
  <c r="E13"/>
  <c r="F13"/>
  <c r="G13"/>
  <c r="S62" i="23"/>
  <c r="R62"/>
  <c r="P62"/>
  <c r="O62"/>
  <c r="N62"/>
  <c r="M62"/>
  <c r="L62"/>
  <c r="K62"/>
  <c r="J62"/>
  <c r="I62"/>
  <c r="H62"/>
  <c r="G62"/>
  <c r="F62"/>
  <c r="E62"/>
  <c r="D62"/>
  <c r="C62"/>
  <c r="B62"/>
  <c r="S44"/>
  <c r="S28" s="1"/>
  <c r="R44"/>
  <c r="P44"/>
  <c r="O44"/>
  <c r="N44"/>
  <c r="M44"/>
  <c r="L44"/>
  <c r="K44"/>
  <c r="J44"/>
  <c r="J28" s="1"/>
  <c r="I44"/>
  <c r="H44"/>
  <c r="G44"/>
  <c r="F44"/>
  <c r="E44"/>
  <c r="D44"/>
  <c r="C44"/>
  <c r="C28" s="1"/>
  <c r="B44"/>
  <c r="S29"/>
  <c r="R29"/>
  <c r="P29"/>
  <c r="P28" s="1"/>
  <c r="O29"/>
  <c r="N29"/>
  <c r="M29"/>
  <c r="L29"/>
  <c r="K29"/>
  <c r="J29"/>
  <c r="I29"/>
  <c r="H29"/>
  <c r="G29"/>
  <c r="F29"/>
  <c r="E29"/>
  <c r="D29"/>
  <c r="B29"/>
  <c r="N28"/>
  <c r="S13"/>
  <c r="R13"/>
  <c r="P13"/>
  <c r="P8" s="1"/>
  <c r="O13"/>
  <c r="O8" s="1"/>
  <c r="N13"/>
  <c r="M13"/>
  <c r="L13"/>
  <c r="L8" s="1"/>
  <c r="K13"/>
  <c r="K8" s="1"/>
  <c r="J13"/>
  <c r="I13"/>
  <c r="I8" s="1"/>
  <c r="H13"/>
  <c r="G13"/>
  <c r="E13"/>
  <c r="D13"/>
  <c r="S8"/>
  <c r="R8"/>
  <c r="N8"/>
  <c r="M8"/>
  <c r="J8"/>
  <c r="H8"/>
  <c r="G8"/>
  <c r="E8"/>
  <c r="D8"/>
  <c r="C8"/>
  <c r="B8"/>
  <c r="S62" i="22"/>
  <c r="R62"/>
  <c r="P62"/>
  <c r="O62"/>
  <c r="N62"/>
  <c r="M62"/>
  <c r="L62"/>
  <c r="K62"/>
  <c r="J62"/>
  <c r="I62"/>
  <c r="H62"/>
  <c r="G62"/>
  <c r="F62"/>
  <c r="E62"/>
  <c r="D62"/>
  <c r="C62"/>
  <c r="B62"/>
  <c r="S44"/>
  <c r="S28" s="1"/>
  <c r="R44"/>
  <c r="R28" s="1"/>
  <c r="P44"/>
  <c r="P28" s="1"/>
  <c r="O44"/>
  <c r="O28" s="1"/>
  <c r="N44"/>
  <c r="N28" s="1"/>
  <c r="M44"/>
  <c r="M28" s="1"/>
  <c r="L44"/>
  <c r="K44"/>
  <c r="K28" s="1"/>
  <c r="J44"/>
  <c r="J28" s="1"/>
  <c r="I44"/>
  <c r="H44"/>
  <c r="G44"/>
  <c r="D44"/>
  <c r="C44"/>
  <c r="C28" s="1"/>
  <c r="B44"/>
  <c r="B28" s="1"/>
  <c r="S29"/>
  <c r="R29"/>
  <c r="P29"/>
  <c r="O29"/>
  <c r="N29"/>
  <c r="M29"/>
  <c r="L29"/>
  <c r="K29"/>
  <c r="J29"/>
  <c r="I29"/>
  <c r="H29"/>
  <c r="F29"/>
  <c r="E29"/>
  <c r="D29"/>
  <c r="B29"/>
  <c r="H28"/>
  <c r="D28"/>
  <c r="K13"/>
  <c r="J13"/>
  <c r="I13"/>
  <c r="I8" s="1"/>
  <c r="E8"/>
  <c r="J8"/>
  <c r="F8"/>
  <c r="S8"/>
  <c r="R8"/>
  <c r="P8"/>
  <c r="O8"/>
  <c r="N8"/>
  <c r="M8"/>
  <c r="K8"/>
  <c r="G8"/>
  <c r="D8"/>
  <c r="C8"/>
  <c r="B8"/>
  <c r="S4"/>
  <c r="R4"/>
  <c r="P4"/>
  <c r="O4"/>
  <c r="N4"/>
  <c r="M4"/>
  <c r="L4"/>
  <c r="K4"/>
  <c r="J4"/>
  <c r="I4"/>
  <c r="H4"/>
  <c r="G4"/>
  <c r="F4"/>
  <c r="E4"/>
  <c r="D4"/>
  <c r="C4"/>
  <c r="B4"/>
  <c r="H3" i="19"/>
  <c r="I3"/>
  <c r="H4"/>
  <c r="I4"/>
  <c r="J4" s="1"/>
  <c r="K4" s="1"/>
  <c r="H5"/>
  <c r="I5"/>
  <c r="J5" s="1"/>
  <c r="K5" s="1"/>
  <c r="H2"/>
  <c r="I2" s="1"/>
  <c r="N12" i="21"/>
  <c r="N15"/>
  <c r="N16"/>
  <c r="N17"/>
  <c r="N14"/>
  <c r="N6"/>
  <c r="N7"/>
  <c r="N8"/>
  <c r="N9"/>
  <c r="N10"/>
  <c r="N11"/>
  <c r="N5"/>
  <c r="N2"/>
  <c r="G3"/>
  <c r="G4"/>
  <c r="G5"/>
  <c r="G6"/>
  <c r="G7"/>
  <c r="G8"/>
  <c r="G9"/>
  <c r="G10"/>
  <c r="G11"/>
  <c r="G12"/>
  <c r="G13"/>
  <c r="G14"/>
  <c r="G15"/>
  <c r="G16"/>
  <c r="G17"/>
  <c r="G18"/>
  <c r="G3" i="20"/>
  <c r="H3"/>
  <c r="I3" s="1"/>
  <c r="G4"/>
  <c r="H4" s="1"/>
  <c r="I4" s="1"/>
  <c r="G5"/>
  <c r="H5"/>
  <c r="I5" s="1"/>
  <c r="G6"/>
  <c r="H6" s="1"/>
  <c r="I6" s="1"/>
  <c r="G7"/>
  <c r="H7"/>
  <c r="I7" s="1"/>
  <c r="G8"/>
  <c r="H8" s="1"/>
  <c r="I8" s="1"/>
  <c r="I2"/>
  <c r="H2"/>
  <c r="G2"/>
  <c r="G69" i="18"/>
  <c r="H69" s="1"/>
  <c r="I69" s="1"/>
  <c r="K28" i="23" l="1"/>
  <c r="O28"/>
  <c r="B28"/>
  <c r="E28"/>
  <c r="M28"/>
  <c r="R28"/>
  <c r="D28"/>
  <c r="H28"/>
  <c r="L28"/>
  <c r="F28"/>
  <c r="I28"/>
  <c r="L28" i="22"/>
  <c r="G28" i="23"/>
  <c r="E28" i="22"/>
  <c r="I28"/>
  <c r="J2" i="19"/>
  <c r="K2" s="1"/>
  <c r="R2" s="1"/>
  <c r="J3"/>
  <c r="K3" s="1"/>
  <c r="H18" i="21"/>
  <c r="I18" s="1"/>
  <c r="H17"/>
  <c r="H16"/>
  <c r="H15"/>
  <c r="I15" s="1"/>
  <c r="H14"/>
  <c r="I14" s="1"/>
  <c r="H13"/>
  <c r="I13" s="1"/>
  <c r="H12"/>
  <c r="H11"/>
  <c r="I11" s="1"/>
  <c r="H10"/>
  <c r="H9"/>
  <c r="I9" s="1"/>
  <c r="H8"/>
  <c r="I8" s="1"/>
  <c r="H7"/>
  <c r="H6"/>
  <c r="H5"/>
  <c r="I5" s="1"/>
  <c r="H4"/>
  <c r="I4" s="1"/>
  <c r="H3"/>
  <c r="I3" s="1"/>
  <c r="J13" l="1"/>
  <c r="J18"/>
  <c r="J9"/>
  <c r="J4"/>
  <c r="J8"/>
  <c r="I10"/>
  <c r="J10" s="1"/>
  <c r="I16"/>
  <c r="J16" s="1"/>
  <c r="J14"/>
  <c r="J5"/>
  <c r="J3"/>
  <c r="J11"/>
  <c r="J15"/>
  <c r="I6"/>
  <c r="J6" s="1"/>
  <c r="I7"/>
  <c r="J7" s="1"/>
  <c r="I17"/>
  <c r="J17" s="1"/>
  <c r="I12"/>
  <c r="J12" s="1"/>
  <c r="D35" i="3" l="1"/>
  <c r="D34"/>
  <c r="D33"/>
  <c r="F33"/>
  <c r="F34"/>
  <c r="F35"/>
  <c r="D78"/>
  <c r="C80"/>
  <c r="G2" i="21" l="1"/>
  <c r="G70" i="18"/>
  <c r="H70" s="1"/>
  <c r="I70" s="1"/>
  <c r="G66"/>
  <c r="H66" s="1"/>
  <c r="G65"/>
  <c r="H2" i="21" l="1"/>
  <c r="I66" i="18"/>
  <c r="I65"/>
  <c r="H65"/>
  <c r="F100" i="1"/>
  <c r="M100"/>
  <c r="G100"/>
  <c r="J2" i="21" l="1"/>
  <c r="I2"/>
  <c r="F99" i="1"/>
  <c r="M99"/>
  <c r="G99"/>
  <c r="K91"/>
  <c r="D32" i="3" l="1"/>
  <c r="D31"/>
  <c r="F32"/>
  <c r="F31"/>
  <c r="G64" i="18"/>
  <c r="H64"/>
  <c r="I64" s="1"/>
  <c r="G63"/>
  <c r="H63" s="1"/>
  <c r="I63" s="1"/>
  <c r="G29" i="22"/>
  <c r="G28" s="1"/>
  <c r="F121" i="1"/>
  <c r="M121"/>
  <c r="G121"/>
  <c r="F98"/>
  <c r="M98"/>
  <c r="G98"/>
  <c r="K89"/>
  <c r="K87"/>
  <c r="G61" i="18"/>
  <c r="H61" s="1"/>
  <c r="I61" s="1"/>
  <c r="G62"/>
  <c r="H62" s="1"/>
  <c r="I62" s="1"/>
  <c r="G60"/>
  <c r="H60" s="1"/>
  <c r="M33"/>
  <c r="I60" l="1"/>
  <c r="D56" i="3"/>
  <c r="F28" i="22" l="1"/>
  <c r="C71" i="3"/>
  <c r="M119" i="1" l="1"/>
  <c r="G119"/>
  <c r="F119"/>
  <c r="M120"/>
  <c r="G120"/>
  <c r="F120"/>
  <c r="F30" i="3"/>
  <c r="D30"/>
  <c r="F29"/>
  <c r="D29"/>
  <c r="F28"/>
  <c r="D28"/>
  <c r="F27"/>
  <c r="D27"/>
  <c r="C18"/>
  <c r="F97" i="1" l="1"/>
  <c r="M97"/>
  <c r="G97"/>
  <c r="G58" i="18"/>
  <c r="H58" s="1"/>
  <c r="I58" s="1"/>
  <c r="G57"/>
  <c r="H57" s="1"/>
  <c r="I57" s="1"/>
  <c r="G56"/>
  <c r="H56" s="1"/>
  <c r="I56" s="1"/>
  <c r="G55"/>
  <c r="H55" s="1"/>
  <c r="I55" s="1"/>
  <c r="G54"/>
  <c r="H54" s="1"/>
  <c r="I54" s="1"/>
  <c r="K85" i="1"/>
  <c r="C15" i="3" l="1"/>
  <c r="C44"/>
  <c r="F23"/>
  <c r="F24"/>
  <c r="F25"/>
  <c r="F26"/>
  <c r="F22"/>
  <c r="D26"/>
  <c r="D25"/>
  <c r="D24"/>
  <c r="D23"/>
  <c r="D22"/>
  <c r="C47" l="1"/>
  <c r="K20" i="1"/>
  <c r="K18"/>
  <c r="K14"/>
  <c r="F25"/>
  <c r="M25"/>
  <c r="G25"/>
  <c r="K86"/>
  <c r="F118" l="1"/>
  <c r="G118"/>
  <c r="K83"/>
  <c r="K79"/>
  <c r="M118"/>
  <c r="K84"/>
  <c r="G46" i="18" l="1"/>
  <c r="H46" s="1"/>
  <c r="I46" s="1"/>
  <c r="G47"/>
  <c r="H47" s="1"/>
  <c r="I47" s="1"/>
  <c r="G48"/>
  <c r="H48" s="1"/>
  <c r="I48" s="1"/>
  <c r="G49"/>
  <c r="H49" s="1"/>
  <c r="I49" s="1"/>
  <c r="G50"/>
  <c r="H50" s="1"/>
  <c r="I50" s="1"/>
  <c r="G51"/>
  <c r="H51" s="1"/>
  <c r="I51" s="1"/>
  <c r="G52"/>
  <c r="H52" s="1"/>
  <c r="I52" s="1"/>
  <c r="K59" i="1"/>
  <c r="G37" i="18" l="1"/>
  <c r="H37" s="1"/>
  <c r="G44"/>
  <c r="H44" s="1"/>
  <c r="I44" s="1"/>
  <c r="F117" i="1"/>
  <c r="M117"/>
  <c r="G117"/>
  <c r="G42" i="18"/>
  <c r="H42" s="1"/>
  <c r="I42" s="1"/>
  <c r="G43"/>
  <c r="H43" s="1"/>
  <c r="I43" s="1"/>
  <c r="I37" l="1"/>
  <c r="F96" i="1"/>
  <c r="M96"/>
  <c r="G96"/>
  <c r="K82" l="1"/>
  <c r="F116"/>
  <c r="M116"/>
  <c r="G116"/>
  <c r="F95"/>
  <c r="M95"/>
  <c r="G95"/>
  <c r="M112"/>
  <c r="M113"/>
  <c r="M114"/>
  <c r="M115"/>
  <c r="M111"/>
  <c r="C12" i="3"/>
  <c r="F115" i="1"/>
  <c r="G115"/>
  <c r="G38" i="18"/>
  <c r="H38" s="1"/>
  <c r="I38" s="1"/>
  <c r="G36"/>
  <c r="G35"/>
  <c r="G34"/>
  <c r="G33"/>
  <c r="H33" s="1"/>
  <c r="I33" s="1"/>
  <c r="G41"/>
  <c r="H41" s="1"/>
  <c r="I41" s="1"/>
  <c r="G40"/>
  <c r="H40" s="1"/>
  <c r="I40" s="1"/>
  <c r="D64" i="3"/>
  <c r="C67"/>
  <c r="F74" l="1"/>
  <c r="H36" i="18"/>
  <c r="I36" s="1"/>
  <c r="H35"/>
  <c r="I35" s="1"/>
  <c r="H34"/>
  <c r="I34" s="1"/>
  <c r="F94" i="1"/>
  <c r="M94"/>
  <c r="G94"/>
  <c r="F21" i="5"/>
  <c r="G21"/>
  <c r="E21"/>
  <c r="F19"/>
  <c r="G19"/>
  <c r="F16"/>
  <c r="G16"/>
  <c r="F14"/>
  <c r="G14"/>
  <c r="E19"/>
  <c r="E16"/>
  <c r="E14"/>
  <c r="F12"/>
  <c r="G12"/>
  <c r="E12"/>
  <c r="F10"/>
  <c r="G10"/>
  <c r="E10"/>
  <c r="E8"/>
  <c r="F8"/>
  <c r="G8"/>
  <c r="G18"/>
  <c r="G7"/>
  <c r="G15"/>
  <c r="G13"/>
  <c r="G11"/>
  <c r="G9"/>
  <c r="D69" i="3" l="1"/>
  <c r="C76"/>
  <c r="S65" i="22" l="1"/>
  <c r="R65"/>
  <c r="G114" i="1"/>
  <c r="F114"/>
  <c r="G113"/>
  <c r="G112"/>
  <c r="G111"/>
  <c r="F113"/>
  <c r="F112"/>
  <c r="F111"/>
  <c r="D134"/>
  <c r="G67" i="5"/>
  <c r="R65" i="23" l="1"/>
  <c r="R3"/>
  <c r="S65" s="1"/>
  <c r="S3"/>
  <c r="K72" i="1"/>
  <c r="G28" i="18"/>
  <c r="H28" s="1"/>
  <c r="I28" s="1"/>
  <c r="G29"/>
  <c r="H29" s="1"/>
  <c r="I29" s="1"/>
  <c r="G30"/>
  <c r="H30" s="1"/>
  <c r="I30" s="1"/>
  <c r="G31"/>
  <c r="H31" s="1"/>
  <c r="I31" s="1"/>
  <c r="G27"/>
  <c r="H27" s="1"/>
  <c r="I27" s="1"/>
  <c r="G14"/>
  <c r="H14" s="1"/>
  <c r="I14" s="1"/>
  <c r="G15"/>
  <c r="H15" s="1"/>
  <c r="I15" s="1"/>
  <c r="G16"/>
  <c r="H16" s="1"/>
  <c r="I16" s="1"/>
  <c r="G17"/>
  <c r="H17" s="1"/>
  <c r="I17" s="1"/>
  <c r="G18"/>
  <c r="H18" s="1"/>
  <c r="I18" s="1"/>
  <c r="G19"/>
  <c r="H19" s="1"/>
  <c r="I19" s="1"/>
  <c r="G20"/>
  <c r="H20" s="1"/>
  <c r="I20" s="1"/>
  <c r="G21"/>
  <c r="H21" s="1"/>
  <c r="I21" s="1"/>
  <c r="G22"/>
  <c r="H22" s="1"/>
  <c r="I22" s="1"/>
  <c r="G23"/>
  <c r="H23" s="1"/>
  <c r="I23" s="1"/>
  <c r="G24"/>
  <c r="H24" s="1"/>
  <c r="I24" s="1"/>
  <c r="G25"/>
  <c r="H25" s="1"/>
  <c r="I25" s="1"/>
  <c r="G26"/>
  <c r="H26" s="1"/>
  <c r="I26" s="1"/>
  <c r="G13"/>
  <c r="H13" s="1"/>
  <c r="I13" s="1"/>
  <c r="C9" i="3"/>
  <c r="F24" i="1"/>
  <c r="G24"/>
  <c r="G3" i="18" l="1"/>
  <c r="G4"/>
  <c r="M23" i="1" l="1"/>
  <c r="M24"/>
  <c r="G23"/>
  <c r="F23"/>
  <c r="F93"/>
  <c r="G93"/>
  <c r="F92"/>
  <c r="G92"/>
  <c r="K74"/>
  <c r="L13" i="22" l="1"/>
  <c r="L8" s="1"/>
  <c r="K81" i="1"/>
  <c r="G59" i="5"/>
  <c r="G46"/>
  <c r="P65" i="22" l="1"/>
  <c r="K69" i="1"/>
  <c r="P3" i="23" l="1"/>
  <c r="P65" s="1"/>
  <c r="G91" i="1"/>
  <c r="F91"/>
  <c r="G22"/>
  <c r="F22"/>
  <c r="M22"/>
  <c r="M93"/>
  <c r="M92"/>
  <c r="K76"/>
  <c r="K55" l="1"/>
  <c r="K33" l="1"/>
  <c r="M90"/>
  <c r="M91"/>
  <c r="G90"/>
  <c r="F90"/>
  <c r="M21"/>
  <c r="G21"/>
  <c r="F21"/>
  <c r="C62" i="3" l="1"/>
  <c r="G11" i="18"/>
  <c r="H11" s="1"/>
  <c r="I11" s="1"/>
  <c r="G88" i="1"/>
  <c r="G89"/>
  <c r="F89"/>
  <c r="M89"/>
  <c r="F88"/>
  <c r="M88"/>
  <c r="G10" i="18" l="1"/>
  <c r="H13" i="22" l="1"/>
  <c r="H8"/>
  <c r="H10" i="18"/>
  <c r="I10" s="1"/>
  <c r="G65" i="5"/>
  <c r="G66"/>
  <c r="G45"/>
  <c r="G34"/>
  <c r="G35"/>
  <c r="G36"/>
  <c r="G37"/>
  <c r="G58"/>
  <c r="G7" i="18" l="1"/>
  <c r="G8"/>
  <c r="H8" s="1"/>
  <c r="G9"/>
  <c r="H9" s="1"/>
  <c r="G2"/>
  <c r="H4" l="1"/>
  <c r="I4" s="1"/>
  <c r="H3"/>
  <c r="I3" s="1"/>
  <c r="I8"/>
  <c r="H7"/>
  <c r="I9"/>
  <c r="H2"/>
  <c r="I2" l="1"/>
  <c r="I7"/>
  <c r="K66" i="1"/>
  <c r="K62"/>
  <c r="G87"/>
  <c r="F87"/>
  <c r="M87"/>
  <c r="M20"/>
  <c r="G20"/>
  <c r="F20"/>
  <c r="G86" l="1"/>
  <c r="F86"/>
  <c r="M86"/>
  <c r="C54" i="3" l="1"/>
  <c r="M19" i="1"/>
  <c r="G19"/>
  <c r="F19"/>
  <c r="G85"/>
  <c r="F85"/>
  <c r="M85"/>
  <c r="G84" l="1"/>
  <c r="F84"/>
  <c r="M84"/>
  <c r="M18"/>
  <c r="G18"/>
  <c r="F18"/>
  <c r="K46"/>
  <c r="K17"/>
  <c r="K75"/>
  <c r="G83" l="1"/>
  <c r="F83"/>
  <c r="M83"/>
  <c r="G17" i="5" l="1"/>
  <c r="F6"/>
  <c r="E6"/>
  <c r="G5"/>
  <c r="F69"/>
  <c r="E69"/>
  <c r="G68"/>
  <c r="G64"/>
  <c r="G63"/>
  <c r="G62"/>
  <c r="F61"/>
  <c r="E61"/>
  <c r="G60"/>
  <c r="G57"/>
  <c r="G56"/>
  <c r="G55"/>
  <c r="G54"/>
  <c r="F53"/>
  <c r="E53"/>
  <c r="G52"/>
  <c r="F51"/>
  <c r="E51"/>
  <c r="G51" s="1"/>
  <c r="G50"/>
  <c r="G49"/>
  <c r="F48"/>
  <c r="E48"/>
  <c r="G48" s="1"/>
  <c r="G47"/>
  <c r="G44"/>
  <c r="G43"/>
  <c r="G42"/>
  <c r="G41"/>
  <c r="F40"/>
  <c r="E40"/>
  <c r="G39"/>
  <c r="F38"/>
  <c r="E38"/>
  <c r="G33"/>
  <c r="G32"/>
  <c r="F31"/>
  <c r="E31"/>
  <c r="G30"/>
  <c r="F29"/>
  <c r="E29"/>
  <c r="G28"/>
  <c r="G27"/>
  <c r="G29" l="1"/>
  <c r="G53"/>
  <c r="G61"/>
  <c r="G40"/>
  <c r="G6"/>
  <c r="G69"/>
  <c r="G38"/>
  <c r="G31"/>
  <c r="F71"/>
  <c r="E71"/>
  <c r="G71" l="1"/>
  <c r="E10" i="6"/>
  <c r="G82" i="1" l="1"/>
  <c r="F82"/>
  <c r="M82"/>
  <c r="K16" l="1"/>
  <c r="G81" l="1"/>
  <c r="F81"/>
  <c r="M81"/>
  <c r="K12"/>
  <c r="G65" i="22" l="1"/>
  <c r="K73" i="1"/>
  <c r="M17"/>
  <c r="G17"/>
  <c r="F17"/>
  <c r="G3" i="23" l="1"/>
  <c r="G65" s="1"/>
  <c r="G80" i="1"/>
  <c r="F80"/>
  <c r="M80"/>
  <c r="C133" s="1"/>
  <c r="G16" l="1"/>
  <c r="F16"/>
  <c r="M16"/>
  <c r="G79"/>
  <c r="F79"/>
  <c r="M79"/>
  <c r="K70"/>
  <c r="K68" l="1"/>
  <c r="G78"/>
  <c r="F78"/>
  <c r="M78"/>
  <c r="G77" l="1"/>
  <c r="F77"/>
  <c r="M77"/>
  <c r="K53"/>
  <c r="K13"/>
  <c r="K45"/>
  <c r="G76" l="1"/>
  <c r="F76"/>
  <c r="M76"/>
  <c r="E7" i="6" l="1"/>
  <c r="K56" i="1" l="1"/>
  <c r="K67"/>
  <c r="M75"/>
  <c r="G75"/>
  <c r="F75"/>
  <c r="M74"/>
  <c r="G74"/>
  <c r="F74"/>
  <c r="G72" l="1"/>
  <c r="F72"/>
  <c r="M72"/>
  <c r="F73"/>
  <c r="M73"/>
  <c r="G73"/>
  <c r="K64"/>
  <c r="K61" l="1"/>
  <c r="K51"/>
  <c r="H65" i="22" l="1"/>
  <c r="H65" i="23" s="1"/>
  <c r="G71" i="1"/>
  <c r="F71"/>
  <c r="M71"/>
  <c r="E11" i="6" l="1"/>
  <c r="E8"/>
  <c r="M70" i="1"/>
  <c r="G70"/>
  <c r="F70"/>
  <c r="M69"/>
  <c r="G69"/>
  <c r="F69"/>
  <c r="M68"/>
  <c r="G68"/>
  <c r="F68" l="1"/>
  <c r="M67"/>
  <c r="G67"/>
  <c r="F67"/>
  <c r="M66"/>
  <c r="F66"/>
  <c r="M65"/>
  <c r="F65"/>
  <c r="M64"/>
  <c r="G64"/>
  <c r="F64"/>
  <c r="M63" l="1"/>
  <c r="B130" s="1"/>
  <c r="G63"/>
  <c r="F63"/>
  <c r="M62"/>
  <c r="F62" l="1"/>
  <c r="M61"/>
  <c r="G61" l="1"/>
  <c r="F61"/>
  <c r="K60"/>
  <c r="M60" s="1"/>
  <c r="G60"/>
  <c r="F60"/>
  <c r="M59"/>
  <c r="B134" l="1"/>
  <c r="G59"/>
  <c r="F59"/>
  <c r="M58"/>
  <c r="G58"/>
  <c r="F58"/>
  <c r="M57"/>
  <c r="F57"/>
  <c r="M56"/>
  <c r="F56"/>
  <c r="M55"/>
  <c r="G55"/>
  <c r="F55"/>
  <c r="K54"/>
  <c r="M54" s="1"/>
  <c r="F54"/>
  <c r="M53"/>
  <c r="F53"/>
  <c r="M52"/>
  <c r="F52"/>
  <c r="M51"/>
  <c r="F51"/>
  <c r="M50"/>
  <c r="F50"/>
  <c r="M49"/>
  <c r="F49"/>
  <c r="M48"/>
  <c r="G48"/>
  <c r="F48" l="1"/>
  <c r="K47"/>
  <c r="M47" s="1"/>
  <c r="F47"/>
  <c r="M46"/>
  <c r="G46"/>
  <c r="F46"/>
  <c r="M45"/>
  <c r="G45"/>
  <c r="F45" l="1"/>
  <c r="K44"/>
  <c r="M44" s="1"/>
  <c r="G44"/>
  <c r="F44"/>
  <c r="M43"/>
  <c r="G43"/>
  <c r="F43"/>
  <c r="M42"/>
  <c r="G42"/>
  <c r="F42"/>
  <c r="M41"/>
  <c r="F41"/>
  <c r="M40"/>
  <c r="F40"/>
  <c r="K39"/>
  <c r="M39" s="1"/>
  <c r="F39"/>
  <c r="K38" l="1"/>
  <c r="M38" s="1"/>
  <c r="F38"/>
  <c r="M37"/>
  <c r="F37"/>
  <c r="K36"/>
  <c r="M36" s="1"/>
  <c r="F36"/>
  <c r="M35"/>
  <c r="K35"/>
  <c r="F35"/>
  <c r="M34"/>
  <c r="F34"/>
  <c r="M33"/>
  <c r="F33"/>
  <c r="K32" l="1"/>
  <c r="M32" s="1"/>
  <c r="F32"/>
  <c r="M31"/>
  <c r="G31"/>
  <c r="F31"/>
  <c r="M15"/>
  <c r="F15"/>
  <c r="M14"/>
  <c r="F14"/>
  <c r="M13"/>
  <c r="F13"/>
  <c r="M12"/>
  <c r="G12"/>
  <c r="F12"/>
  <c r="M11"/>
  <c r="G11"/>
  <c r="F11"/>
  <c r="K10"/>
  <c r="M10" s="1"/>
  <c r="C134" l="1"/>
  <c r="F10"/>
  <c r="M9"/>
  <c r="G9"/>
  <c r="F9"/>
  <c r="K8"/>
  <c r="M8" s="1"/>
  <c r="F8"/>
  <c r="M7"/>
  <c r="G7"/>
  <c r="F7"/>
  <c r="M6"/>
  <c r="F6"/>
  <c r="M5"/>
  <c r="F5"/>
  <c r="K4"/>
  <c r="M4" s="1"/>
  <c r="J4"/>
  <c r="F4"/>
  <c r="A1" i="3" l="1"/>
  <c r="O65" i="22" l="1"/>
  <c r="O65" i="23" s="1"/>
  <c r="N65" i="22"/>
  <c r="M65"/>
  <c r="N3" i="23" l="1"/>
  <c r="N65" s="1"/>
  <c r="M3"/>
  <c r="M65" s="1"/>
  <c r="I65" i="22"/>
  <c r="I3" i="23" l="1"/>
  <c r="I65" s="1"/>
  <c r="F65" i="22"/>
  <c r="E65"/>
  <c r="D65"/>
  <c r="D65" i="23" s="1"/>
  <c r="B65" i="22"/>
  <c r="F3" i="23" l="1"/>
  <c r="F65" s="1"/>
  <c r="E3"/>
  <c r="E65" s="1"/>
  <c r="B3"/>
  <c r="B65" s="1"/>
  <c r="K65" i="22"/>
  <c r="K65" i="23" s="1"/>
  <c r="L65" i="22"/>
  <c r="J65"/>
  <c r="C65"/>
  <c r="J3" i="23" l="1"/>
  <c r="J65" s="1"/>
  <c r="C3"/>
  <c r="C65" s="1"/>
  <c r="L3"/>
  <c r="L65" s="1"/>
  <c r="D1143" i="16"/>
</calcChain>
</file>

<file path=xl/sharedStrings.xml><?xml version="1.0" encoding="utf-8"?>
<sst xmlns="http://schemas.openxmlformats.org/spreadsheetml/2006/main" count="3852" uniqueCount="1275">
  <si>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</si>
  <si>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</si>
  <si>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</si>
  <si>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</si>
  <si>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</si>
  <si>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</si>
  <si>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</si>
  <si>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</si>
  <si>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</si>
  <si>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</si>
  <si>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</si>
  <si>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</si>
  <si>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</si>
  <si>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</si>
  <si>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</si>
  <si>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</si>
  <si>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</si>
  <si>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</si>
  <si>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</si>
  <si>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</si>
  <si>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</si>
  <si>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</si>
  <si>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</si>
  <si>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</si>
  <si>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</si>
  <si>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</si>
  <si>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</si>
  <si>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</si>
  <si>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</si>
  <si>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</si>
  <si>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</si>
  <si>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</si>
  <si>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</si>
  <si>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</si>
  <si>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</si>
  <si>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</si>
  <si>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</si>
  <si>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</si>
  <si>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</si>
  <si>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</si>
  <si>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</si>
  <si>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</si>
  <si>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</si>
  <si>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</si>
  <si>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</si>
  <si>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</si>
  <si>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</si>
  <si>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</si>
  <si>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</si>
  <si>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</si>
  <si>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</si>
  <si>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</si>
  <si>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</si>
  <si>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</si>
  <si>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</si>
  <si>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</si>
  <si>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</si>
  <si>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</si>
  <si>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</si>
  <si>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</si>
  <si>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Metaconcept</t>
  </si>
  <si>
    <t>Daramic</t>
  </si>
  <si>
    <t>Goonvean</t>
  </si>
  <si>
    <t>Accuma</t>
  </si>
  <si>
    <t>Akumsan</t>
  </si>
  <si>
    <t>Sovema</t>
  </si>
  <si>
    <t>Glatfelter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</si>
  <si>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</si>
  <si>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</si>
  <si>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</si>
  <si>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</si>
  <si>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</si>
  <si>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</si>
  <si>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</si>
  <si>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</si>
  <si>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</si>
  <si>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</si>
  <si>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DATE FACTURE</t>
  </si>
  <si>
    <t>TOTAL</t>
  </si>
  <si>
    <t>S N A</t>
  </si>
  <si>
    <t>FN160023</t>
  </si>
  <si>
    <t>FN160026</t>
  </si>
  <si>
    <t>FN160027</t>
  </si>
  <si>
    <t>FN160025</t>
  </si>
  <si>
    <t>EX160008</t>
  </si>
  <si>
    <t>EX160009</t>
  </si>
  <si>
    <t>FN160031</t>
  </si>
  <si>
    <t>FN160032</t>
  </si>
  <si>
    <t>FN160033</t>
  </si>
  <si>
    <t>EX160010</t>
  </si>
  <si>
    <t>CMT</t>
  </si>
  <si>
    <t>Fournisseurs</t>
  </si>
  <si>
    <t>Traite SNA</t>
  </si>
  <si>
    <t>Traite STA</t>
  </si>
  <si>
    <t>Leasing</t>
  </si>
  <si>
    <t>Steg</t>
  </si>
  <si>
    <t>Salaires</t>
  </si>
  <si>
    <t>Recette des Finances</t>
  </si>
  <si>
    <t>Local</t>
  </si>
  <si>
    <t>Escompte</t>
  </si>
  <si>
    <t>Espece</t>
  </si>
  <si>
    <t>Cheque</t>
  </si>
  <si>
    <t>STB TH</t>
  </si>
  <si>
    <t>STB MEG</t>
  </si>
  <si>
    <t>STB</t>
  </si>
  <si>
    <t>STUSID</t>
  </si>
  <si>
    <t>SND</t>
  </si>
  <si>
    <t>INT</t>
  </si>
  <si>
    <t>PP</t>
  </si>
  <si>
    <t>Total</t>
  </si>
  <si>
    <t>Intérêt</t>
  </si>
  <si>
    <t>Principal</t>
  </si>
  <si>
    <t>Crédit</t>
  </si>
  <si>
    <t>SNA-NOUR</t>
  </si>
  <si>
    <t>STA-NOUR</t>
  </si>
  <si>
    <t>STA NOUR</t>
  </si>
  <si>
    <t>Observation</t>
  </si>
  <si>
    <t>Date MEP</t>
  </si>
  <si>
    <t>Montant en dinars</t>
  </si>
  <si>
    <t>Cours</t>
  </si>
  <si>
    <t>Montant en devise</t>
  </si>
  <si>
    <t>Fournisseur</t>
  </si>
  <si>
    <t>FINANCEMENTS DE DEVISE IMPORT</t>
  </si>
  <si>
    <t>TIP</t>
  </si>
  <si>
    <t>BTK</t>
  </si>
  <si>
    <t>FN160034</t>
  </si>
  <si>
    <t>FONDERIE</t>
  </si>
  <si>
    <t xml:space="preserve">STB </t>
  </si>
  <si>
    <t>Dividendes</t>
  </si>
  <si>
    <t>PHENICIA</t>
  </si>
  <si>
    <t>Fonderie</t>
  </si>
  <si>
    <t>CCA</t>
  </si>
  <si>
    <t>COPI  AUTOS</t>
  </si>
  <si>
    <t>3R18061</t>
  </si>
  <si>
    <t>JALEL BEN AHMED EL GABSI</t>
  </si>
  <si>
    <t>1R05103</t>
  </si>
  <si>
    <t>STE ELECTRICIA AUTO</t>
  </si>
  <si>
    <t>4R12236</t>
  </si>
  <si>
    <t>STE L'HORIZON DE PIECES DE</t>
  </si>
  <si>
    <t>1R05171</t>
  </si>
  <si>
    <t>FAOUZI MECHRGUI</t>
  </si>
  <si>
    <t>SOCIETE ULTRA SERVICE</t>
  </si>
  <si>
    <t>Echéance</t>
  </si>
  <si>
    <t>Nom</t>
  </si>
  <si>
    <t>Adr fact</t>
  </si>
  <si>
    <t>MOHAMED NACEUR ABDELLI</t>
  </si>
  <si>
    <t>SAHAR BT HABIB HAJ MAHMOUD</t>
  </si>
  <si>
    <t>4R15042</t>
  </si>
  <si>
    <t>ETS. JEDIDI RIADH</t>
  </si>
  <si>
    <t>4R12147</t>
  </si>
  <si>
    <t>SOCIETE PIECE AUTO ESSAID</t>
  </si>
  <si>
    <t>1R06103</t>
  </si>
  <si>
    <t>STE COMPTOIR NORD DE PIECES</t>
  </si>
  <si>
    <t>MOHAMED ZARAGA  Z P A</t>
  </si>
  <si>
    <t>STE CDTPR</t>
  </si>
  <si>
    <t>FATHI NAJJAR</t>
  </si>
  <si>
    <t>ETS RACHED KALBOUSSI</t>
  </si>
  <si>
    <t>4R13083</t>
  </si>
  <si>
    <t>MAKNI HANEN</t>
  </si>
  <si>
    <t>3R18373</t>
  </si>
  <si>
    <t>ANIS BEN KHALIPHA RHAIEM</t>
  </si>
  <si>
    <t>3R15038</t>
  </si>
  <si>
    <t>MED MAJID B.ABDESSALEM</t>
  </si>
  <si>
    <t>6R21066</t>
  </si>
  <si>
    <t>SIRAJ BEN ZINA</t>
  </si>
  <si>
    <t>3R18072</t>
  </si>
  <si>
    <t>ZNAIDI HASSINE</t>
  </si>
  <si>
    <t>MANAI WAHID</t>
  </si>
  <si>
    <t>MAHDI BEN ELHEDI</t>
  </si>
  <si>
    <t>ISMAIL TOUNSI</t>
  </si>
  <si>
    <t>3R18104</t>
  </si>
  <si>
    <t>GUIDARA ABDALLAH</t>
  </si>
  <si>
    <t>3R18264</t>
  </si>
  <si>
    <t>ALI YAHYAOUI</t>
  </si>
  <si>
    <t>NAJET BEN MOHAMED BEN HRIZ</t>
  </si>
  <si>
    <t>COMPTOIR METOUIEN AUTOMOBILE</t>
  </si>
  <si>
    <t>DABBOUSSI MUSTAPHA</t>
  </si>
  <si>
    <t>KOUKI FAOUZI</t>
  </si>
  <si>
    <t>ALI BEN AHMED CHAABANI</t>
  </si>
  <si>
    <t>7R16027</t>
  </si>
  <si>
    <t>MOUHAMED GDEMME</t>
  </si>
  <si>
    <t>SOCIETE AUTOS PIECES</t>
  </si>
  <si>
    <t>LES EQUIPEMENTS MARITIMES DE</t>
  </si>
  <si>
    <t>STE CHERIF ELECTRICITE AUTO</t>
  </si>
  <si>
    <t>STE. COMMERCIALE DES PIECES</t>
  </si>
  <si>
    <t>STE SO CO PA</t>
  </si>
  <si>
    <t>STE MED ALI DE PIECES DE</t>
  </si>
  <si>
    <t>BOUAZIZ SLAH</t>
  </si>
  <si>
    <t>AYMEN BEN HAMMADI BENAMOR</t>
  </si>
  <si>
    <t>SAMIR BEN SLIMEN AOUADI</t>
  </si>
  <si>
    <t>TAIEB GHRIBI</t>
  </si>
  <si>
    <t>6R23048</t>
  </si>
  <si>
    <t>STE EQUIP.INDUSTRIEL &amp; MARIT</t>
  </si>
  <si>
    <t>STE ARFA AUTO PLUS</t>
  </si>
  <si>
    <t>AWADNI MAATOUG</t>
  </si>
  <si>
    <t>STE SLIM VENTE PIECES AUTOS</t>
  </si>
  <si>
    <t>3R18380</t>
  </si>
  <si>
    <t>BELEL HABIB</t>
  </si>
  <si>
    <t>3R18120</t>
  </si>
  <si>
    <t>STE MDIALE PCE AUTOMOBILES</t>
  </si>
  <si>
    <t>NEGGAZ MONGI</t>
  </si>
  <si>
    <t>4R13090</t>
  </si>
  <si>
    <t>STE MAHDIA AUTO</t>
  </si>
  <si>
    <t>4R15037</t>
  </si>
  <si>
    <t>HAJJAJI NASREDDINE</t>
  </si>
  <si>
    <t>ZEYNEB BEN MOHAMED HEDI SAID</t>
  </si>
  <si>
    <t>SOCIETE MANNAI BATIMENT</t>
  </si>
  <si>
    <t>4R13028</t>
  </si>
  <si>
    <t>STE GLOBAL PIECES AUTOS</t>
  </si>
  <si>
    <t>1R02243</t>
  </si>
  <si>
    <t>SOUADI ABDELKADER</t>
  </si>
  <si>
    <t>MOHAMED AMINE BEN AMOR</t>
  </si>
  <si>
    <t>3R18375</t>
  </si>
  <si>
    <t>STE ARIJ PIECES AUTOS</t>
  </si>
  <si>
    <t>SALEM AGIL</t>
  </si>
  <si>
    <t>7R16041</t>
  </si>
  <si>
    <t>SMPA MASMOUDI PIECES AUTOS</t>
  </si>
  <si>
    <t>1R02238</t>
  </si>
  <si>
    <t>STE.GUEDRI MOHSEN ET FRERES</t>
  </si>
  <si>
    <t>RIDHA BEN ALI MENSI</t>
  </si>
  <si>
    <t>HAOUARI CHOKRI</t>
  </si>
  <si>
    <t>SOCIETE ALI PIECES AUTOS</t>
  </si>
  <si>
    <t>3R18337</t>
  </si>
  <si>
    <t>ETAB. FARHAT BOUJELBAN</t>
  </si>
  <si>
    <t>3R18101</t>
  </si>
  <si>
    <t>STE IDEALE PIECES AUTOS SIPA</t>
  </si>
  <si>
    <t>3R18367</t>
  </si>
  <si>
    <t>WAJDI BOUZGENDA</t>
  </si>
  <si>
    <t>3R18123</t>
  </si>
  <si>
    <t>STE DOGHRI AL BARAKA</t>
  </si>
  <si>
    <t>AMOR BEN ABDRAHMENE BIBANI</t>
  </si>
  <si>
    <t>MOHAMED HEDI TALBI</t>
  </si>
  <si>
    <t>TAHER KABOUS ROYAL AUTO</t>
  </si>
  <si>
    <t>BOURAOUI LAMTI</t>
  </si>
  <si>
    <t>SO.CO.PI</t>
  </si>
  <si>
    <t>MAKREM ZAMMALI</t>
  </si>
  <si>
    <t>FIDHA AMINE B FATHI B HEDI</t>
  </si>
  <si>
    <t>JILANI BEN AHMED CHNINA</t>
  </si>
  <si>
    <t>PIECES AUTOS BEN ALAYA MED</t>
  </si>
  <si>
    <t>BAAZAOUI SALAH</t>
  </si>
  <si>
    <t>3R14079</t>
  </si>
  <si>
    <t>STE RANEN.PIECES DE RECHANGE</t>
  </si>
  <si>
    <t>3R18389</t>
  </si>
  <si>
    <t>S. BADREDDINE CHERIF &amp; CIES</t>
  </si>
  <si>
    <t>3R18097</t>
  </si>
  <si>
    <t>HELA FERJANI NEE AJMI</t>
  </si>
  <si>
    <t>SOCIETE HNIA</t>
  </si>
  <si>
    <t>CHEDLY AOUINI</t>
  </si>
  <si>
    <t>STE HADDAD PIECES.RECHANGES</t>
  </si>
  <si>
    <t>MONDHER MEFTAH</t>
  </si>
  <si>
    <t>RAMEH JAMILA BEN SADOK</t>
  </si>
  <si>
    <t>STE ALBOURAQ PIECES AUTO</t>
  </si>
  <si>
    <t>STE COGEPA</t>
  </si>
  <si>
    <t>HASSINI AHMED BEN MOHAMED</t>
  </si>
  <si>
    <t>STE SUD EQUIPEMENT MARITINE</t>
  </si>
  <si>
    <t>6R23150</t>
  </si>
  <si>
    <t>HACHICHA THAMEUR</t>
  </si>
  <si>
    <t>3R18053</t>
  </si>
  <si>
    <t>COMPTOIR ABDENNADHER</t>
  </si>
  <si>
    <t>3R18047</t>
  </si>
  <si>
    <t>BEJI CHEDLY</t>
  </si>
  <si>
    <t>HAIKEL BEN MOULDI ESSAHLI</t>
  </si>
  <si>
    <t>STE SPAMM</t>
  </si>
  <si>
    <t>3R18349</t>
  </si>
  <si>
    <t>SOUAD BENT HEDI KALAI</t>
  </si>
  <si>
    <t>JALELEDDINE B SALEM ZERELLI</t>
  </si>
  <si>
    <t>MOURAD BEN GACEM NALOUTI</t>
  </si>
  <si>
    <t>ABICHOU ABDELFATTAH</t>
  </si>
  <si>
    <t>6R23098</t>
  </si>
  <si>
    <t>IMED BEN ZEKRI</t>
  </si>
  <si>
    <t>BOUCHADDAKH KHALED</t>
  </si>
  <si>
    <t>7R20002</t>
  </si>
  <si>
    <t>FAOUZI BEN ALI AKROUT</t>
  </si>
  <si>
    <t>BELGACEM BEN SMIDA</t>
  </si>
  <si>
    <t>7R22003</t>
  </si>
  <si>
    <t>LIMEME FATHI BEN KHLIFA</t>
  </si>
  <si>
    <t>4R12214</t>
  </si>
  <si>
    <t>STE.MAGHR. DE PIECES DE RECH</t>
  </si>
  <si>
    <t>4R12104</t>
  </si>
  <si>
    <t>NEJI EL JAZI</t>
  </si>
  <si>
    <t>STE HAMI AUTO</t>
  </si>
  <si>
    <t>AMEL ZGUIDENE EP SADFI</t>
  </si>
  <si>
    <t>ABDELKADER MOEZ BEN LAMINE</t>
  </si>
  <si>
    <t>1R12003</t>
  </si>
  <si>
    <t>FN160042</t>
  </si>
  <si>
    <t>EX160011</t>
  </si>
  <si>
    <t>EX160012</t>
  </si>
  <si>
    <t>FN160038</t>
  </si>
  <si>
    <t>FN160039</t>
  </si>
  <si>
    <t>FN160040</t>
  </si>
  <si>
    <t>FN160041</t>
  </si>
  <si>
    <t>CNSS</t>
  </si>
  <si>
    <t>MOHAMED BEN MOHAMED SAMIR</t>
  </si>
  <si>
    <t>BEJI FAYCEL</t>
  </si>
  <si>
    <t>VENTE DEVISE</t>
  </si>
  <si>
    <t>Biasin</t>
  </si>
  <si>
    <t>FN160046</t>
  </si>
  <si>
    <t>FN160050</t>
  </si>
  <si>
    <t>FN160051</t>
  </si>
  <si>
    <t>7R17046</t>
  </si>
  <si>
    <t>THAMEUR CHAGRAOUI</t>
  </si>
  <si>
    <t>FN160045</t>
  </si>
  <si>
    <t>FN160054</t>
  </si>
  <si>
    <t>FN160053</t>
  </si>
  <si>
    <t>FN160055</t>
  </si>
  <si>
    <t>FN160052</t>
  </si>
  <si>
    <t>FN160058</t>
  </si>
  <si>
    <t>FN160059</t>
  </si>
  <si>
    <t>1R02097</t>
  </si>
  <si>
    <t>ESSAIED SALAH</t>
  </si>
  <si>
    <t>7R22039</t>
  </si>
  <si>
    <t>STE AL BARAKA EQUIP.GENERALE</t>
  </si>
  <si>
    <t>3R18207</t>
  </si>
  <si>
    <t>SMAOUI MOHSEN</t>
  </si>
  <si>
    <t>4R14056</t>
  </si>
  <si>
    <t>MEHREZ BEN MOHAMED GUIZANI</t>
  </si>
  <si>
    <t>STE SUD MOTORS SRVIVES AUTO</t>
  </si>
  <si>
    <t>NAJET BENT SALAH ZAMELI</t>
  </si>
  <si>
    <t>4R12228</t>
  </si>
  <si>
    <t>SOCIETE DARDOUR ET FILS</t>
  </si>
  <si>
    <t>SOCIETE DRIDI AUTO (SDA)</t>
  </si>
  <si>
    <t>STE M W AUTO'S</t>
  </si>
  <si>
    <t>7R19061</t>
  </si>
  <si>
    <t>STE GENERALE AUTO DU SUD</t>
  </si>
  <si>
    <t>FN160060</t>
  </si>
  <si>
    <t>EL HARAMAIN</t>
  </si>
  <si>
    <t>FN160066</t>
  </si>
  <si>
    <t>FN160065</t>
  </si>
  <si>
    <t>FN160067</t>
  </si>
  <si>
    <t>FN160068</t>
  </si>
  <si>
    <t>STE COMPT EQUIP AUTOS</t>
  </si>
  <si>
    <t>Metalliance</t>
  </si>
  <si>
    <t>FN160069</t>
  </si>
  <si>
    <t>FN160072</t>
  </si>
  <si>
    <t>FN160075</t>
  </si>
  <si>
    <t>FN160076</t>
  </si>
  <si>
    <t>EX160014</t>
  </si>
  <si>
    <t>GENERALE ELECT.AUTOMOBILE</t>
  </si>
  <si>
    <t>1R01551</t>
  </si>
  <si>
    <t>STE AYOUB DE PIECES AUTOS</t>
  </si>
  <si>
    <t>STE FOURAT DE PIECES AUTO</t>
  </si>
  <si>
    <t>AYMEN BEN EZZEDDINE DAOUDI</t>
  </si>
  <si>
    <t>GROCOMA</t>
  </si>
  <si>
    <t>LAHMAR KAIES</t>
  </si>
  <si>
    <t>FN160077</t>
  </si>
  <si>
    <t>RESTETUTION TVA</t>
  </si>
  <si>
    <t>Credit de gestion: FED</t>
  </si>
  <si>
    <t>EX160015</t>
  </si>
  <si>
    <t>EURO MEG</t>
  </si>
  <si>
    <t>FN160082</t>
  </si>
  <si>
    <t>FN160084</t>
  </si>
  <si>
    <t>ECHEANCIER 2017</t>
  </si>
  <si>
    <t>TOTAL 2017</t>
  </si>
  <si>
    <t>Total 01/2017</t>
  </si>
  <si>
    <t>Total 02/2017</t>
  </si>
  <si>
    <t>Total 03/2017</t>
  </si>
  <si>
    <t>Total 05/2017</t>
  </si>
  <si>
    <t>Total 06/2017</t>
  </si>
  <si>
    <t>Total 07/2017</t>
  </si>
  <si>
    <t>REGLEMENT FINAL</t>
  </si>
  <si>
    <t>Total 08/2017</t>
  </si>
  <si>
    <t>Total 09/2017</t>
  </si>
  <si>
    <t>Total 12/2017</t>
  </si>
  <si>
    <t>AU 31/12/2016</t>
  </si>
  <si>
    <t>KARAOULI PIECES DE RECHANGES</t>
  </si>
  <si>
    <t>1r06020</t>
  </si>
  <si>
    <t>AHMED BEN ALI TEKAYA</t>
  </si>
  <si>
    <t>4R14047</t>
  </si>
  <si>
    <t>EL BARAKA VENTE PIECES RECH.</t>
  </si>
  <si>
    <t>1r02148</t>
  </si>
  <si>
    <t>4R13135</t>
  </si>
  <si>
    <t>ZIED ABDELMALEK</t>
  </si>
  <si>
    <t>1r03131</t>
  </si>
  <si>
    <t>1r04141</t>
  </si>
  <si>
    <t>1r02150</t>
  </si>
  <si>
    <t>1r02247</t>
  </si>
  <si>
    <t>6R21169</t>
  </si>
  <si>
    <t>STE MBABET AUTO</t>
  </si>
  <si>
    <t>8r11072</t>
  </si>
  <si>
    <t>ALI BEN BRAHIM HAMMAMI</t>
  </si>
  <si>
    <t>1r04121</t>
  </si>
  <si>
    <t>8r09060</t>
  </si>
  <si>
    <t>1r02231</t>
  </si>
  <si>
    <t>1r02257</t>
  </si>
  <si>
    <t>1r04136</t>
  </si>
  <si>
    <t>1r02224</t>
  </si>
  <si>
    <t>8r10047</t>
  </si>
  <si>
    <t>8r09020</t>
  </si>
  <si>
    <t>1r02245</t>
  </si>
  <si>
    <t>3R18234</t>
  </si>
  <si>
    <t>1r01551</t>
  </si>
  <si>
    <t>TAHER MESTIRI</t>
  </si>
  <si>
    <t>1r02199</t>
  </si>
  <si>
    <t>1r05103</t>
  </si>
  <si>
    <t>Sorfin</t>
  </si>
  <si>
    <t>FN160090</t>
  </si>
  <si>
    <t>EX170001</t>
  </si>
  <si>
    <t>FN170001</t>
  </si>
  <si>
    <t>FN170006</t>
  </si>
  <si>
    <t xml:space="preserve">ENERTECH </t>
  </si>
  <si>
    <t>EX170002</t>
  </si>
  <si>
    <t>FN170007</t>
  </si>
  <si>
    <t>4R13132</t>
  </si>
  <si>
    <t>STE GENERALE EQUIP.MARITIME</t>
  </si>
  <si>
    <t>6r23155</t>
  </si>
  <si>
    <t>JERIDI MOURAD BEN BELGACEM</t>
  </si>
  <si>
    <t>8r08037</t>
  </si>
  <si>
    <t>1r01161</t>
  </si>
  <si>
    <t>1r06038</t>
  </si>
  <si>
    <t>1r03149</t>
  </si>
  <si>
    <t>8r10044</t>
  </si>
  <si>
    <t>7R17011</t>
  </si>
  <si>
    <t>1r03074</t>
  </si>
  <si>
    <t>7R19071</t>
  </si>
  <si>
    <t>8r08026</t>
  </si>
  <si>
    <t>1r01445</t>
  </si>
  <si>
    <t>1r09019</t>
  </si>
  <si>
    <t>MONCEF ZARRAGA</t>
  </si>
  <si>
    <t>STUFEME</t>
  </si>
  <si>
    <t>NAMOUCHI MARIEM</t>
  </si>
  <si>
    <t>$ MEG</t>
  </si>
  <si>
    <t>STE ZORGATI VEHICULES</t>
  </si>
  <si>
    <t>EX170003</t>
  </si>
  <si>
    <t>FN170008</t>
  </si>
  <si>
    <t>Date de Liv</t>
  </si>
  <si>
    <t>Desc Art</t>
  </si>
  <si>
    <t>UN</t>
  </si>
  <si>
    <t>Qté Liv / STA NOUR</t>
  </si>
  <si>
    <t>Px UN / TND</t>
  </si>
  <si>
    <t>Société</t>
  </si>
  <si>
    <t>Px Tot / TND</t>
  </si>
  <si>
    <t>TVA 18%</t>
  </si>
  <si>
    <t>Tot. TTC</t>
  </si>
  <si>
    <t>Mode de Paiement</t>
  </si>
  <si>
    <t>Réf. Pièce de Règ</t>
  </si>
  <si>
    <t>Banque</t>
  </si>
  <si>
    <t>KG</t>
  </si>
  <si>
    <t>CH</t>
  </si>
  <si>
    <t>VIEUX PLOMB</t>
  </si>
  <si>
    <t>ETAIN</t>
  </si>
  <si>
    <t>6R23152</t>
  </si>
  <si>
    <t>GHRIBI ABDELMOUTALAB B.AMMAR</t>
  </si>
  <si>
    <t>8r09054</t>
  </si>
  <si>
    <t>1S02073</t>
  </si>
  <si>
    <t>NOUREDDINE B MOHAMOUD KNIOUA</t>
  </si>
  <si>
    <t>1r02238</t>
  </si>
  <si>
    <t>1r05173</t>
  </si>
  <si>
    <t>1r04138</t>
  </si>
  <si>
    <t>FN170013</t>
  </si>
  <si>
    <t>FN170014</t>
  </si>
  <si>
    <t>6R21173</t>
  </si>
  <si>
    <t>STE RESSIFI DES PIECES AUTOS</t>
  </si>
  <si>
    <t>1R06125</t>
  </si>
  <si>
    <t>3r18120</t>
  </si>
  <si>
    <t>3eme et derniere</t>
  </si>
  <si>
    <t>GARA NABIL BEN BECHIR</t>
  </si>
  <si>
    <t>1r07013</t>
  </si>
  <si>
    <t>ETABLISSEMENT HABIB BEN NASR</t>
  </si>
  <si>
    <t>1r07041</t>
  </si>
  <si>
    <t>1r02263</t>
  </si>
  <si>
    <t>EX170004</t>
  </si>
  <si>
    <t>FN170017</t>
  </si>
  <si>
    <t>INOX</t>
  </si>
  <si>
    <t>HAROUNI HAFSIA BT MOHAMED</t>
  </si>
  <si>
    <t>6R23143</t>
  </si>
  <si>
    <t>6R23151</t>
  </si>
  <si>
    <t>STE MAIS</t>
  </si>
  <si>
    <t>STE SIPRAMA</t>
  </si>
  <si>
    <t>MONGI BEN BRAHIM</t>
  </si>
  <si>
    <t>STE OCTOBUS</t>
  </si>
  <si>
    <t>1r06159</t>
  </si>
  <si>
    <t>HAJRI FAYCEL</t>
  </si>
  <si>
    <t>FN170020</t>
  </si>
  <si>
    <t>1r01550</t>
  </si>
  <si>
    <t>1r02193</t>
  </si>
  <si>
    <t>KHALED DRIDI</t>
  </si>
  <si>
    <t>1r02236</t>
  </si>
  <si>
    <t>6R21074</t>
  </si>
  <si>
    <t>1r01292</t>
  </si>
  <si>
    <t>AJIMI YASSINE  CYBER</t>
  </si>
  <si>
    <t>1R05195</t>
  </si>
  <si>
    <t>1r02250</t>
  </si>
  <si>
    <t>STE GAMA AUTO</t>
  </si>
  <si>
    <t>1r05211</t>
  </si>
  <si>
    <t>STE EL HAMDI PIECES.RECHANGE</t>
  </si>
  <si>
    <t>3R18254</t>
  </si>
  <si>
    <t>MOHAMED KCHAOU</t>
  </si>
  <si>
    <t>NAILA BEN AHMED JEMAI</t>
  </si>
  <si>
    <t>1r04128</t>
  </si>
  <si>
    <t>3R18336</t>
  </si>
  <si>
    <t>STE PIECES AUTOS JAPONAISES</t>
  </si>
  <si>
    <t>3R18396</t>
  </si>
  <si>
    <t>STE HAJ TAIEB PIECES.RECHANG</t>
  </si>
  <si>
    <t>4R12261</t>
  </si>
  <si>
    <t>STE BEN MARIEM AUTO</t>
  </si>
  <si>
    <t>4R13115</t>
  </si>
  <si>
    <t>SOCIETE WORLD PARTS</t>
  </si>
  <si>
    <t>1r06136</t>
  </si>
  <si>
    <t xml:space="preserve"> </t>
  </si>
  <si>
    <t>HEMP</t>
  </si>
  <si>
    <t>HEMPE</t>
  </si>
  <si>
    <t>DECHET BATTERIE</t>
  </si>
  <si>
    <t>EX170005</t>
  </si>
  <si>
    <t>FN170024</t>
  </si>
  <si>
    <t>FN170025</t>
  </si>
  <si>
    <t>EX170006</t>
  </si>
  <si>
    <t>EX170007</t>
  </si>
  <si>
    <t>ACCUMA 22</t>
  </si>
  <si>
    <t>1R05042</t>
  </si>
  <si>
    <t>1r06141</t>
  </si>
  <si>
    <t>1R02185</t>
  </si>
  <si>
    <t>STE DES PIECES DE RECHANGE</t>
  </si>
  <si>
    <t>3R18384</t>
  </si>
  <si>
    <t>ETS.AMOR SGHAIER ET CIE</t>
  </si>
  <si>
    <t>4R13031</t>
  </si>
  <si>
    <t>1r02232</t>
  </si>
  <si>
    <t>HAMDA MALEK BEN JILANI</t>
  </si>
  <si>
    <t>4R14050</t>
  </si>
  <si>
    <t>1R05071</t>
  </si>
  <si>
    <t>1R05211</t>
  </si>
  <si>
    <t>1R02174</t>
  </si>
  <si>
    <t>6R23155</t>
  </si>
  <si>
    <t>1R02239</t>
  </si>
  <si>
    <t>AOUINI SAFOUANE</t>
  </si>
  <si>
    <t>1r02264</t>
  </si>
  <si>
    <t>1r02243</t>
  </si>
  <si>
    <t>SOCIETE BOUJNAH</t>
  </si>
  <si>
    <t>1r02225</t>
  </si>
  <si>
    <t>1R02150</t>
  </si>
  <si>
    <t>STE PIECES.RECH.FRANCAISE</t>
  </si>
  <si>
    <t>8r10052</t>
  </si>
  <si>
    <t>AOUADI ABDELKARIM</t>
  </si>
  <si>
    <t>EZZEDDINE LETIFI</t>
  </si>
  <si>
    <t>RIAHI TAREK B HMIDA B MED</t>
  </si>
  <si>
    <t>1r03157</t>
  </si>
  <si>
    <t>STE CENTRE NAOUALI SERVICES</t>
  </si>
  <si>
    <t>4R13137</t>
  </si>
  <si>
    <t>STE BATTERY CENTER</t>
  </si>
  <si>
    <t>1r05192</t>
  </si>
  <si>
    <t>STE HSOUNA FRIKHA ET FILS</t>
  </si>
  <si>
    <t>3R18274</t>
  </si>
  <si>
    <t>6R23139</t>
  </si>
  <si>
    <t>6R21136</t>
  </si>
  <si>
    <t>BT SERVICES SURAL</t>
  </si>
  <si>
    <t>KALLEL HATEM</t>
  </si>
  <si>
    <t>3R18317</t>
  </si>
  <si>
    <t>HAMIDA SHILI</t>
  </si>
  <si>
    <t>HATEM BEN SALAH KRAIEM</t>
  </si>
  <si>
    <t>4R12113</t>
  </si>
  <si>
    <t>1R05040</t>
  </si>
  <si>
    <t>STE GHAMMOUR ENAKHIL</t>
  </si>
  <si>
    <t>8r11061</t>
  </si>
  <si>
    <t>SOCIETE EL HOUIOUI</t>
  </si>
  <si>
    <t>EQUIP. AUTOS MOKNINE</t>
  </si>
  <si>
    <t>STE CHIBANI COMMERCE&amp;SERVICE</t>
  </si>
  <si>
    <t>1R01502</t>
  </si>
  <si>
    <t>1r01492</t>
  </si>
  <si>
    <t>8r11076</t>
  </si>
  <si>
    <t>OUERGHI MOUNIR B ABDELMAJID</t>
  </si>
  <si>
    <t>8r10053</t>
  </si>
  <si>
    <t>6R21158</t>
  </si>
  <si>
    <t>1r02138</t>
  </si>
  <si>
    <t>1R05173</t>
  </si>
  <si>
    <t>ARBI BEN ALIU GHARBI</t>
  </si>
  <si>
    <t>7R17047</t>
  </si>
  <si>
    <t>STE SLIM&amp; MONCEF PICES AUTO</t>
  </si>
  <si>
    <t>1R02148</t>
  </si>
  <si>
    <t>1R03131</t>
  </si>
  <si>
    <t>6R23156</t>
  </si>
  <si>
    <t>AKROUT MAKREM</t>
  </si>
  <si>
    <t>7R19070</t>
  </si>
  <si>
    <t>8r10038</t>
  </si>
  <si>
    <t>BEN SALEM MALIKA</t>
  </si>
  <si>
    <t>1R02176</t>
  </si>
  <si>
    <t>1R02237</t>
  </si>
  <si>
    <t>1R06020</t>
  </si>
  <si>
    <t>1R05175</t>
  </si>
  <si>
    <t>1R05194</t>
  </si>
  <si>
    <t>HAKIM BEN SADOK KHEMIS</t>
  </si>
  <si>
    <t>3R18068</t>
  </si>
  <si>
    <t>MOHAMED GHARIANI</t>
  </si>
  <si>
    <t xml:space="preserve">HEMPE </t>
  </si>
  <si>
    <t>FH170001</t>
  </si>
  <si>
    <t>FH170002</t>
  </si>
  <si>
    <t>FH170003</t>
  </si>
  <si>
    <t>FH170004</t>
  </si>
  <si>
    <t xml:space="preserve">REGLEMENT </t>
  </si>
  <si>
    <t>50 TO</t>
  </si>
  <si>
    <t>Z I</t>
  </si>
  <si>
    <t>ALPHA</t>
  </si>
  <si>
    <t>FED</t>
  </si>
  <si>
    <t>Total 10/2017</t>
  </si>
  <si>
    <t>Total 11/2017</t>
  </si>
  <si>
    <t>FN170027</t>
  </si>
  <si>
    <t>Plomb local</t>
  </si>
  <si>
    <t>Placement</t>
  </si>
  <si>
    <t>CEMT</t>
  </si>
  <si>
    <t>TAUX CNY/TND</t>
  </si>
  <si>
    <t>CNY</t>
  </si>
  <si>
    <t>FH170005</t>
  </si>
  <si>
    <t>FN170030</t>
  </si>
  <si>
    <t>FH170006</t>
  </si>
  <si>
    <t>FN170031</t>
  </si>
  <si>
    <t>FH170007</t>
  </si>
  <si>
    <t>4R12227</t>
  </si>
  <si>
    <t>NAIM BERRICH</t>
  </si>
  <si>
    <t>4R14068</t>
  </si>
  <si>
    <t>KAMMOUN BILEL</t>
  </si>
  <si>
    <t>KHELIFA BEN TAIEB</t>
  </si>
  <si>
    <t>MED DHIA BEN BRAHIM CHEFAAI</t>
  </si>
  <si>
    <t>STE SAAIDI PIECES  RECHANGE</t>
  </si>
  <si>
    <t>1R04121</t>
  </si>
  <si>
    <t>8r10057</t>
  </si>
  <si>
    <t>SOLTANI HSAN B.MBAREK</t>
  </si>
  <si>
    <t>4R12234</t>
  </si>
  <si>
    <t>FAYCEL BEN MOHAMMED ZARROUK</t>
  </si>
  <si>
    <t>3R18353</t>
  </si>
  <si>
    <t>MOHAMMED BEN NOURI MSAKNI</t>
  </si>
  <si>
    <t>M P R- ESSID LASSAAD</t>
  </si>
  <si>
    <t>1R02255</t>
  </si>
  <si>
    <t>STE POLYMEC</t>
  </si>
  <si>
    <t>1R04140</t>
  </si>
  <si>
    <t>MEJDI NAJET BENT IBRAHIM</t>
  </si>
  <si>
    <t>3R18381</t>
  </si>
  <si>
    <t>STE DREAM CAR</t>
  </si>
  <si>
    <t>1R05187</t>
  </si>
  <si>
    <t>SAMI BEN EZZEDINE B ABDALLAH</t>
  </si>
  <si>
    <t>1R05197</t>
  </si>
  <si>
    <t>4R13116</t>
  </si>
  <si>
    <t>1R05196</t>
  </si>
  <si>
    <t>SOFIENE B RHOUMA "CAP AUTO"</t>
  </si>
  <si>
    <t>1r01010</t>
  </si>
  <si>
    <t>TRABELSI JAMEL</t>
  </si>
  <si>
    <t>1r02141</t>
  </si>
  <si>
    <t>1r04137</t>
  </si>
  <si>
    <t>BOUKERI GHASSEN</t>
  </si>
  <si>
    <t>1r05034</t>
  </si>
  <si>
    <t>6r23151</t>
  </si>
  <si>
    <t>4R12254</t>
  </si>
  <si>
    <t>STE STATION SERVICE.OILLIBYA</t>
  </si>
  <si>
    <t>1r01561</t>
  </si>
  <si>
    <t>8r10051</t>
  </si>
  <si>
    <t>1r05188</t>
  </si>
  <si>
    <t>8R09060</t>
  </si>
  <si>
    <t>4R12256</t>
  </si>
  <si>
    <t>ABDELKEBIR IMED BEN ZID</t>
  </si>
  <si>
    <t>1r01493</t>
  </si>
  <si>
    <t>HEDIA BENT YOUSSEF TOUJANI</t>
  </si>
  <si>
    <t>1r06103</t>
  </si>
  <si>
    <t>1R02257</t>
  </si>
  <si>
    <t>4R15050</t>
  </si>
  <si>
    <t>JAMEL BEN ALI ROMDHANE</t>
  </si>
  <si>
    <t>6r23150</t>
  </si>
  <si>
    <t>3R18119</t>
  </si>
  <si>
    <t>ZOUARI FRERES</t>
  </si>
  <si>
    <t>FH170008</t>
  </si>
  <si>
    <t>FH170009</t>
  </si>
  <si>
    <t>EX170008</t>
  </si>
  <si>
    <t>8R10044</t>
  </si>
  <si>
    <t>STE PIECES RECH.EUROPEENNES</t>
  </si>
  <si>
    <t>1r01457</t>
  </si>
  <si>
    <t>1R01445</t>
  </si>
  <si>
    <t>7r17011</t>
  </si>
  <si>
    <t>1R07041</t>
  </si>
  <si>
    <t>ZAMMOURIA FATMA EPS MANSOURI</t>
  </si>
  <si>
    <t>6R23146</t>
  </si>
  <si>
    <t>6r21066</t>
  </si>
  <si>
    <t>PROCAR TUNISIE</t>
  </si>
  <si>
    <t>1r04146</t>
  </si>
  <si>
    <t>SALIM AUTOS</t>
  </si>
  <si>
    <t>1r01495</t>
  </si>
  <si>
    <t>1r01518</t>
  </si>
  <si>
    <t>MATERIELS POIDS LOURDS</t>
  </si>
  <si>
    <t>1R01465</t>
  </si>
  <si>
    <t>3r18274</t>
  </si>
  <si>
    <t>7R16055</t>
  </si>
  <si>
    <t>NABIL B AHMED B SALAH SMAII</t>
  </si>
  <si>
    <t>7R08001</t>
  </si>
  <si>
    <t>6R24016</t>
  </si>
  <si>
    <t>8r08041</t>
  </si>
  <si>
    <t>ABDELKADER B YOUSSEF GHARBI</t>
  </si>
  <si>
    <t>1R04120</t>
  </si>
  <si>
    <t>1r01548</t>
  </si>
  <si>
    <t>1r01478</t>
  </si>
  <si>
    <t>SOCIETE GENERAL DE PIECES</t>
  </si>
  <si>
    <t>3R18321</t>
  </si>
  <si>
    <t>IBRAHIM EL HEDI DIWANI</t>
  </si>
  <si>
    <t>4R14072</t>
  </si>
  <si>
    <t>8R09044</t>
  </si>
  <si>
    <t>SALIMA NSIB</t>
  </si>
  <si>
    <t>1r02256</t>
  </si>
  <si>
    <t>STE ASIE AUTOMOBILE SERVICES</t>
  </si>
  <si>
    <t>1R02201</t>
  </si>
  <si>
    <t>1R01456</t>
  </si>
  <si>
    <t>YACOUBI BEN MOULDI EL ABED</t>
  </si>
  <si>
    <t>7R19018</t>
  </si>
  <si>
    <t>MAJED BEN MED HAMMAMI</t>
  </si>
  <si>
    <t>1r05040</t>
  </si>
  <si>
    <t>STE  BEN TALEB PIECES AUTOS</t>
  </si>
  <si>
    <t>1r03100</t>
  </si>
  <si>
    <t>STE BEN HMIDA POLY SERVICES</t>
  </si>
  <si>
    <t>HOUCINE LOUSSAIEF</t>
  </si>
  <si>
    <t>8r08023</t>
  </si>
  <si>
    <t>1r06149</t>
  </si>
  <si>
    <t>1R02235</t>
  </si>
  <si>
    <t>STE GOMRI FRERES DE PIECES</t>
  </si>
  <si>
    <t>3R15036</t>
  </si>
  <si>
    <t>4R14039</t>
  </si>
  <si>
    <t>SOCIETE CHAIBI DE CARBURANT</t>
  </si>
  <si>
    <t>S M E A</t>
  </si>
  <si>
    <t>3R18160</t>
  </si>
  <si>
    <t>ACCUMA 33</t>
  </si>
  <si>
    <t>ACCUMA 34</t>
  </si>
  <si>
    <t>ACCUMA 35</t>
  </si>
  <si>
    <t>ACCUMA 36</t>
  </si>
  <si>
    <t>ACCUMA 37</t>
  </si>
  <si>
    <t>GBP</t>
  </si>
  <si>
    <t>T B S</t>
  </si>
  <si>
    <t>FN170038</t>
  </si>
  <si>
    <t>4R14029</t>
  </si>
  <si>
    <t>JAADI MONCEF</t>
  </si>
  <si>
    <t>ACCUMA 38</t>
  </si>
  <si>
    <t>ACCUMA 39</t>
  </si>
  <si>
    <t>ACCUMA 40</t>
  </si>
  <si>
    <t>ACCUMA 41</t>
  </si>
  <si>
    <t>TOTAL EXPORT</t>
  </si>
  <si>
    <t>3R18036</t>
  </si>
  <si>
    <t>4R12240</t>
  </si>
  <si>
    <t>1R02211</t>
  </si>
  <si>
    <t>1r05159</t>
  </si>
  <si>
    <t>8R10040</t>
  </si>
  <si>
    <t>SOUHEIL TEKAYA</t>
  </si>
  <si>
    <t>4R14069</t>
  </si>
  <si>
    <t>STE BEN ABDERRAZEK NASRI</t>
  </si>
  <si>
    <t>6R21144</t>
  </si>
  <si>
    <t>4R13048</t>
  </si>
  <si>
    <t>7R16012</t>
  </si>
  <si>
    <t>6R23153</t>
  </si>
  <si>
    <t>4R12252</t>
  </si>
  <si>
    <t>STE DITRI-FILTRE</t>
  </si>
  <si>
    <t>4R14007</t>
  </si>
  <si>
    <t>1R05191</t>
  </si>
  <si>
    <t>6r23125</t>
  </si>
  <si>
    <t>SOCIETE RECTIF</t>
  </si>
  <si>
    <t>8R09023</t>
  </si>
  <si>
    <t>4R12257</t>
  </si>
  <si>
    <t>STE MY CAR DISTRIBUTION</t>
  </si>
  <si>
    <t>3R18398</t>
  </si>
  <si>
    <t>STE KAPRA</t>
  </si>
  <si>
    <t>6R21145</t>
  </si>
  <si>
    <t>1R01217</t>
  </si>
  <si>
    <t>STE UNIVSEL AUTOMOTIVES PART</t>
  </si>
  <si>
    <t>1R02194</t>
  </si>
  <si>
    <t>1R05199</t>
  </si>
  <si>
    <t>3r18381</t>
  </si>
  <si>
    <t>1R02233</t>
  </si>
  <si>
    <t>4R12231</t>
  </si>
  <si>
    <t>1R09019</t>
  </si>
  <si>
    <t>1r01509</t>
  </si>
  <si>
    <t>STE JAMEL AUTO</t>
  </si>
  <si>
    <t>1r05184</t>
  </si>
  <si>
    <t>8R11083</t>
  </si>
  <si>
    <t>1R02199</t>
  </si>
  <si>
    <t>6R23118</t>
  </si>
  <si>
    <t>1R02138</t>
  </si>
  <si>
    <t>1R07059</t>
  </si>
  <si>
    <t>CHERIF ABDERRAHIM B.CHEDLY</t>
  </si>
  <si>
    <t>1r05071</t>
  </si>
  <si>
    <t>1r03076</t>
  </si>
  <si>
    <t>Ste P I A A T.</t>
  </si>
  <si>
    <t>1R02232</t>
  </si>
  <si>
    <t>8r10042</t>
  </si>
  <si>
    <t>SEDGHIANI ABDELHAFID</t>
  </si>
  <si>
    <t>1R05186</t>
  </si>
  <si>
    <t>STE AFRICA DES PIECES AUTOS</t>
  </si>
  <si>
    <t>1R06146</t>
  </si>
  <si>
    <t>4R12177</t>
  </si>
  <si>
    <t>DOUIK PIECES AUTOS</t>
  </si>
  <si>
    <t>4R12189</t>
  </si>
  <si>
    <t>STE MESTIRI ET FILS</t>
  </si>
  <si>
    <t>1R02224</t>
  </si>
  <si>
    <t>1r02176</t>
  </si>
  <si>
    <t>FH170010</t>
  </si>
  <si>
    <t>AGENCE</t>
  </si>
  <si>
    <t>OUESLATI LOTFI B BELGACEM</t>
  </si>
  <si>
    <t>CHIBANI BEN SALEM TAYEB</t>
  </si>
  <si>
    <t>STE DES EQUIP.INDUST.&amp;TRANSP</t>
  </si>
  <si>
    <t>ROJDI BEN MOHAMED KRAOUII</t>
  </si>
  <si>
    <t>STE ELECTRIC AUTO NABEUL</t>
  </si>
  <si>
    <t>STE MATEUR QUINC [SOGEMAQ]</t>
  </si>
  <si>
    <t>STE MECHERGUI D'EQUIP. AUTOS</t>
  </si>
  <si>
    <t>MANSOURI MAHJOUBBEN JILANI</t>
  </si>
  <si>
    <t>FN170039</t>
  </si>
  <si>
    <t>FH170011</t>
  </si>
  <si>
    <t>4R12181</t>
  </si>
  <si>
    <t>NEJIB GADHOUM</t>
  </si>
  <si>
    <t>HASSEN BEN BELGACEM  DABBABI</t>
  </si>
  <si>
    <t>7r16041</t>
  </si>
  <si>
    <t>3R18201</t>
  </si>
  <si>
    <t>ALI JRIBI</t>
  </si>
  <si>
    <t>6R23120</t>
  </si>
  <si>
    <t>1R01050</t>
  </si>
  <si>
    <t>GUIZANI FETHI</t>
  </si>
  <si>
    <t>MOHAMED ZAIDI</t>
  </si>
  <si>
    <t>OUN ALLAH SALAHEDDINE</t>
  </si>
  <si>
    <t>4R13103</t>
  </si>
  <si>
    <t>HASSINE BEN ALI HADROUG</t>
  </si>
  <si>
    <t>1r01543</t>
  </si>
  <si>
    <t>GENERAL PNEU PIECES RECH</t>
  </si>
  <si>
    <t>1r05206</t>
  </si>
  <si>
    <t>6r23139</t>
  </si>
  <si>
    <t>1r06142</t>
  </si>
  <si>
    <t>STE BEN HAMOUDA AUTO</t>
  </si>
  <si>
    <t>6r21155</t>
  </si>
  <si>
    <t>1R01470</t>
  </si>
  <si>
    <t>6r23048</t>
  </si>
  <si>
    <t>1R02247</t>
  </si>
  <si>
    <t>3R18039</t>
  </si>
  <si>
    <t>STE COGEP AUTO</t>
  </si>
  <si>
    <t>1R01556</t>
  </si>
  <si>
    <t>1r06107</t>
  </si>
  <si>
    <t>MOHAMED BEN ALI BEN HAMMA</t>
  </si>
  <si>
    <t>1R01540</t>
  </si>
  <si>
    <t>6r23098</t>
  </si>
  <si>
    <t>6r21136</t>
  </si>
  <si>
    <t>1R03074</t>
  </si>
  <si>
    <t>1R01509</t>
  </si>
  <si>
    <t>1R03160</t>
  </si>
  <si>
    <t>SOCIETE AYARI AUTOS</t>
  </si>
  <si>
    <t>STCM 18</t>
  </si>
  <si>
    <t>ACCUMA 42</t>
  </si>
  <si>
    <t>ACCUMA 43</t>
  </si>
  <si>
    <t>FN170040</t>
  </si>
  <si>
    <t>FN170041</t>
  </si>
  <si>
    <t>DEPENSE</t>
  </si>
  <si>
    <t>HADHRI MOUHED BEN HAMOUDA</t>
  </si>
  <si>
    <t>HADDAD BEN MAKHLOUF HAMMOUNI</t>
  </si>
  <si>
    <t>1R03152</t>
  </si>
  <si>
    <t>STE GLES PIECES AUTOMOBILES</t>
  </si>
  <si>
    <t>1r07002</t>
  </si>
  <si>
    <t>8r11078</t>
  </si>
  <si>
    <t>1R04145</t>
  </si>
  <si>
    <t>STE COMPTOIR PIECE AUTO</t>
  </si>
  <si>
    <t>1r05196</t>
  </si>
  <si>
    <t>1r05175</t>
  </si>
  <si>
    <t>1x01000</t>
  </si>
  <si>
    <t>CLIENT PASSAGER ASJ</t>
  </si>
  <si>
    <t>1R02256</t>
  </si>
  <si>
    <t>3R18330</t>
  </si>
  <si>
    <t>FOUED KMIHA</t>
  </si>
  <si>
    <t>4r14062</t>
  </si>
  <si>
    <t>PIECES AUTOS MED AZZOUZ</t>
  </si>
  <si>
    <t>8R09020</t>
  </si>
  <si>
    <t>1r01520</t>
  </si>
  <si>
    <t>STE DISTRIBUTION PIECES AUTO</t>
  </si>
  <si>
    <t>1r05208</t>
  </si>
  <si>
    <t>1r05213</t>
  </si>
  <si>
    <t>SOCIETE EL BARAKA</t>
  </si>
  <si>
    <t>6r21156</t>
  </si>
  <si>
    <t>3R15039</t>
  </si>
  <si>
    <t>AMINE BEN FREDJ MAHMOUD</t>
  </si>
  <si>
    <t>3R18275</t>
  </si>
  <si>
    <t>BOUCHLAMA AMMAR</t>
  </si>
  <si>
    <t>1r04105</t>
  </si>
  <si>
    <t>BELGACEM BEN BOUBAKER MEJRI</t>
  </si>
  <si>
    <t>1R02225</t>
  </si>
  <si>
    <t>1R02250</t>
  </si>
  <si>
    <t>NOUR HEMP</t>
  </si>
  <si>
    <t>MECONDOR</t>
  </si>
  <si>
    <t>ACCUMA 44</t>
  </si>
  <si>
    <t>ACCUMA 45</t>
  </si>
  <si>
    <t>ACCUMA 46</t>
  </si>
  <si>
    <t>HAZEM CHTOUROU</t>
  </si>
  <si>
    <t>STE</t>
  </si>
  <si>
    <t>FACTURE</t>
  </si>
  <si>
    <t>KAIS TAYACHI / GHEDIFI ABDESSATAR</t>
  </si>
  <si>
    <t>kg</t>
  </si>
  <si>
    <t>CHQ</t>
  </si>
  <si>
    <t>SMS</t>
  </si>
  <si>
    <t>FODEC 1%</t>
  </si>
  <si>
    <t>SOTRAM</t>
  </si>
  <si>
    <t>TRT</t>
  </si>
  <si>
    <t>Date de fact</t>
  </si>
  <si>
    <t>Qté Facturé</t>
  </si>
  <si>
    <t>RECU</t>
  </si>
  <si>
    <t>SOTRAPRO</t>
  </si>
  <si>
    <t>Solde au 30/11/2017</t>
  </si>
  <si>
    <t>Solde au 31/12/2017</t>
  </si>
  <si>
    <t>STCM 19</t>
  </si>
  <si>
    <t>STCM 20</t>
  </si>
  <si>
    <t>STCM 21</t>
  </si>
  <si>
    <t>STCM 22</t>
  </si>
  <si>
    <t>FH170012</t>
  </si>
  <si>
    <t>FN170044</t>
  </si>
  <si>
    <t>ACCUMA 47</t>
  </si>
  <si>
    <t>FN170046</t>
  </si>
  <si>
    <t>MTIR BEN SASSI HAJRI</t>
  </si>
  <si>
    <t>4R15046</t>
  </si>
  <si>
    <t>STE AUTO PRO</t>
  </si>
  <si>
    <t>1r01517</t>
  </si>
  <si>
    <t>8r10056</t>
  </si>
  <si>
    <t>STE BOUKHZAR SARL</t>
  </si>
  <si>
    <t>1r07058</t>
  </si>
  <si>
    <t>RAMZI B RAHMANI B HJ HAMMADI</t>
  </si>
  <si>
    <t>6R21168</t>
  </si>
  <si>
    <t>4r13116</t>
  </si>
  <si>
    <t>4R12212</t>
  </si>
  <si>
    <t>COMPTOIR DOUICK DE PIECES</t>
  </si>
  <si>
    <t>1R03140</t>
  </si>
  <si>
    <t>1R01146</t>
  </si>
  <si>
    <t>8r10040</t>
  </si>
  <si>
    <t>4R13133</t>
  </si>
  <si>
    <t>SOCIETE SASSI SARL</t>
  </si>
  <si>
    <t>1R05181</t>
  </si>
  <si>
    <t>7R19050</t>
  </si>
  <si>
    <t>BELHOULA ABDELKARIM</t>
  </si>
  <si>
    <t>1r02185</t>
  </si>
  <si>
    <t>1R02263</t>
  </si>
  <si>
    <t>1R04136</t>
  </si>
  <si>
    <t>1R02245</t>
  </si>
  <si>
    <t>8r09023</t>
  </si>
  <si>
    <t>3r18047</t>
  </si>
  <si>
    <t>1R01386</t>
  </si>
  <si>
    <t>STE GLE DE FOURNITURE</t>
  </si>
  <si>
    <t>8R10047</t>
  </si>
  <si>
    <t>3R18388</t>
  </si>
  <si>
    <t>COMP.GENERAL.PIECES.RECHANGE</t>
  </si>
  <si>
    <t>1r02239</t>
  </si>
  <si>
    <t>1R06141</t>
  </si>
  <si>
    <t>TOTAL GENERAL</t>
  </si>
  <si>
    <t>Client</t>
  </si>
  <si>
    <t>Total St</t>
  </si>
  <si>
    <t>AUGMENTATION CAPITAL</t>
  </si>
  <si>
    <t>SOLDE KAIS</t>
  </si>
  <si>
    <t>MONTANT RECU</t>
  </si>
  <si>
    <t>FN170047</t>
  </si>
  <si>
    <t>COUPEAU DE FER</t>
  </si>
  <si>
    <t>STE MESTIRI&amp;FILS TRAV.PUBLIC</t>
  </si>
  <si>
    <t>7S19023</t>
  </si>
  <si>
    <t>STE GENERALE AGRICOLE</t>
  </si>
  <si>
    <t>7R16078</t>
  </si>
  <si>
    <t>6r24016</t>
  </si>
  <si>
    <t>6r21173</t>
  </si>
  <si>
    <t>MAHJOUBI FATMA BENT SAID</t>
  </si>
  <si>
    <t>MOHAMED BEN SALAH BENHASSEN</t>
  </si>
  <si>
    <t>4r14047</t>
  </si>
  <si>
    <t>4r14039</t>
  </si>
  <si>
    <t>FREDJ MILI</t>
  </si>
  <si>
    <t>4R13106</t>
  </si>
  <si>
    <t>ELECTRIC AUTO JEMMAL</t>
  </si>
  <si>
    <t>4R13098</t>
  </si>
  <si>
    <t>STE MAALOUL&amp; FILS</t>
  </si>
  <si>
    <t>4R12253</t>
  </si>
  <si>
    <t>STE CHOKRI DE PIECES DE</t>
  </si>
  <si>
    <t>3R18285</t>
  </si>
  <si>
    <t>SOUFIEN B MOHAMED ABROUGUI</t>
  </si>
  <si>
    <t>1R06136</t>
  </si>
  <si>
    <t>1r05195</t>
  </si>
  <si>
    <t>1R04105</t>
  </si>
  <si>
    <t>1R03149</t>
  </si>
  <si>
    <t>1R06159</t>
  </si>
  <si>
    <t>1R05034</t>
  </si>
  <si>
    <t>1R01550</t>
  </si>
  <si>
    <t>1R02236</t>
  </si>
  <si>
    <t>1R05209</t>
  </si>
  <si>
    <t>1r05200</t>
  </si>
  <si>
    <t>1R01518</t>
  </si>
  <si>
    <t>1R03157</t>
  </si>
  <si>
    <t>SO.TU.PA</t>
  </si>
  <si>
    <t>1r01504</t>
  </si>
  <si>
    <t>1R06149</t>
  </si>
  <si>
    <t>1R12001</t>
  </si>
  <si>
    <t>1r05203</t>
  </si>
  <si>
    <t>STE EL MABROUK</t>
  </si>
  <si>
    <t>1R05198</t>
  </si>
  <si>
    <t>CENTRE DE TUNING</t>
  </si>
  <si>
    <t>1R03137</t>
  </si>
  <si>
    <t>STE TAHRI STATION SERVICES</t>
  </si>
  <si>
    <t>1r02270</t>
  </si>
  <si>
    <t>LES HERITIERS AHMED EL KATEB</t>
  </si>
  <si>
    <t>1r01514</t>
  </si>
  <si>
    <t>MOHAMED BEN CHERIF BAKHTI</t>
  </si>
  <si>
    <t>1R07050</t>
  </si>
  <si>
    <t>EQUIPEMENT HYDRAULIQUES</t>
  </si>
  <si>
    <t>1S02159</t>
  </si>
  <si>
    <t>ESPADON CONCEPT</t>
  </si>
  <si>
    <t>1s05017</t>
  </si>
  <si>
    <t>SOCIETE AMIN RENT A CAR</t>
  </si>
  <si>
    <t>1R01498</t>
  </si>
  <si>
    <t>6R21028</t>
  </si>
  <si>
    <t>6r23152</t>
  </si>
  <si>
    <t>STE DE MAINT&amp; REP AUTO</t>
  </si>
  <si>
    <t>6r23149</t>
  </si>
  <si>
    <t>6R23021</t>
  </si>
  <si>
    <t>SOKOPA</t>
  </si>
  <si>
    <t>6r21174</t>
  </si>
  <si>
    <t>6R21174</t>
  </si>
  <si>
    <t>8r08045</t>
  </si>
  <si>
    <t>8R08037</t>
  </si>
  <si>
    <t>BEN ALI HAMDI</t>
  </si>
  <si>
    <t>1R03141</t>
  </si>
  <si>
    <t>1r02233</t>
  </si>
  <si>
    <t>1r02097</t>
  </si>
  <si>
    <t>1r05186</t>
  </si>
  <si>
    <t>1r05177</t>
  </si>
  <si>
    <t>1r05042</t>
  </si>
  <si>
    <t>1r02082</t>
  </si>
  <si>
    <t>1r06146</t>
  </si>
  <si>
    <t>1R05206</t>
  </si>
  <si>
    <t>1r04098</t>
  </si>
  <si>
    <t>1r01556</t>
  </si>
  <si>
    <t>4R14062</t>
  </si>
  <si>
    <t>3R18140</t>
  </si>
  <si>
    <t>3R15037</t>
  </si>
  <si>
    <t>3R18069</t>
  </si>
  <si>
    <t>1R04037</t>
  </si>
  <si>
    <t>SOCIETE ZAGHLA FRERES</t>
  </si>
  <si>
    <t>1R03030</t>
  </si>
  <si>
    <t>EX170009</t>
  </si>
  <si>
    <t>FN170048</t>
  </si>
  <si>
    <t>FH170013</t>
  </si>
  <si>
    <t>TOTAL 12/2017</t>
  </si>
  <si>
    <t>TOTAL 01/2018</t>
  </si>
  <si>
    <t>TOTAL 02/2018</t>
  </si>
  <si>
    <t>TOTAL 03/2018</t>
  </si>
  <si>
    <t>TOTAL 04/2018</t>
  </si>
  <si>
    <t>TOTAL 05/2018</t>
  </si>
  <si>
    <t xml:space="preserve">TOTAL </t>
  </si>
  <si>
    <t>TOTAL 90 JOURS</t>
  </si>
  <si>
    <t>TOTAL &gt; 90 JOURS</t>
  </si>
  <si>
    <t>ACCUMA 48</t>
  </si>
  <si>
    <t>ACCUMA 49</t>
  </si>
  <si>
    <t>ACCUMA 50</t>
  </si>
  <si>
    <t>ACCUMA 51</t>
  </si>
  <si>
    <t>ACCUMA 52</t>
  </si>
  <si>
    <t>SOVEMA 6</t>
  </si>
  <si>
    <t>SOVEMA 7</t>
  </si>
  <si>
    <t>DARAMIC</t>
  </si>
  <si>
    <t>SORFIN</t>
  </si>
  <si>
    <t>75 TO</t>
  </si>
  <si>
    <t>25 TO</t>
  </si>
  <si>
    <t>FN170049</t>
  </si>
  <si>
    <t xml:space="preserve">SOTRAPRO </t>
  </si>
  <si>
    <t>DECOMPTE N° 1</t>
  </si>
  <si>
    <t>RETENUE DE GARANTIE</t>
  </si>
  <si>
    <t>AVANCE RECU (50000)</t>
  </si>
  <si>
    <t>RELIQUAT</t>
  </si>
  <si>
    <t>PAIEMENT RECU</t>
  </si>
  <si>
    <t>CHQ 23</t>
  </si>
  <si>
    <t>ALPHA MEDIA</t>
  </si>
  <si>
    <t>CHQ 754</t>
  </si>
  <si>
    <t>FETHI GHALI</t>
  </si>
  <si>
    <t>ESPECE</t>
  </si>
  <si>
    <t>CHQ 776</t>
  </si>
  <si>
    <t>CHQ 24</t>
  </si>
  <si>
    <t>TOTAL PAIEMENT</t>
  </si>
  <si>
    <t>RESTE A PAYER</t>
  </si>
  <si>
    <t>DECOMPTE N° 3</t>
  </si>
  <si>
    <t>DECOMPTE N° 2</t>
  </si>
  <si>
    <t xml:space="preserve">STCM </t>
  </si>
  <si>
    <t>SOLDE au 30/11/2017</t>
  </si>
  <si>
    <t>ENERTCH</t>
  </si>
  <si>
    <t>ENERTECH</t>
  </si>
  <si>
    <t>FN170050</t>
  </si>
  <si>
    <t>STE CIPA</t>
  </si>
  <si>
    <t>4R12262</t>
  </si>
  <si>
    <t>6R21156</t>
  </si>
  <si>
    <t>1r06125</t>
  </si>
  <si>
    <t>1r05194</t>
  </si>
  <si>
    <t>1r04140</t>
  </si>
  <si>
    <t>SOCIETE ENNAJI</t>
  </si>
  <si>
    <t>1r04110</t>
  </si>
  <si>
    <t>1r02083</t>
  </si>
  <si>
    <t>ETABLISSEMENT SALAH KOTNI</t>
  </si>
  <si>
    <t>1r02179</t>
  </si>
  <si>
    <t>TAIEB JANNETTE</t>
  </si>
  <si>
    <t>7R19030</t>
  </si>
  <si>
    <t>SPARE PART DISTRIBUTION</t>
  </si>
  <si>
    <t>3R18399</t>
  </si>
  <si>
    <t>STE AOULED KHDHIRI SARL</t>
  </si>
  <si>
    <t>MOHSEN BEN ALI BEN CHOUIKHA</t>
  </si>
  <si>
    <t>1r06126</t>
  </si>
  <si>
    <t>BEN KHALED MOHSEN</t>
  </si>
  <si>
    <t>4R15027</t>
  </si>
  <si>
    <t>CLIENT PASSAGER - SOUSSE</t>
  </si>
  <si>
    <t>4X02000</t>
  </si>
  <si>
    <t>1r05210</t>
  </si>
  <si>
    <t>STE M&amp;M EQUIPEMENTS DE PECHE</t>
  </si>
  <si>
    <t>MOHAMED B BELGACEM MISSAOUI</t>
  </si>
  <si>
    <t>SELLAMI MED TAOUFIK- TOTAL</t>
  </si>
  <si>
    <t>S.G.P</t>
  </si>
  <si>
    <t>6R21055</t>
  </si>
  <si>
    <t>S O G E M</t>
  </si>
  <si>
    <t>6R21027</t>
  </si>
  <si>
    <t>SADOK RHOUMA</t>
  </si>
  <si>
    <t>8R08005</t>
  </si>
  <si>
    <t>STE TUN DE PRODUITS AG</t>
  </si>
  <si>
    <t>8R09076</t>
  </si>
  <si>
    <t>MOHAMED ALI AYARI</t>
  </si>
  <si>
    <t>8R08014</t>
  </si>
  <si>
    <t>ISSAOUI ABDERRAHMEN</t>
  </si>
  <si>
    <t>8R11010</t>
  </si>
  <si>
    <t>S O C O M A F</t>
  </si>
  <si>
    <t>8R09022</t>
  </si>
  <si>
    <t>CARTHAGE CEMENT SA</t>
  </si>
  <si>
    <t>1S01236</t>
  </si>
  <si>
    <t>LE PRESTATAIRE  [ 1 ]</t>
  </si>
  <si>
    <t>1R06127</t>
  </si>
  <si>
    <t>COMPAGNIE TNNE DE REPR</t>
  </si>
  <si>
    <t>MEDDIS</t>
  </si>
  <si>
    <t>1S03045</t>
  </si>
  <si>
    <t>M O N O G R O S</t>
  </si>
  <si>
    <t>1S02024</t>
  </si>
  <si>
    <t>STE FIX-N-GO</t>
  </si>
  <si>
    <t>1S01255</t>
  </si>
  <si>
    <t>TAREK BEN KHEMAIES LAH</t>
  </si>
  <si>
    <t>1R06028</t>
  </si>
  <si>
    <t>EL FAIDI MOHAMED NIZAR</t>
  </si>
  <si>
    <t>1R04062</t>
  </si>
  <si>
    <t>MOHAMED B MED NEJIB RE</t>
  </si>
  <si>
    <t>1R03125</t>
  </si>
  <si>
    <t>S A G A</t>
  </si>
  <si>
    <t>1R03037</t>
  </si>
  <si>
    <t>ETABLISSEMENT DABOUSSI</t>
  </si>
  <si>
    <t>1R01481</t>
  </si>
  <si>
    <t>HABIB KHECHAREM</t>
  </si>
  <si>
    <t>3R18287</t>
  </si>
  <si>
    <t>AHMED HASSAIRI</t>
  </si>
  <si>
    <t>3R18356</t>
  </si>
  <si>
    <t>MOHAMED BOUAZIZ</t>
  </si>
  <si>
    <t>3R18329</t>
  </si>
  <si>
    <t>MAHER BEN MOHAMED HACH</t>
  </si>
  <si>
    <t>3R18076</t>
  </si>
  <si>
    <t>MED DHIA BEN BRAHIM CH</t>
  </si>
  <si>
    <t>8R11078</t>
  </si>
  <si>
    <t>SAMIR BEN SLIMEN AOUAD</t>
  </si>
  <si>
    <t>STE HAMMAMI DE MATER.A</t>
  </si>
  <si>
    <t>CLIENT PASSAGER - MEGR</t>
  </si>
  <si>
    <t>1x02000</t>
  </si>
  <si>
    <t>ABDELKADER MOEZ BEN LA</t>
  </si>
  <si>
    <t>GENERAL PNEU PIECES RE</t>
  </si>
  <si>
    <t>STE YOSR DE PIECES AUT</t>
  </si>
  <si>
    <t>1r02241</t>
  </si>
  <si>
    <t>SOCIETE PIECE AUTO ESS</t>
  </si>
  <si>
    <t>LES EQUIPEMENTS MARITI</t>
  </si>
  <si>
    <t>AMOR BEN ABDRAHMENE BI</t>
  </si>
  <si>
    <t>1R01161</t>
  </si>
  <si>
    <t>MAISON ROULT &amp; PNEU.</t>
  </si>
  <si>
    <t>1R01132</t>
  </si>
  <si>
    <t>AZOUNA MUSTAPHA</t>
  </si>
  <si>
    <t>1R01112</t>
  </si>
  <si>
    <t>PERSONNEL  NOUR</t>
  </si>
  <si>
    <t>1p01000</t>
  </si>
  <si>
    <t>STE SLIM VENTE PIECES</t>
  </si>
  <si>
    <t>INT.PIECES &amp; MATERIELS</t>
  </si>
  <si>
    <t>3R18132</t>
  </si>
  <si>
    <t>STE HAJ TAIEB PIECES.R</t>
  </si>
  <si>
    <t>KHEMAIES BOUDECHE</t>
  </si>
  <si>
    <t>4R12125</t>
  </si>
  <si>
    <t>STE S.P.A.M</t>
  </si>
  <si>
    <t>3R18394</t>
  </si>
  <si>
    <t>COMPTOIR PIECES FIAT-SELLAMI</t>
  </si>
  <si>
    <t>STE CHENIB DE PIECES AUTOS</t>
  </si>
  <si>
    <t>1R02226</t>
  </si>
  <si>
    <t>STE KRIAA GENERALE PIECES</t>
  </si>
  <si>
    <t>3R18368</t>
  </si>
  <si>
    <t>ELECTRO-AUTO</t>
  </si>
  <si>
    <t>3R18046</t>
  </si>
  <si>
    <t>AMOR B.SADEK AOUDH</t>
  </si>
  <si>
    <t>6R21048</t>
  </si>
  <si>
    <t>STE BASMA AUTO DE COMMERCE</t>
  </si>
  <si>
    <t>4R14064</t>
  </si>
  <si>
    <t>GENERALE PIECES AUTO"GPA"</t>
  </si>
  <si>
    <t>3R18345</t>
  </si>
  <si>
    <t>STE. REPARATION ELEC.&amp; MEC.</t>
  </si>
  <si>
    <t>3R18158</t>
  </si>
  <si>
    <t>STE  COMPTOIR CYRINE-MARIEM</t>
  </si>
  <si>
    <t>1R02143</t>
  </si>
  <si>
    <t>COMPTOIR PIECES AUTO ET</t>
  </si>
  <si>
    <t>1R02192</t>
  </si>
  <si>
    <t>STE FRIKHA PIECES AUTO</t>
  </si>
  <si>
    <t>3R18358</t>
  </si>
  <si>
    <t>B  S  B TOYOTA</t>
  </si>
  <si>
    <t>1S01009</t>
  </si>
  <si>
    <t>FETHI MAALOUL</t>
  </si>
  <si>
    <t>6R21032</t>
  </si>
  <si>
    <t>LOTFI BEN MOHAMED KRIAA</t>
  </si>
  <si>
    <t>4R12220</t>
  </si>
  <si>
    <t>ETS. ZOUARI ET CIE</t>
  </si>
  <si>
    <t>4S12065</t>
  </si>
  <si>
    <t>TUNISINNE DE PIECES DETACHES</t>
  </si>
  <si>
    <t>1R01491</t>
  </si>
  <si>
    <t>G P R</t>
  </si>
  <si>
    <t>3R18060</t>
  </si>
  <si>
    <t>SOCIETE DE NUTRITION ANIMALE</t>
  </si>
  <si>
    <t>1G01003</t>
  </si>
  <si>
    <t>S E T C A R</t>
  </si>
  <si>
    <t>1G03002</t>
  </si>
  <si>
    <t>STE REG. DE TRANSP.-BIZERTE</t>
  </si>
  <si>
    <t>1T06004</t>
  </si>
  <si>
    <t>STE MEUNIERE DU CENTRE SOMEC</t>
  </si>
  <si>
    <t>4S12070</t>
  </si>
  <si>
    <t>SAIDA SARRAY VEUVE FENINA</t>
  </si>
  <si>
    <t>1R05035</t>
  </si>
  <si>
    <t>SOLDE au 29/11/2017</t>
  </si>
  <si>
    <t>FT170004</t>
  </si>
  <si>
    <t>FT170003</t>
  </si>
  <si>
    <t>FT170002</t>
  </si>
  <si>
    <t>FT170001</t>
  </si>
  <si>
    <t>FT170005</t>
  </si>
  <si>
    <t>CHQ 131</t>
  </si>
  <si>
    <t>CHQ 146</t>
  </si>
  <si>
    <t xml:space="preserve">VR </t>
  </si>
  <si>
    <t>CHQ 295</t>
  </si>
  <si>
    <t>CHQ 306</t>
  </si>
  <si>
    <t>CHQ 341</t>
  </si>
  <si>
    <t>CHQ 240</t>
  </si>
  <si>
    <t>CHQ 373</t>
  </si>
  <si>
    <t>CHQ 191</t>
  </si>
  <si>
    <t>CHQ 561</t>
  </si>
  <si>
    <t>CHQ 693</t>
  </si>
  <si>
    <t>CHQ 770</t>
  </si>
  <si>
    <t>CHQ 8241</t>
  </si>
  <si>
    <t>CHQ 8250</t>
  </si>
  <si>
    <t>CHQ 1003</t>
  </si>
  <si>
    <t>CHQ 8253</t>
  </si>
  <si>
    <t>CHQ 1269</t>
  </si>
  <si>
    <t>AMMAR B. ABDERRAHMEN G</t>
  </si>
  <si>
    <t>6R21035</t>
  </si>
  <si>
    <t>ETSST  JOUINI MED &amp; CI</t>
  </si>
  <si>
    <t>8R10018</t>
  </si>
  <si>
    <t>1r01539</t>
  </si>
  <si>
    <t>BALTI TAREK</t>
  </si>
  <si>
    <t>SOCIETE DRIDI AUTO (SD</t>
  </si>
  <si>
    <t>1r05191</t>
  </si>
  <si>
    <t>STE ELECTRIC AUTO NABE</t>
  </si>
  <si>
    <t>SOFIENE B RHOUMA "CAP</t>
  </si>
  <si>
    <t>1s02073</t>
  </si>
  <si>
    <t>1R02248</t>
  </si>
  <si>
    <t>STE BEN AMOR AUTO</t>
  </si>
  <si>
    <t>1R02190</t>
  </si>
  <si>
    <t>S O G E F</t>
  </si>
  <si>
    <t>STE PIECES AUTOS JAPON</t>
  </si>
  <si>
    <t>SOCIETE ALI PIECES AUT</t>
  </si>
  <si>
    <t>3R18382</t>
  </si>
  <si>
    <t>STE KZ PIECES AUTOS</t>
  </si>
  <si>
    <t>STE DES PIECES DE RECH</t>
  </si>
  <si>
    <t>3r18384</t>
  </si>
  <si>
    <t>3R18401</t>
  </si>
  <si>
    <t>TAHER BEN AMOR MAHJOUB</t>
  </si>
  <si>
    <t>3R18108</t>
  </si>
  <si>
    <t>SFAX VEHICULES INDUSTR</t>
  </si>
  <si>
    <t>3R18117</t>
  </si>
  <si>
    <t>ETS. AYADI ABDEL-ILAH</t>
  </si>
  <si>
    <t>3R18363</t>
  </si>
  <si>
    <t>SOCIETE VEPRA</t>
  </si>
  <si>
    <t>FAYCEL BEN MOHAMMED ZA</t>
  </si>
  <si>
    <t>4X03000</t>
  </si>
  <si>
    <t>CLIENT PASSAGER - SOUS</t>
  </si>
  <si>
    <t>STE MY CAR DISTRIBUTIO</t>
  </si>
  <si>
    <t>4r13134</t>
  </si>
  <si>
    <t>STE MEMMI-AUTO ET COMP</t>
  </si>
  <si>
    <t>SAHAR BT HABIB HAJ MAH</t>
  </si>
  <si>
    <t>4R13138</t>
  </si>
  <si>
    <t>ASMA BENT MOKHTAR ESSI</t>
  </si>
  <si>
    <t>4R13125</t>
  </si>
  <si>
    <t>STE SARRA AUTO</t>
  </si>
  <si>
    <t>DECOMPTE N° 4</t>
  </si>
  <si>
    <t>CHQ 30</t>
  </si>
  <si>
    <t>CHQ 35</t>
  </si>
  <si>
    <t>CHQ 34</t>
  </si>
  <si>
    <t>CHQ 33</t>
  </si>
  <si>
    <t>DECOMPTE N° 5</t>
  </si>
  <si>
    <t>DECOMPTE N° 6</t>
  </si>
  <si>
    <t>CHQ 57</t>
  </si>
</sst>
</file>

<file path=xl/styles.xml><?xml version="1.0" encoding="utf-8"?>
<styleSheet xmlns="http://schemas.openxmlformats.org/spreadsheetml/2006/main">
  <numFmts count="17">
    <numFmt numFmtId="43" formatCode="_-* #,##0.00\ _€_-;\-* #,##0.00\ _€_-;_-* &quot;-&quot;??\ _€_-;_-@_-"/>
    <numFmt numFmtId="164" formatCode="#,##0.000"/>
    <numFmt numFmtId="165" formatCode="#,##0.000\ _F"/>
    <numFmt numFmtId="166" formatCode="#,##0;[Red]#,##0"/>
    <numFmt numFmtId="167" formatCode="0.0000000"/>
    <numFmt numFmtId="168" formatCode="[$$-409]#,##0.00"/>
    <numFmt numFmtId="169" formatCode="#,##0.0000"/>
    <numFmt numFmtId="170" formatCode="#,##0.00\ &quot;€&quot;"/>
    <numFmt numFmtId="171" formatCode="#,##0.000\ _€"/>
    <numFmt numFmtId="172" formatCode="#,##0.00000000"/>
    <numFmt numFmtId="173" formatCode="0.000000"/>
    <numFmt numFmtId="174" formatCode="#,##0.0000000000"/>
    <numFmt numFmtId="175" formatCode="[$-40C]d\-mmm\-yy;@"/>
    <numFmt numFmtId="176" formatCode="[$-40C]mmm\-yy;@"/>
    <numFmt numFmtId="177" formatCode="_-* #,##0.0000000\ _€_-;\-* #,##0.0000000\ _€_-;_-* &quot;-&quot;??\ _€_-;_-@_-"/>
    <numFmt numFmtId="178" formatCode="_-* #,##0.0000000\ _€_-;\-* #,##0.0000000\ _€_-;_-* &quot;-&quot;???????\ _€_-;_-@_-"/>
    <numFmt numFmtId="179" formatCode="0.000000000%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9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11"/>
      <name val="Calibri"/>
      <family val="2"/>
    </font>
    <font>
      <sz val="9"/>
      <name val="Arial"/>
      <family val="2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FF00"/>
      <name val="Times New Roman"/>
      <family val="1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name val="Arial"/>
      <family val="2"/>
    </font>
    <font>
      <b/>
      <sz val="11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47">
    <xf numFmtId="0" fontId="0" fillId="0" borderId="0" xfId="0"/>
    <xf numFmtId="0" fontId="2" fillId="0" borderId="0" xfId="0" applyFont="1"/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5" fillId="0" borderId="0" xfId="0" applyFont="1"/>
    <xf numFmtId="0" fontId="6" fillId="0" borderId="0" xfId="0" applyFont="1"/>
    <xf numFmtId="43" fontId="2" fillId="0" borderId="0" xfId="1" applyFont="1"/>
    <xf numFmtId="0" fontId="6" fillId="0" borderId="10" xfId="0" applyFont="1" applyBorder="1"/>
    <xf numFmtId="0" fontId="6" fillId="0" borderId="14" xfId="0" applyFont="1" applyBorder="1"/>
    <xf numFmtId="0" fontId="6" fillId="0" borderId="15" xfId="0" applyFont="1" applyBorder="1"/>
    <xf numFmtId="14" fontId="6" fillId="0" borderId="16" xfId="0" applyNumberFormat="1" applyFont="1" applyBorder="1"/>
    <xf numFmtId="0" fontId="6" fillId="0" borderId="16" xfId="0" applyFont="1" applyBorder="1"/>
    <xf numFmtId="4" fontId="6" fillId="0" borderId="16" xfId="0" applyNumberFormat="1" applyFont="1" applyBorder="1"/>
    <xf numFmtId="164" fontId="6" fillId="0" borderId="16" xfId="0" applyNumberFormat="1" applyFont="1" applyBorder="1"/>
    <xf numFmtId="14" fontId="6" fillId="0" borderId="17" xfId="0" applyNumberFormat="1" applyFont="1" applyBorder="1"/>
    <xf numFmtId="164" fontId="6" fillId="0" borderId="15" xfId="0" applyNumberFormat="1" applyFont="1" applyBorder="1"/>
    <xf numFmtId="4" fontId="6" fillId="0" borderId="15" xfId="0" applyNumberFormat="1" applyFont="1" applyBorder="1"/>
    <xf numFmtId="0" fontId="6" fillId="0" borderId="17" xfId="0" applyFont="1" applyBorder="1"/>
    <xf numFmtId="4" fontId="6" fillId="0" borderId="14" xfId="0" applyNumberFormat="1" applyFont="1" applyBorder="1"/>
    <xf numFmtId="0" fontId="6" fillId="0" borderId="22" xfId="0" applyFont="1" applyBorder="1"/>
    <xf numFmtId="14" fontId="6" fillId="0" borderId="22" xfId="0" applyNumberFormat="1" applyFont="1" applyBorder="1"/>
    <xf numFmtId="4" fontId="6" fillId="0" borderId="22" xfId="0" applyNumberFormat="1" applyFont="1" applyBorder="1"/>
    <xf numFmtId="164" fontId="6" fillId="0" borderId="22" xfId="0" applyNumberFormat="1" applyFont="1" applyBorder="1"/>
    <xf numFmtId="4" fontId="2" fillId="0" borderId="22" xfId="0" applyNumberFormat="1" applyFont="1" applyBorder="1"/>
    <xf numFmtId="0" fontId="6" fillId="0" borderId="0" xfId="0" applyFont="1" applyBorder="1"/>
    <xf numFmtId="0" fontId="7" fillId="0" borderId="0" xfId="0" applyFont="1"/>
    <xf numFmtId="0" fontId="2" fillId="0" borderId="10" xfId="0" applyFont="1" applyBorder="1"/>
    <xf numFmtId="164" fontId="4" fillId="2" borderId="28" xfId="0" applyNumberFormat="1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4" fontId="4" fillId="2" borderId="28" xfId="0" applyNumberFormat="1" applyFont="1" applyFill="1" applyBorder="1" applyAlignment="1">
      <alignment horizontal="center"/>
    </xf>
    <xf numFmtId="14" fontId="4" fillId="2" borderId="28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66" fontId="10" fillId="5" borderId="18" xfId="0" applyNumberFormat="1" applyFont="1" applyFill="1" applyBorder="1"/>
    <xf numFmtId="166" fontId="11" fillId="0" borderId="0" xfId="0" applyNumberFormat="1" applyFont="1"/>
    <xf numFmtId="0" fontId="12" fillId="6" borderId="10" xfId="0" applyFont="1" applyFill="1" applyBorder="1"/>
    <xf numFmtId="0" fontId="13" fillId="3" borderId="10" xfId="0" applyFont="1" applyFill="1" applyBorder="1"/>
    <xf numFmtId="0" fontId="2" fillId="0" borderId="10" xfId="0" applyFont="1" applyBorder="1" applyAlignment="1">
      <alignment horizontal="left" indent="2"/>
    </xf>
    <xf numFmtId="0" fontId="15" fillId="6" borderId="10" xfId="0" applyFont="1" applyFill="1" applyBorder="1"/>
    <xf numFmtId="0" fontId="10" fillId="0" borderId="10" xfId="0" applyFont="1" applyBorder="1"/>
    <xf numFmtId="0" fontId="2" fillId="0" borderId="10" xfId="0" applyFont="1" applyBorder="1" applyAlignment="1">
      <alignment horizontal="left" indent="1"/>
    </xf>
    <xf numFmtId="0" fontId="10" fillId="0" borderId="10" xfId="0" applyFont="1" applyBorder="1" applyAlignment="1"/>
    <xf numFmtId="166" fontId="10" fillId="5" borderId="10" xfId="0" applyNumberFormat="1" applyFont="1" applyFill="1" applyBorder="1"/>
    <xf numFmtId="166" fontId="4" fillId="4" borderId="14" xfId="0" applyNumberFormat="1" applyFont="1" applyFill="1" applyBorder="1"/>
    <xf numFmtId="14" fontId="7" fillId="0" borderId="0" xfId="0" applyNumberFormat="1" applyFont="1" applyFill="1"/>
    <xf numFmtId="0" fontId="7" fillId="0" borderId="0" xfId="0" applyFont="1" applyFill="1"/>
    <xf numFmtId="14" fontId="4" fillId="0" borderId="32" xfId="0" applyNumberFormat="1" applyFont="1" applyFill="1" applyBorder="1" applyAlignment="1">
      <alignment horizontal="right"/>
    </xf>
    <xf numFmtId="164" fontId="0" fillId="0" borderId="0" xfId="0" applyNumberFormat="1"/>
    <xf numFmtId="43" fontId="3" fillId="0" borderId="0" xfId="1" applyFont="1"/>
    <xf numFmtId="0" fontId="7" fillId="0" borderId="1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horizontal="center"/>
    </xf>
    <xf numFmtId="0" fontId="7" fillId="0" borderId="20" xfId="0" applyFont="1" applyFill="1" applyBorder="1"/>
    <xf numFmtId="4" fontId="7" fillId="0" borderId="20" xfId="0" applyNumberFormat="1" applyFont="1" applyFill="1" applyBorder="1" applyAlignment="1">
      <alignment horizontal="center"/>
    </xf>
    <xf numFmtId="164" fontId="7" fillId="0" borderId="20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4" fontId="7" fillId="0" borderId="19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vertical="center"/>
    </xf>
    <xf numFmtId="4" fontId="7" fillId="0" borderId="18" xfId="0" applyNumberFormat="1" applyFont="1" applyFill="1" applyBorder="1"/>
    <xf numFmtId="43" fontId="2" fillId="0" borderId="0" xfId="1" applyFont="1" applyFill="1"/>
    <xf numFmtId="0" fontId="17" fillId="0" borderId="16" xfId="0" applyFont="1" applyFill="1" applyBorder="1"/>
    <xf numFmtId="4" fontId="17" fillId="0" borderId="16" xfId="0" applyNumberFormat="1" applyFont="1" applyFill="1" applyBorder="1"/>
    <xf numFmtId="14" fontId="17" fillId="0" borderId="17" xfId="0" applyNumberFormat="1" applyFont="1" applyFill="1" applyBorder="1" applyAlignment="1">
      <alignment horizontal="right"/>
    </xf>
    <xf numFmtId="0" fontId="4" fillId="0" borderId="0" xfId="0" applyFont="1" applyFill="1"/>
    <xf numFmtId="0" fontId="2" fillId="0" borderId="24" xfId="0" applyFont="1" applyFill="1" applyBorder="1"/>
    <xf numFmtId="0" fontId="2" fillId="0" borderId="25" xfId="0" applyFont="1" applyFill="1" applyBorder="1"/>
    <xf numFmtId="14" fontId="2" fillId="0" borderId="26" xfId="0" applyNumberFormat="1" applyFont="1" applyFill="1" applyBorder="1"/>
    <xf numFmtId="4" fontId="2" fillId="0" borderId="26" xfId="0" applyNumberFormat="1" applyFont="1" applyFill="1" applyBorder="1"/>
    <xf numFmtId="164" fontId="2" fillId="0" borderId="26" xfId="0" applyNumberFormat="1" applyFont="1" applyFill="1" applyBorder="1"/>
    <xf numFmtId="14" fontId="2" fillId="0" borderId="27" xfId="1" applyNumberFormat="1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4" fontId="2" fillId="0" borderId="25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2" fillId="0" borderId="14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4" fontId="2" fillId="0" borderId="16" xfId="0" applyNumberFormat="1" applyFont="1" applyFill="1" applyBorder="1"/>
    <xf numFmtId="164" fontId="2" fillId="0" borderId="16" xfId="0" applyNumberFormat="1" applyFont="1" applyFill="1" applyBorder="1"/>
    <xf numFmtId="43" fontId="2" fillId="0" borderId="17" xfId="1" applyFont="1" applyFill="1" applyBorder="1"/>
    <xf numFmtId="164" fontId="2" fillId="0" borderId="15" xfId="0" applyNumberFormat="1" applyFont="1" applyFill="1" applyBorder="1"/>
    <xf numFmtId="0" fontId="2" fillId="0" borderId="17" xfId="0" applyFont="1" applyFill="1" applyBorder="1"/>
    <xf numFmtId="4" fontId="2" fillId="0" borderId="15" xfId="0" applyNumberFormat="1" applyFont="1" applyFill="1" applyBorder="1"/>
    <xf numFmtId="0" fontId="5" fillId="0" borderId="0" xfId="0" applyFont="1" applyFill="1"/>
    <xf numFmtId="43" fontId="6" fillId="0" borderId="0" xfId="1" applyFont="1" applyFill="1"/>
    <xf numFmtId="0" fontId="6" fillId="0" borderId="0" xfId="0" applyFont="1" applyFill="1"/>
    <xf numFmtId="4" fontId="6" fillId="0" borderId="0" xfId="0" applyNumberFormat="1" applyFont="1"/>
    <xf numFmtId="3" fontId="11" fillId="0" borderId="0" xfId="0" applyNumberFormat="1" applyFont="1"/>
    <xf numFmtId="166" fontId="14" fillId="4" borderId="17" xfId="0" applyNumberFormat="1" applyFont="1" applyFill="1" applyBorder="1"/>
    <xf numFmtId="166" fontId="14" fillId="4" borderId="15" xfId="0" applyNumberFormat="1" applyFont="1" applyFill="1" applyBorder="1"/>
    <xf numFmtId="3" fontId="11" fillId="0" borderId="13" xfId="0" applyNumberFormat="1" applyFont="1" applyBorder="1" applyAlignment="1">
      <alignment horizontal="right" indent="1"/>
    </xf>
    <xf numFmtId="3" fontId="11" fillId="0" borderId="11" xfId="0" applyNumberFormat="1" applyFont="1" applyBorder="1" applyAlignment="1">
      <alignment horizontal="right" indent="1"/>
    </xf>
    <xf numFmtId="3" fontId="10" fillId="0" borderId="13" xfId="0" applyNumberFormat="1" applyFont="1" applyBorder="1"/>
    <xf numFmtId="3" fontId="10" fillId="0" borderId="11" xfId="0" applyNumberFormat="1" applyFont="1" applyBorder="1"/>
    <xf numFmtId="3" fontId="10" fillId="0" borderId="13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left"/>
    </xf>
    <xf numFmtId="3" fontId="2" fillId="0" borderId="13" xfId="0" applyNumberFormat="1" applyFont="1" applyBorder="1" applyAlignment="1">
      <alignment horizontal="right" indent="1"/>
    </xf>
    <xf numFmtId="3" fontId="6" fillId="0" borderId="11" xfId="0" applyNumberFormat="1" applyFont="1" applyBorder="1" applyAlignment="1">
      <alignment horizontal="right" indent="1"/>
    </xf>
    <xf numFmtId="3" fontId="16" fillId="6" borderId="11" xfId="0" applyNumberFormat="1" applyFont="1" applyFill="1" applyBorder="1" applyAlignment="1">
      <alignment horizontal="center"/>
    </xf>
    <xf numFmtId="3" fontId="14" fillId="7" borderId="11" xfId="0" applyNumberFormat="1" applyFont="1" applyFill="1" applyBorder="1" applyAlignment="1">
      <alignment horizontal="center"/>
    </xf>
    <xf numFmtId="0" fontId="7" fillId="7" borderId="10" xfId="0" applyFont="1" applyFill="1" applyBorder="1"/>
    <xf numFmtId="3" fontId="11" fillId="0" borderId="13" xfId="0" applyNumberFormat="1" applyFont="1" applyBorder="1"/>
    <xf numFmtId="3" fontId="10" fillId="0" borderId="11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5" fillId="3" borderId="13" xfId="0" applyNumberFormat="1" applyFont="1" applyFill="1" applyBorder="1"/>
    <xf numFmtId="3" fontId="5" fillId="3" borderId="11" xfId="0" applyNumberFormat="1" applyFont="1" applyFill="1" applyBorder="1"/>
    <xf numFmtId="14" fontId="0" fillId="0" borderId="0" xfId="0" applyNumberFormat="1"/>
    <xf numFmtId="4" fontId="0" fillId="0" borderId="0" xfId="0" applyNumberFormat="1"/>
    <xf numFmtId="0" fontId="18" fillId="0" borderId="0" xfId="0" applyFont="1"/>
    <xf numFmtId="168" fontId="0" fillId="0" borderId="0" xfId="0" applyNumberFormat="1"/>
    <xf numFmtId="4" fontId="20" fillId="2" borderId="34" xfId="0" applyNumberFormat="1" applyFont="1" applyFill="1" applyBorder="1"/>
    <xf numFmtId="0" fontId="0" fillId="0" borderId="0" xfId="0" applyFill="1"/>
    <xf numFmtId="14" fontId="0" fillId="0" borderId="0" xfId="0" applyNumberFormat="1" applyFill="1"/>
    <xf numFmtId="0" fontId="22" fillId="0" borderId="28" xfId="0" applyFont="1" applyFill="1" applyBorder="1"/>
    <xf numFmtId="14" fontId="23" fillId="0" borderId="28" xfId="0" applyNumberFormat="1" applyFont="1" applyFill="1" applyBorder="1" applyAlignment="1">
      <alignment horizontal="right"/>
    </xf>
    <xf numFmtId="14" fontId="23" fillId="0" borderId="28" xfId="0" applyNumberFormat="1" applyFont="1" applyFill="1" applyBorder="1"/>
    <xf numFmtId="4" fontId="23" fillId="0" borderId="28" xfId="0" applyNumberFormat="1" applyFont="1" applyFill="1" applyBorder="1"/>
    <xf numFmtId="169" fontId="23" fillId="0" borderId="28" xfId="0" applyNumberFormat="1" applyFont="1" applyFill="1" applyBorder="1"/>
    <xf numFmtId="170" fontId="23" fillId="0" borderId="28" xfId="0" applyNumberFormat="1" applyFont="1" applyFill="1" applyBorder="1"/>
    <xf numFmtId="0" fontId="23" fillId="0" borderId="28" xfId="0" applyFont="1" applyFill="1" applyBorder="1"/>
    <xf numFmtId="171" fontId="20" fillId="2" borderId="34" xfId="0" applyNumberFormat="1" applyFont="1" applyFill="1" applyBorder="1" applyAlignment="1">
      <alignment horizontal="right"/>
    </xf>
    <xf numFmtId="0" fontId="20" fillId="2" borderId="9" xfId="0" applyFont="1" applyFill="1" applyBorder="1" applyAlignment="1">
      <alignment horizontal="center"/>
    </xf>
    <xf numFmtId="0" fontId="20" fillId="2" borderId="23" xfId="0" applyFont="1" applyFill="1" applyBorder="1" applyAlignment="1">
      <alignment horizontal="center"/>
    </xf>
    <xf numFmtId="0" fontId="20" fillId="2" borderId="37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2" borderId="38" xfId="0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/>
    </xf>
    <xf numFmtId="0" fontId="24" fillId="0" borderId="28" xfId="0" applyFont="1" applyFill="1" applyBorder="1" applyAlignment="1">
      <alignment horizontal="left" vertical="center"/>
    </xf>
    <xf numFmtId="3" fontId="11" fillId="0" borderId="12" xfId="0" applyNumberFormat="1" applyFont="1" applyBorder="1"/>
    <xf numFmtId="3" fontId="5" fillId="3" borderId="12" xfId="0" applyNumberFormat="1" applyFont="1" applyFill="1" applyBorder="1"/>
    <xf numFmtId="3" fontId="10" fillId="0" borderId="12" xfId="0" applyNumberFormat="1" applyFont="1" applyBorder="1"/>
    <xf numFmtId="3" fontId="10" fillId="0" borderId="12" xfId="0" applyNumberFormat="1" applyFont="1" applyBorder="1" applyAlignment="1">
      <alignment horizontal="right"/>
    </xf>
    <xf numFmtId="3" fontId="2" fillId="0" borderId="12" xfId="0" applyNumberFormat="1" applyFont="1" applyBorder="1" applyAlignment="1">
      <alignment horizontal="right" indent="1"/>
    </xf>
    <xf numFmtId="3" fontId="11" fillId="0" borderId="12" xfId="0" applyNumberFormat="1" applyFont="1" applyBorder="1" applyAlignment="1">
      <alignment horizontal="right" indent="1"/>
    </xf>
    <xf numFmtId="166" fontId="10" fillId="5" borderId="11" xfId="0" applyNumberFormat="1" applyFont="1" applyFill="1" applyBorder="1" applyAlignment="1">
      <alignment horizontal="center"/>
    </xf>
    <xf numFmtId="166" fontId="10" fillId="5" borderId="13" xfId="0" applyNumberFormat="1" applyFont="1" applyFill="1" applyBorder="1" applyAlignment="1">
      <alignment horizontal="center"/>
    </xf>
    <xf numFmtId="166" fontId="10" fillId="5" borderId="12" xfId="0" applyNumberFormat="1" applyFont="1" applyFill="1" applyBorder="1" applyAlignment="1">
      <alignment horizontal="center"/>
    </xf>
    <xf numFmtId="166" fontId="14" fillId="4" borderId="16" xfId="0" applyNumberFormat="1" applyFont="1" applyFill="1" applyBorder="1"/>
    <xf numFmtId="3" fontId="11" fillId="0" borderId="39" xfId="0" applyNumberFormat="1" applyFont="1" applyBorder="1" applyAlignment="1">
      <alignment horizontal="center"/>
    </xf>
    <xf numFmtId="3" fontId="5" fillId="3" borderId="39" xfId="0" applyNumberFormat="1" applyFont="1" applyFill="1" applyBorder="1"/>
    <xf numFmtId="3" fontId="10" fillId="0" borderId="39" xfId="0" applyNumberFormat="1" applyFont="1" applyBorder="1" applyAlignment="1">
      <alignment horizontal="center"/>
    </xf>
    <xf numFmtId="3" fontId="14" fillId="7" borderId="39" xfId="0" applyNumberFormat="1" applyFont="1" applyFill="1" applyBorder="1" applyAlignment="1">
      <alignment horizontal="center"/>
    </xf>
    <xf numFmtId="3" fontId="10" fillId="0" borderId="39" xfId="0" applyNumberFormat="1" applyFont="1" applyBorder="1" applyAlignment="1">
      <alignment horizontal="right"/>
    </xf>
    <xf numFmtId="3" fontId="6" fillId="0" borderId="39" xfId="0" applyNumberFormat="1" applyFont="1" applyBorder="1" applyAlignment="1">
      <alignment horizontal="right" indent="1"/>
    </xf>
    <xf numFmtId="3" fontId="11" fillId="0" borderId="39" xfId="0" applyNumberFormat="1" applyFont="1" applyBorder="1" applyAlignment="1">
      <alignment horizontal="right" indent="1"/>
    </xf>
    <xf numFmtId="3" fontId="10" fillId="5" borderId="28" xfId="0" applyNumberFormat="1" applyFont="1" applyFill="1" applyBorder="1" applyAlignment="1">
      <alignment horizontal="center"/>
    </xf>
    <xf numFmtId="3" fontId="11" fillId="0" borderId="29" xfId="0" applyNumberFormat="1" applyFont="1" applyBorder="1" applyAlignment="1">
      <alignment horizontal="center"/>
    </xf>
    <xf numFmtId="3" fontId="11" fillId="0" borderId="40" xfId="0" applyNumberFormat="1" applyFont="1" applyBorder="1" applyAlignment="1">
      <alignment horizontal="center"/>
    </xf>
    <xf numFmtId="3" fontId="12" fillId="6" borderId="15" xfId="0" applyNumberFormat="1" applyFont="1" applyFill="1" applyBorder="1"/>
    <xf numFmtId="3" fontId="12" fillId="6" borderId="16" xfId="0" applyNumberFormat="1" applyFont="1" applyFill="1" applyBorder="1"/>
    <xf numFmtId="3" fontId="11" fillId="0" borderId="41" xfId="0" applyNumberFormat="1" applyFont="1" applyBorder="1"/>
    <xf numFmtId="0" fontId="4" fillId="4" borderId="10" xfId="0" applyFont="1" applyFill="1" applyBorder="1"/>
    <xf numFmtId="0" fontId="4" fillId="4" borderId="11" xfId="0" applyFont="1" applyFill="1" applyBorder="1"/>
    <xf numFmtId="14" fontId="4" fillId="4" borderId="12" xfId="0" applyNumberFormat="1" applyFont="1" applyFill="1" applyBorder="1"/>
    <xf numFmtId="0" fontId="4" fillId="4" borderId="12" xfId="0" applyFont="1" applyFill="1" applyBorder="1"/>
    <xf numFmtId="4" fontId="4" fillId="4" borderId="12" xfId="0" applyNumberFormat="1" applyFont="1" applyFill="1" applyBorder="1"/>
    <xf numFmtId="164" fontId="4" fillId="4" borderId="12" xfId="0" applyNumberFormat="1" applyFont="1" applyFill="1" applyBorder="1"/>
    <xf numFmtId="14" fontId="4" fillId="4" borderId="13" xfId="0" applyNumberFormat="1" applyFont="1" applyFill="1" applyBorder="1"/>
    <xf numFmtId="164" fontId="4" fillId="4" borderId="11" xfId="0" applyNumberFormat="1" applyFont="1" applyFill="1" applyBorder="1"/>
    <xf numFmtId="0" fontId="4" fillId="4" borderId="13" xfId="0" applyFont="1" applyFill="1" applyBorder="1"/>
    <xf numFmtId="4" fontId="4" fillId="4" borderId="11" xfId="0" applyNumberFormat="1" applyFont="1" applyFill="1" applyBorder="1"/>
    <xf numFmtId="4" fontId="4" fillId="4" borderId="10" xfId="0" applyNumberFormat="1" applyFont="1" applyFill="1" applyBorder="1"/>
    <xf numFmtId="3" fontId="11" fillId="0" borderId="12" xfId="0" applyNumberFormat="1" applyFont="1" applyFill="1" applyBorder="1" applyAlignment="1">
      <alignment horizontal="right" indent="1"/>
    </xf>
    <xf numFmtId="3" fontId="11" fillId="0" borderId="12" xfId="0" applyNumberFormat="1" applyFont="1" applyFill="1" applyBorder="1"/>
    <xf numFmtId="3" fontId="10" fillId="7" borderId="11" xfId="0" applyNumberFormat="1" applyFont="1" applyFill="1" applyBorder="1" applyAlignment="1">
      <alignment horizontal="center"/>
    </xf>
    <xf numFmtId="3" fontId="10" fillId="7" borderId="39" xfId="0" applyNumberFormat="1" applyFont="1" applyFill="1" applyBorder="1" applyAlignment="1">
      <alignment horizontal="center"/>
    </xf>
    <xf numFmtId="3" fontId="11" fillId="7" borderId="12" xfId="0" applyNumberFormat="1" applyFont="1" applyFill="1" applyBorder="1"/>
    <xf numFmtId="3" fontId="11" fillId="7" borderId="13" xfId="0" applyNumberFormat="1" applyFont="1" applyFill="1" applyBorder="1"/>
    <xf numFmtId="14" fontId="4" fillId="4" borderId="13" xfId="1" applyNumberFormat="1" applyFont="1" applyFill="1" applyBorder="1"/>
    <xf numFmtId="3" fontId="11" fillId="0" borderId="13" xfId="0" applyNumberFormat="1" applyFont="1" applyFill="1" applyBorder="1" applyAlignment="1">
      <alignment horizontal="right" indent="1"/>
    </xf>
    <xf numFmtId="4" fontId="4" fillId="0" borderId="7" xfId="0" applyNumberFormat="1" applyFont="1" applyFill="1" applyBorder="1"/>
    <xf numFmtId="4" fontId="5" fillId="0" borderId="0" xfId="0" applyNumberFormat="1" applyFont="1"/>
    <xf numFmtId="0" fontId="7" fillId="4" borderId="14" xfId="0" applyFont="1" applyFill="1" applyBorder="1"/>
    <xf numFmtId="0" fontId="7" fillId="4" borderId="15" xfId="0" applyFont="1" applyFill="1" applyBorder="1"/>
    <xf numFmtId="14" fontId="7" fillId="4" borderId="16" xfId="0" applyNumberFormat="1" applyFont="1" applyFill="1" applyBorder="1"/>
    <xf numFmtId="0" fontId="7" fillId="4" borderId="16" xfId="0" applyFont="1" applyFill="1" applyBorder="1"/>
    <xf numFmtId="4" fontId="7" fillId="4" borderId="16" xfId="0" applyNumberFormat="1" applyFont="1" applyFill="1" applyBorder="1"/>
    <xf numFmtId="164" fontId="7" fillId="4" borderId="16" xfId="0" applyNumberFormat="1" applyFont="1" applyFill="1" applyBorder="1"/>
    <xf numFmtId="14" fontId="7" fillId="4" borderId="17" xfId="0" applyNumberFormat="1" applyFont="1" applyFill="1" applyBorder="1"/>
    <xf numFmtId="164" fontId="7" fillId="4" borderId="15" xfId="0" applyNumberFormat="1" applyFont="1" applyFill="1" applyBorder="1"/>
    <xf numFmtId="0" fontId="7" fillId="4" borderId="17" xfId="0" applyFont="1" applyFill="1" applyBorder="1"/>
    <xf numFmtId="4" fontId="7" fillId="4" borderId="15" xfId="0" applyNumberFormat="1" applyFont="1" applyFill="1" applyBorder="1"/>
    <xf numFmtId="4" fontId="7" fillId="4" borderId="14" xfId="0" applyNumberFormat="1" applyFont="1" applyFill="1" applyBorder="1"/>
    <xf numFmtId="0" fontId="4" fillId="4" borderId="24" xfId="0" applyFont="1" applyFill="1" applyBorder="1"/>
    <xf numFmtId="0" fontId="4" fillId="4" borderId="25" xfId="0" applyFont="1" applyFill="1" applyBorder="1"/>
    <xf numFmtId="14" fontId="4" fillId="4" borderId="26" xfId="0" applyNumberFormat="1" applyFont="1" applyFill="1" applyBorder="1"/>
    <xf numFmtId="0" fontId="4" fillId="4" borderId="26" xfId="0" applyFont="1" applyFill="1" applyBorder="1"/>
    <xf numFmtId="4" fontId="4" fillId="4" borderId="26" xfId="0" applyNumberFormat="1" applyFont="1" applyFill="1" applyBorder="1"/>
    <xf numFmtId="164" fontId="4" fillId="4" borderId="26" xfId="0" applyNumberFormat="1" applyFont="1" applyFill="1" applyBorder="1"/>
    <xf numFmtId="14" fontId="4" fillId="4" borderId="27" xfId="0" applyNumberFormat="1" applyFont="1" applyFill="1" applyBorder="1"/>
    <xf numFmtId="164" fontId="4" fillId="4" borderId="25" xfId="0" applyNumberFormat="1" applyFont="1" applyFill="1" applyBorder="1"/>
    <xf numFmtId="4" fontId="4" fillId="4" borderId="25" xfId="0" applyNumberFormat="1" applyFont="1" applyFill="1" applyBorder="1"/>
    <xf numFmtId="0" fontId="4" fillId="4" borderId="27" xfId="0" applyFont="1" applyFill="1" applyBorder="1"/>
    <xf numFmtId="4" fontId="4" fillId="4" borderId="24" xfId="0" applyNumberFormat="1" applyFont="1" applyFill="1" applyBorder="1"/>
    <xf numFmtId="0" fontId="4" fillId="4" borderId="18" xfId="0" applyFont="1" applyFill="1" applyBorder="1"/>
    <xf numFmtId="0" fontId="4" fillId="4" borderId="19" xfId="0" applyFont="1" applyFill="1" applyBorder="1"/>
    <xf numFmtId="14" fontId="4" fillId="4" borderId="20" xfId="0" applyNumberFormat="1" applyFont="1" applyFill="1" applyBorder="1"/>
    <xf numFmtId="0" fontId="4" fillId="4" borderId="20" xfId="0" applyFont="1" applyFill="1" applyBorder="1"/>
    <xf numFmtId="4" fontId="4" fillId="4" borderId="20" xfId="0" applyNumberFormat="1" applyFont="1" applyFill="1" applyBorder="1"/>
    <xf numFmtId="164" fontId="4" fillId="4" borderId="20" xfId="0" applyNumberFormat="1" applyFont="1" applyFill="1" applyBorder="1"/>
    <xf numFmtId="14" fontId="4" fillId="4" borderId="21" xfId="0" applyNumberFormat="1" applyFont="1" applyFill="1" applyBorder="1"/>
    <xf numFmtId="164" fontId="4" fillId="4" borderId="19" xfId="0" applyNumberFormat="1" applyFont="1" applyFill="1" applyBorder="1"/>
    <xf numFmtId="4" fontId="4" fillId="4" borderId="19" xfId="0" applyNumberFormat="1" applyFont="1" applyFill="1" applyBorder="1"/>
    <xf numFmtId="0" fontId="4" fillId="4" borderId="21" xfId="0" applyFont="1" applyFill="1" applyBorder="1"/>
    <xf numFmtId="4" fontId="4" fillId="4" borderId="18" xfId="0" applyNumberFormat="1" applyFont="1" applyFill="1" applyBorder="1"/>
    <xf numFmtId="14" fontId="17" fillId="0" borderId="16" xfId="0" applyNumberFormat="1" applyFont="1" applyFill="1" applyBorder="1"/>
    <xf numFmtId="0" fontId="7" fillId="0" borderId="15" xfId="0" applyFont="1" applyFill="1" applyBorder="1"/>
    <xf numFmtId="4" fontId="7" fillId="0" borderId="16" xfId="0" applyNumberFormat="1" applyFont="1" applyFill="1" applyBorder="1"/>
    <xf numFmtId="43" fontId="5" fillId="0" borderId="0" xfId="1" applyFont="1"/>
    <xf numFmtId="0" fontId="5" fillId="0" borderId="24" xfId="0" applyFont="1" applyFill="1" applyBorder="1"/>
    <xf numFmtId="0" fontId="5" fillId="0" borderId="25" xfId="0" applyFont="1" applyFill="1" applyBorder="1"/>
    <xf numFmtId="14" fontId="5" fillId="0" borderId="26" xfId="0" applyNumberFormat="1" applyFont="1" applyFill="1" applyBorder="1"/>
    <xf numFmtId="4" fontId="5" fillId="0" borderId="26" xfId="0" applyNumberFormat="1" applyFont="1" applyFill="1" applyBorder="1"/>
    <xf numFmtId="164" fontId="5" fillId="0" borderId="26" xfId="0" applyNumberFormat="1" applyFont="1" applyFill="1" applyBorder="1"/>
    <xf numFmtId="14" fontId="5" fillId="0" borderId="27" xfId="1" applyNumberFormat="1" applyFont="1" applyFill="1" applyBorder="1"/>
    <xf numFmtId="164" fontId="5" fillId="0" borderId="25" xfId="0" applyNumberFormat="1" applyFont="1" applyFill="1" applyBorder="1"/>
    <xf numFmtId="0" fontId="5" fillId="0" borderId="26" xfId="0" applyFont="1" applyFill="1" applyBorder="1"/>
    <xf numFmtId="4" fontId="5" fillId="0" borderId="25" xfId="0" applyNumberFormat="1" applyFont="1" applyFill="1" applyBorder="1"/>
    <xf numFmtId="0" fontId="5" fillId="0" borderId="27" xfId="0" applyFont="1" applyFill="1" applyBorder="1"/>
    <xf numFmtId="43" fontId="5" fillId="0" borderId="0" xfId="1" applyFont="1" applyFill="1"/>
    <xf numFmtId="0" fontId="3" fillId="0" borderId="26" xfId="0" applyFont="1" applyFill="1" applyBorder="1"/>
    <xf numFmtId="164" fontId="3" fillId="0" borderId="25" xfId="0" applyNumberFormat="1" applyFont="1" applyFill="1" applyBorder="1"/>
    <xf numFmtId="0" fontId="3" fillId="0" borderId="27" xfId="0" applyFont="1" applyFill="1" applyBorder="1"/>
    <xf numFmtId="4" fontId="3" fillId="0" borderId="25" xfId="0" applyNumberFormat="1" applyFont="1" applyFill="1" applyBorder="1"/>
    <xf numFmtId="43" fontId="3" fillId="0" borderId="0" xfId="1" applyFont="1" applyFill="1"/>
    <xf numFmtId="0" fontId="7" fillId="4" borderId="18" xfId="0" applyFont="1" applyFill="1" applyBorder="1"/>
    <xf numFmtId="0" fontId="7" fillId="4" borderId="19" xfId="0" applyFont="1" applyFill="1" applyBorder="1"/>
    <xf numFmtId="14" fontId="7" fillId="4" borderId="20" xfId="0" applyNumberFormat="1" applyFont="1" applyFill="1" applyBorder="1"/>
    <xf numFmtId="0" fontId="7" fillId="4" borderId="20" xfId="0" applyFont="1" applyFill="1" applyBorder="1"/>
    <xf numFmtId="4" fontId="7" fillId="4" borderId="20" xfId="0" applyNumberFormat="1" applyFont="1" applyFill="1" applyBorder="1"/>
    <xf numFmtId="164" fontId="7" fillId="4" borderId="20" xfId="0" applyNumberFormat="1" applyFont="1" applyFill="1" applyBorder="1"/>
    <xf numFmtId="14" fontId="7" fillId="4" borderId="21" xfId="0" applyNumberFormat="1" applyFont="1" applyFill="1" applyBorder="1"/>
    <xf numFmtId="164" fontId="7" fillId="4" borderId="19" xfId="0" applyNumberFormat="1" applyFont="1" applyFill="1" applyBorder="1"/>
    <xf numFmtId="4" fontId="7" fillId="4" borderId="19" xfId="0" applyNumberFormat="1" applyFont="1" applyFill="1" applyBorder="1"/>
    <xf numFmtId="4" fontId="7" fillId="4" borderId="18" xfId="0" applyNumberFormat="1" applyFont="1" applyFill="1" applyBorder="1"/>
    <xf numFmtId="0" fontId="7" fillId="4" borderId="10" xfId="0" applyFont="1" applyFill="1" applyBorder="1"/>
    <xf numFmtId="0" fontId="7" fillId="4" borderId="11" xfId="0" applyFont="1" applyFill="1" applyBorder="1"/>
    <xf numFmtId="14" fontId="7" fillId="4" borderId="12" xfId="0" applyNumberFormat="1" applyFont="1" applyFill="1" applyBorder="1"/>
    <xf numFmtId="0" fontId="7" fillId="4" borderId="12" xfId="0" applyFont="1" applyFill="1" applyBorder="1"/>
    <xf numFmtId="4" fontId="7" fillId="4" borderId="12" xfId="0" applyNumberFormat="1" applyFont="1" applyFill="1" applyBorder="1"/>
    <xf numFmtId="164" fontId="7" fillId="4" borderId="12" xfId="0" applyNumberFormat="1" applyFont="1" applyFill="1" applyBorder="1"/>
    <xf numFmtId="14" fontId="7" fillId="4" borderId="13" xfId="1" applyNumberFormat="1" applyFont="1" applyFill="1" applyBorder="1"/>
    <xf numFmtId="164" fontId="7" fillId="4" borderId="11" xfId="0" applyNumberFormat="1" applyFont="1" applyFill="1" applyBorder="1"/>
    <xf numFmtId="14" fontId="7" fillId="4" borderId="13" xfId="0" applyNumberFormat="1" applyFont="1" applyFill="1" applyBorder="1"/>
    <xf numFmtId="4" fontId="7" fillId="4" borderId="11" xfId="0" applyNumberFormat="1" applyFont="1" applyFill="1" applyBorder="1"/>
    <xf numFmtId="0" fontId="7" fillId="4" borderId="13" xfId="0" applyFont="1" applyFill="1" applyBorder="1"/>
    <xf numFmtId="4" fontId="7" fillId="4" borderId="10" xfId="0" applyNumberFormat="1" applyFont="1" applyFill="1" applyBorder="1"/>
    <xf numFmtId="14" fontId="2" fillId="0" borderId="27" xfId="0" applyNumberFormat="1" applyFont="1" applyFill="1" applyBorder="1"/>
    <xf numFmtId="164" fontId="2" fillId="0" borderId="25" xfId="0" applyNumberFormat="1" applyFont="1" applyFill="1" applyBorder="1"/>
    <xf numFmtId="43" fontId="4" fillId="0" borderId="0" xfId="1" applyFont="1" applyFill="1"/>
    <xf numFmtId="0" fontId="2" fillId="4" borderId="24" xfId="0" applyFont="1" applyFill="1" applyBorder="1"/>
    <xf numFmtId="0" fontId="2" fillId="4" borderId="25" xfId="0" applyFont="1" applyFill="1" applyBorder="1"/>
    <xf numFmtId="14" fontId="2" fillId="4" borderId="26" xfId="0" applyNumberFormat="1" applyFont="1" applyFill="1" applyBorder="1"/>
    <xf numFmtId="0" fontId="2" fillId="4" borderId="26" xfId="0" applyFont="1" applyFill="1" applyBorder="1"/>
    <xf numFmtId="4" fontId="2" fillId="4" borderId="26" xfId="0" applyNumberFormat="1" applyFont="1" applyFill="1" applyBorder="1"/>
    <xf numFmtId="164" fontId="2" fillId="4" borderId="26" xfId="0" applyNumberFormat="1" applyFont="1" applyFill="1" applyBorder="1"/>
    <xf numFmtId="0" fontId="2" fillId="4" borderId="27" xfId="0" applyFont="1" applyFill="1" applyBorder="1"/>
    <xf numFmtId="4" fontId="2" fillId="4" borderId="25" xfId="0" applyNumberFormat="1" applyFont="1" applyFill="1" applyBorder="1"/>
    <xf numFmtId="4" fontId="6" fillId="0" borderId="11" xfId="0" applyNumberFormat="1" applyFont="1" applyBorder="1"/>
    <xf numFmtId="0" fontId="6" fillId="0" borderId="12" xfId="0" applyFont="1" applyBorder="1"/>
    <xf numFmtId="4" fontId="6" fillId="0" borderId="12" xfId="0" applyNumberFormat="1" applyFont="1" applyBorder="1"/>
    <xf numFmtId="0" fontId="6" fillId="0" borderId="11" xfId="0" applyFont="1" applyBorder="1"/>
    <xf numFmtId="164" fontId="6" fillId="0" borderId="12" xfId="0" applyNumberFormat="1" applyFont="1" applyBorder="1"/>
    <xf numFmtId="0" fontId="6" fillId="0" borderId="1" xfId="0" applyFont="1" applyBorder="1"/>
    <xf numFmtId="0" fontId="2" fillId="0" borderId="4" xfId="0" applyFont="1" applyBorder="1"/>
    <xf numFmtId="0" fontId="2" fillId="0" borderId="48" xfId="0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0" fontId="2" fillId="0" borderId="29" xfId="0" applyFont="1" applyBorder="1"/>
    <xf numFmtId="0" fontId="2" fillId="0" borderId="41" xfId="0" applyFont="1" applyBorder="1"/>
    <xf numFmtId="11" fontId="6" fillId="0" borderId="5" xfId="0" applyNumberFormat="1" applyFont="1" applyBorder="1" applyAlignment="1">
      <alignment horizontal="center"/>
    </xf>
    <xf numFmtId="43" fontId="5" fillId="0" borderId="0" xfId="0" applyNumberFormat="1" applyFont="1"/>
    <xf numFmtId="43" fontId="5" fillId="0" borderId="0" xfId="0" applyNumberFormat="1" applyFont="1" applyFill="1"/>
    <xf numFmtId="43" fontId="6" fillId="0" borderId="0" xfId="0" applyNumberFormat="1" applyFont="1" applyFill="1"/>
    <xf numFmtId="164" fontId="2" fillId="4" borderId="25" xfId="0" applyNumberFormat="1" applyFont="1" applyFill="1" applyBorder="1"/>
    <xf numFmtId="14" fontId="2" fillId="4" borderId="27" xfId="0" applyNumberFormat="1" applyFont="1" applyFill="1" applyBorder="1"/>
    <xf numFmtId="4" fontId="5" fillId="0" borderId="24" xfId="0" applyNumberFormat="1" applyFont="1" applyFill="1" applyBorder="1"/>
    <xf numFmtId="4" fontId="3" fillId="0" borderId="24" xfId="0" applyNumberFormat="1" applyFont="1" applyFill="1" applyBorder="1"/>
    <xf numFmtId="4" fontId="2" fillId="4" borderId="24" xfId="0" applyNumberFormat="1" applyFont="1" applyFill="1" applyBorder="1"/>
    <xf numFmtId="4" fontId="6" fillId="0" borderId="24" xfId="0" applyNumberFormat="1" applyFont="1" applyFill="1" applyBorder="1"/>
    <xf numFmtId="172" fontId="0" fillId="0" borderId="0" xfId="0" applyNumberFormat="1"/>
    <xf numFmtId="14" fontId="4" fillId="4" borderId="27" xfId="1" applyNumberFormat="1" applyFont="1" applyFill="1" applyBorder="1"/>
    <xf numFmtId="2" fontId="5" fillId="0" borderId="0" xfId="0" applyNumberFormat="1" applyFont="1"/>
    <xf numFmtId="173" fontId="0" fillId="0" borderId="0" xfId="0" applyNumberFormat="1"/>
    <xf numFmtId="3" fontId="10" fillId="5" borderId="19" xfId="0" applyNumberFormat="1" applyFont="1" applyFill="1" applyBorder="1" applyAlignment="1">
      <alignment horizontal="center"/>
    </xf>
    <xf numFmtId="3" fontId="10" fillId="5" borderId="20" xfId="0" applyNumberFormat="1" applyFont="1" applyFill="1" applyBorder="1" applyAlignment="1">
      <alignment horizontal="center"/>
    </xf>
    <xf numFmtId="3" fontId="10" fillId="5" borderId="21" xfId="0" applyNumberFormat="1" applyFont="1" applyFill="1" applyBorder="1" applyAlignment="1">
      <alignment horizontal="center"/>
    </xf>
    <xf numFmtId="0" fontId="29" fillId="0" borderId="0" xfId="0" applyFont="1"/>
    <xf numFmtId="3" fontId="29" fillId="0" borderId="0" xfId="0" applyNumberFormat="1" applyFont="1"/>
    <xf numFmtId="3" fontId="13" fillId="0" borderId="0" xfId="0" applyNumberFormat="1" applyFont="1"/>
    <xf numFmtId="0" fontId="13" fillId="0" borderId="0" xfId="0" applyFont="1"/>
    <xf numFmtId="3" fontId="27" fillId="0" borderId="0" xfId="0" applyNumberFormat="1" applyFont="1"/>
    <xf numFmtId="164" fontId="7" fillId="4" borderId="25" xfId="0" applyNumberFormat="1" applyFont="1" applyFill="1" applyBorder="1"/>
    <xf numFmtId="0" fontId="7" fillId="4" borderId="26" xfId="0" applyFont="1" applyFill="1" applyBorder="1"/>
    <xf numFmtId="14" fontId="7" fillId="4" borderId="27" xfId="0" applyNumberFormat="1" applyFont="1" applyFill="1" applyBorder="1"/>
    <xf numFmtId="174" fontId="0" fillId="0" borderId="0" xfId="0" applyNumberFormat="1"/>
    <xf numFmtId="0" fontId="7" fillId="0" borderId="16" xfId="0" applyFont="1" applyFill="1" applyBorder="1"/>
    <xf numFmtId="14" fontId="2" fillId="0" borderId="0" xfId="0" applyNumberFormat="1" applyFont="1"/>
    <xf numFmtId="14" fontId="2" fillId="0" borderId="0" xfId="1" applyNumberFormat="1" applyFont="1"/>
    <xf numFmtId="3" fontId="27" fillId="0" borderId="12" xfId="0" applyNumberFormat="1" applyFont="1" applyFill="1" applyBorder="1" applyAlignment="1">
      <alignment horizontal="right" indent="1"/>
    </xf>
    <xf numFmtId="3" fontId="5" fillId="0" borderId="12" xfId="0" applyNumberFormat="1" applyFont="1" applyBorder="1" applyAlignment="1">
      <alignment horizontal="right" indent="1"/>
    </xf>
    <xf numFmtId="4" fontId="7" fillId="0" borderId="0" xfId="0" applyNumberFormat="1" applyFont="1" applyFill="1"/>
    <xf numFmtId="14" fontId="31" fillId="0" borderId="0" xfId="0" applyNumberFormat="1" applyFont="1" applyAlignment="1">
      <alignment horizontal="right"/>
    </xf>
    <xf numFmtId="0" fontId="31" fillId="0" borderId="0" xfId="0" applyFont="1" applyAlignment="1">
      <alignment horizontal="right"/>
    </xf>
    <xf numFmtId="0" fontId="30" fillId="0" borderId="0" xfId="0" applyFont="1" applyAlignment="1">
      <alignment horizontal="right"/>
    </xf>
    <xf numFmtId="3" fontId="30" fillId="0" borderId="0" xfId="0" applyNumberFormat="1" applyFont="1" applyAlignment="1">
      <alignment horizontal="right"/>
    </xf>
    <xf numFmtId="0" fontId="32" fillId="8" borderId="6" xfId="0" applyFont="1" applyFill="1" applyBorder="1" applyAlignment="1">
      <alignment horizontal="right"/>
    </xf>
    <xf numFmtId="3" fontId="32" fillId="8" borderId="6" xfId="0" applyNumberFormat="1" applyFont="1" applyFill="1" applyBorder="1" applyAlignment="1">
      <alignment horizontal="center"/>
    </xf>
    <xf numFmtId="14" fontId="32" fillId="8" borderId="6" xfId="0" applyNumberFormat="1" applyFont="1" applyFill="1" applyBorder="1" applyAlignment="1">
      <alignment horizontal="center"/>
    </xf>
    <xf numFmtId="14" fontId="32" fillId="8" borderId="7" xfId="0" applyNumberFormat="1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5" xfId="0" applyFont="1" applyFill="1" applyBorder="1"/>
    <xf numFmtId="3" fontId="31" fillId="0" borderId="7" xfId="0" applyNumberFormat="1" applyFont="1" applyFill="1" applyBorder="1"/>
    <xf numFmtId="14" fontId="33" fillId="0" borderId="5" xfId="0" applyNumberFormat="1" applyFont="1" applyFill="1" applyBorder="1" applyAlignment="1">
      <alignment horizontal="center"/>
    </xf>
    <xf numFmtId="0" fontId="31" fillId="0" borderId="7" xfId="0" applyFont="1" applyFill="1" applyBorder="1"/>
    <xf numFmtId="0" fontId="31" fillId="0" borderId="0" xfId="0" applyFont="1" applyFill="1" applyAlignment="1">
      <alignment horizontal="right"/>
    </xf>
    <xf numFmtId="3" fontId="35" fillId="9" borderId="53" xfId="0" applyNumberFormat="1" applyFont="1" applyFill="1" applyBorder="1" applyAlignment="1">
      <alignment horizontal="right"/>
    </xf>
    <xf numFmtId="3" fontId="35" fillId="9" borderId="46" xfId="0" applyNumberFormat="1" applyFont="1" applyFill="1" applyBorder="1" applyAlignment="1">
      <alignment horizontal="right"/>
    </xf>
    <xf numFmtId="3" fontId="30" fillId="9" borderId="5" xfId="0" applyNumberFormat="1" applyFont="1" applyFill="1" applyBorder="1" applyAlignment="1">
      <alignment horizontal="right"/>
    </xf>
    <xf numFmtId="14" fontId="31" fillId="9" borderId="6" xfId="0" applyNumberFormat="1" applyFont="1" applyFill="1" applyBorder="1" applyAlignment="1">
      <alignment horizontal="right"/>
    </xf>
    <xf numFmtId="14" fontId="31" fillId="9" borderId="7" xfId="0" applyNumberFormat="1" applyFont="1" applyFill="1" applyBorder="1" applyAlignment="1">
      <alignment horizontal="right"/>
    </xf>
    <xf numFmtId="3" fontId="35" fillId="9" borderId="5" xfId="0" applyNumberFormat="1" applyFont="1" applyFill="1" applyBorder="1" applyAlignment="1">
      <alignment horizontal="right"/>
    </xf>
    <xf numFmtId="3" fontId="35" fillId="9" borderId="6" xfId="0" applyNumberFormat="1" applyFont="1" applyFill="1" applyBorder="1" applyAlignment="1">
      <alignment horizontal="right"/>
    </xf>
    <xf numFmtId="3" fontId="30" fillId="9" borderId="7" xfId="0" applyNumberFormat="1" applyFont="1" applyFill="1" applyBorder="1" applyAlignment="1">
      <alignment horizontal="right"/>
    </xf>
    <xf numFmtId="14" fontId="31" fillId="9" borderId="5" xfId="0" applyNumberFormat="1" applyFont="1" applyFill="1" applyBorder="1" applyAlignment="1">
      <alignment horizontal="right"/>
    </xf>
    <xf numFmtId="0" fontId="31" fillId="0" borderId="0" xfId="0" applyFont="1" applyFill="1" applyBorder="1"/>
    <xf numFmtId="3" fontId="31" fillId="0" borderId="0" xfId="0" applyNumberFormat="1" applyFont="1" applyFill="1" applyBorder="1"/>
    <xf numFmtId="0" fontId="31" fillId="0" borderId="0" xfId="0" applyFont="1" applyFill="1" applyBorder="1" applyAlignment="1">
      <alignment horizontal="right"/>
    </xf>
    <xf numFmtId="3" fontId="34" fillId="0" borderId="53" xfId="0" applyNumberFormat="1" applyFont="1" applyFill="1" applyBorder="1" applyAlignment="1">
      <alignment horizontal="right"/>
    </xf>
    <xf numFmtId="0" fontId="34" fillId="0" borderId="33" xfId="0" applyFont="1" applyFill="1" applyBorder="1"/>
    <xf numFmtId="0" fontId="34" fillId="0" borderId="0" xfId="0" applyFont="1" applyFill="1" applyBorder="1"/>
    <xf numFmtId="3" fontId="31" fillId="0" borderId="0" xfId="0" applyNumberFormat="1" applyFont="1" applyAlignment="1">
      <alignment horizontal="right"/>
    </xf>
    <xf numFmtId="0" fontId="31" fillId="0" borderId="19" xfId="0" applyFont="1" applyFill="1" applyBorder="1"/>
    <xf numFmtId="3" fontId="31" fillId="0" borderId="21" xfId="0" applyNumberFormat="1" applyFont="1" applyFill="1" applyBorder="1"/>
    <xf numFmtId="3" fontId="33" fillId="0" borderId="20" xfId="0" applyNumberFormat="1" applyFont="1" applyFill="1" applyBorder="1" applyAlignment="1">
      <alignment horizontal="right"/>
    </xf>
    <xf numFmtId="0" fontId="31" fillId="0" borderId="21" xfId="0" applyFont="1" applyFill="1" applyBorder="1"/>
    <xf numFmtId="0" fontId="31" fillId="0" borderId="15" xfId="0" applyFont="1" applyFill="1" applyBorder="1"/>
    <xf numFmtId="3" fontId="31" fillId="0" borderId="17" xfId="0" applyNumberFormat="1" applyFont="1" applyFill="1" applyBorder="1"/>
    <xf numFmtId="3" fontId="31" fillId="0" borderId="54" xfId="0" applyNumberFormat="1" applyFont="1" applyFill="1" applyBorder="1"/>
    <xf numFmtId="14" fontId="33" fillId="0" borderId="19" xfId="0" applyNumberFormat="1" applyFont="1" applyFill="1" applyBorder="1" applyAlignment="1">
      <alignment horizontal="right"/>
    </xf>
    <xf numFmtId="0" fontId="31" fillId="0" borderId="11" xfId="0" applyFont="1" applyFill="1" applyBorder="1"/>
    <xf numFmtId="3" fontId="31" fillId="0" borderId="42" xfId="0" applyNumberFormat="1" applyFont="1" applyFill="1" applyBorder="1"/>
    <xf numFmtId="14" fontId="33" fillId="0" borderId="11" xfId="0" applyNumberFormat="1" applyFont="1" applyFill="1" applyBorder="1" applyAlignment="1">
      <alignment horizontal="right"/>
    </xf>
    <xf numFmtId="3" fontId="33" fillId="0" borderId="12" xfId="0" applyNumberFormat="1" applyFont="1" applyFill="1" applyBorder="1" applyAlignment="1">
      <alignment horizontal="right"/>
    </xf>
    <xf numFmtId="3" fontId="31" fillId="0" borderId="13" xfId="0" applyNumberFormat="1" applyFont="1" applyFill="1" applyBorder="1"/>
    <xf numFmtId="0" fontId="31" fillId="0" borderId="13" xfId="0" applyFont="1" applyFill="1" applyBorder="1"/>
    <xf numFmtId="3" fontId="31" fillId="0" borderId="44" xfId="0" applyNumberFormat="1" applyFont="1" applyFill="1" applyBorder="1"/>
    <xf numFmtId="164" fontId="31" fillId="0" borderId="0" xfId="0" applyNumberFormat="1" applyFont="1" applyAlignment="1">
      <alignment horizontal="right"/>
    </xf>
    <xf numFmtId="14" fontId="31" fillId="9" borderId="53" xfId="0" applyNumberFormat="1" applyFont="1" applyFill="1" applyBorder="1" applyAlignment="1">
      <alignment horizontal="right"/>
    </xf>
    <xf numFmtId="167" fontId="31" fillId="0" borderId="0" xfId="0" applyNumberFormat="1" applyFont="1" applyAlignment="1">
      <alignment horizontal="right"/>
    </xf>
    <xf numFmtId="14" fontId="18" fillId="0" borderId="0" xfId="0" applyNumberFormat="1" applyFont="1"/>
    <xf numFmtId="0" fontId="7" fillId="0" borderId="11" xfId="0" applyFont="1" applyFill="1" applyBorder="1"/>
    <xf numFmtId="4" fontId="4" fillId="0" borderId="0" xfId="0" applyNumberFormat="1" applyFont="1" applyFill="1"/>
    <xf numFmtId="3" fontId="10" fillId="0" borderId="43" xfId="0" applyNumberFormat="1" applyFont="1" applyBorder="1" applyAlignment="1">
      <alignment horizontal="right"/>
    </xf>
    <xf numFmtId="3" fontId="19" fillId="0" borderId="12" xfId="0" applyNumberFormat="1" applyFont="1" applyFill="1" applyBorder="1"/>
    <xf numFmtId="4" fontId="2" fillId="0" borderId="24" xfId="0" applyNumberFormat="1" applyFont="1" applyFill="1" applyBorder="1"/>
    <xf numFmtId="0" fontId="7" fillId="0" borderId="0" xfId="0" applyFont="1" applyFill="1" applyBorder="1"/>
    <xf numFmtId="0" fontId="7" fillId="0" borderId="17" xfId="0" applyFont="1" applyFill="1" applyBorder="1"/>
    <xf numFmtId="164" fontId="7" fillId="0" borderId="0" xfId="0" applyNumberFormat="1" applyFont="1" applyFill="1"/>
    <xf numFmtId="164" fontId="4" fillId="0" borderId="6" xfId="0" applyNumberFormat="1" applyFont="1" applyFill="1" applyBorder="1" applyAlignment="1">
      <alignment horizontal="center"/>
    </xf>
    <xf numFmtId="164" fontId="7" fillId="0" borderId="12" xfId="0" applyNumberFormat="1" applyFont="1" applyFill="1" applyBorder="1"/>
    <xf numFmtId="164" fontId="4" fillId="0" borderId="31" xfId="0" applyNumberFormat="1" applyFont="1" applyFill="1" applyBorder="1"/>
    <xf numFmtId="164" fontId="7" fillId="0" borderId="16" xfId="0" applyNumberFormat="1" applyFont="1" applyFill="1" applyBorder="1"/>
    <xf numFmtId="164" fontId="4" fillId="0" borderId="0" xfId="0" applyNumberFormat="1" applyFont="1" applyFill="1" applyBorder="1"/>
    <xf numFmtId="14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164" fontId="7" fillId="0" borderId="0" xfId="0" applyNumberFormat="1" applyFont="1" applyFill="1" applyBorder="1"/>
    <xf numFmtId="0" fontId="4" fillId="0" borderId="0" xfId="0" applyFont="1" applyFill="1" applyBorder="1"/>
    <xf numFmtId="14" fontId="5" fillId="0" borderId="27" xfId="0" applyNumberFormat="1" applyFont="1" applyFill="1" applyBorder="1"/>
    <xf numFmtId="0" fontId="31" fillId="4" borderId="19" xfId="0" applyFont="1" applyFill="1" applyBorder="1"/>
    <xf numFmtId="3" fontId="31" fillId="4" borderId="21" xfId="0" applyNumberFormat="1" applyFont="1" applyFill="1" applyBorder="1"/>
    <xf numFmtId="14" fontId="31" fillId="4" borderId="19" xfId="0" applyNumberFormat="1" applyFont="1" applyFill="1" applyBorder="1" applyAlignment="1">
      <alignment horizontal="right"/>
    </xf>
    <xf numFmtId="3" fontId="33" fillId="4" borderId="20" xfId="0" applyNumberFormat="1" applyFont="1" applyFill="1" applyBorder="1" applyAlignment="1">
      <alignment horizontal="right"/>
    </xf>
    <xf numFmtId="0" fontId="31" fillId="4" borderId="51" xfId="0" applyFont="1" applyFill="1" applyBorder="1"/>
    <xf numFmtId="0" fontId="31" fillId="4" borderId="21" xfId="0" applyFont="1" applyFill="1" applyBorder="1"/>
    <xf numFmtId="0" fontId="31" fillId="4" borderId="15" xfId="0" applyFont="1" applyFill="1" applyBorder="1"/>
    <xf numFmtId="3" fontId="31" fillId="4" borderId="17" xfId="0" applyNumberFormat="1" applyFont="1" applyFill="1" applyBorder="1"/>
    <xf numFmtId="14" fontId="31" fillId="4" borderId="15" xfId="0" applyNumberFormat="1" applyFont="1" applyFill="1" applyBorder="1" applyAlignment="1">
      <alignment horizontal="right"/>
    </xf>
    <xf numFmtId="3" fontId="33" fillId="4" borderId="16" xfId="0" applyNumberFormat="1" applyFont="1" applyFill="1" applyBorder="1" applyAlignment="1">
      <alignment horizontal="right"/>
    </xf>
    <xf numFmtId="0" fontId="31" fillId="4" borderId="52" xfId="0" applyFont="1" applyFill="1" applyBorder="1"/>
    <xf numFmtId="0" fontId="31" fillId="4" borderId="17" xfId="0" applyFont="1" applyFill="1" applyBorder="1"/>
    <xf numFmtId="0" fontId="7" fillId="0" borderId="12" xfId="0" applyFont="1" applyFill="1" applyBorder="1"/>
    <xf numFmtId="4" fontId="7" fillId="0" borderId="12" xfId="0" applyNumberFormat="1" applyFont="1" applyFill="1" applyBorder="1"/>
    <xf numFmtId="4" fontId="2" fillId="0" borderId="14" xfId="0" applyNumberFormat="1" applyFont="1" applyFill="1" applyBorder="1"/>
    <xf numFmtId="14" fontId="6" fillId="0" borderId="0" xfId="1" applyNumberFormat="1" applyFont="1" applyFill="1"/>
    <xf numFmtId="4" fontId="3" fillId="0" borderId="0" xfId="0" applyNumberFormat="1" applyFont="1" applyFill="1"/>
    <xf numFmtId="4" fontId="6" fillId="0" borderId="0" xfId="0" applyNumberFormat="1" applyFont="1" applyFill="1"/>
    <xf numFmtId="0" fontId="7" fillId="4" borderId="27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7" fillId="0" borderId="25" xfId="0" applyFont="1" applyFill="1" applyBorder="1"/>
    <xf numFmtId="0" fontId="17" fillId="0" borderId="26" xfId="0" applyFont="1" applyFill="1" applyBorder="1"/>
    <xf numFmtId="4" fontId="17" fillId="0" borderId="26" xfId="0" applyNumberFormat="1" applyFont="1" applyFill="1" applyBorder="1"/>
    <xf numFmtId="164" fontId="7" fillId="0" borderId="26" xfId="0" applyNumberFormat="1" applyFont="1" applyFill="1" applyBorder="1"/>
    <xf numFmtId="14" fontId="17" fillId="0" borderId="26" xfId="0" applyNumberFormat="1" applyFont="1" applyFill="1" applyBorder="1"/>
    <xf numFmtId="14" fontId="38" fillId="0" borderId="0" xfId="0" applyNumberFormat="1" applyFont="1"/>
    <xf numFmtId="0" fontId="38" fillId="0" borderId="0" xfId="0" applyNumberFormat="1" applyFont="1"/>
    <xf numFmtId="164" fontId="38" fillId="0" borderId="0" xfId="0" applyNumberFormat="1" applyFont="1"/>
    <xf numFmtId="164" fontId="39" fillId="0" borderId="0" xfId="0" applyNumberFormat="1" applyFont="1"/>
    <xf numFmtId="14" fontId="39" fillId="0" borderId="0" xfId="0" applyNumberFormat="1" applyFont="1"/>
    <xf numFmtId="0" fontId="39" fillId="0" borderId="0" xfId="0" applyNumberFormat="1" applyFont="1"/>
    <xf numFmtId="3" fontId="31" fillId="0" borderId="59" xfId="0" applyNumberFormat="1" applyFont="1" applyFill="1" applyBorder="1"/>
    <xf numFmtId="3" fontId="33" fillId="0" borderId="26" xfId="0" applyNumberFormat="1" applyFont="1" applyFill="1" applyBorder="1" applyAlignment="1">
      <alignment horizontal="right"/>
    </xf>
    <xf numFmtId="3" fontId="31" fillId="0" borderId="27" xfId="0" applyNumberFormat="1" applyFont="1" applyFill="1" applyBorder="1"/>
    <xf numFmtId="0" fontId="31" fillId="4" borderId="5" xfId="0" applyFont="1" applyFill="1" applyBorder="1"/>
    <xf numFmtId="3" fontId="31" fillId="4" borderId="7" xfId="0" applyNumberFormat="1" applyFont="1" applyFill="1" applyBorder="1"/>
    <xf numFmtId="14" fontId="31" fillId="4" borderId="5" xfId="0" applyNumberFormat="1" applyFont="1" applyFill="1" applyBorder="1" applyAlignment="1">
      <alignment horizontal="right"/>
    </xf>
    <xf numFmtId="3" fontId="33" fillId="4" borderId="6" xfId="0" applyNumberFormat="1" applyFont="1" applyFill="1" applyBorder="1" applyAlignment="1">
      <alignment horizontal="right"/>
    </xf>
    <xf numFmtId="0" fontId="31" fillId="4" borderId="53" xfId="0" applyFont="1" applyFill="1" applyBorder="1"/>
    <xf numFmtId="0" fontId="31" fillId="4" borderId="7" xfId="0" applyFont="1" applyFill="1" applyBorder="1"/>
    <xf numFmtId="3" fontId="31" fillId="4" borderId="54" xfId="0" applyNumberFormat="1" applyFont="1" applyFill="1" applyBorder="1"/>
    <xf numFmtId="14" fontId="33" fillId="4" borderId="19" xfId="0" applyNumberFormat="1" applyFont="1" applyFill="1" applyBorder="1" applyAlignment="1">
      <alignment horizontal="right"/>
    </xf>
    <xf numFmtId="0" fontId="31" fillId="4" borderId="11" xfId="0" applyFont="1" applyFill="1" applyBorder="1"/>
    <xf numFmtId="3" fontId="31" fillId="4" borderId="42" xfId="0" applyNumberFormat="1" applyFont="1" applyFill="1" applyBorder="1"/>
    <xf numFmtId="14" fontId="33" fillId="4" borderId="11" xfId="0" applyNumberFormat="1" applyFont="1" applyFill="1" applyBorder="1" applyAlignment="1">
      <alignment horizontal="right"/>
    </xf>
    <xf numFmtId="3" fontId="33" fillId="4" borderId="12" xfId="0" applyNumberFormat="1" applyFont="1" applyFill="1" applyBorder="1" applyAlignment="1">
      <alignment horizontal="right"/>
    </xf>
    <xf numFmtId="3" fontId="31" fillId="4" borderId="13" xfId="0" applyNumberFormat="1" applyFont="1" applyFill="1" applyBorder="1"/>
    <xf numFmtId="0" fontId="31" fillId="4" borderId="55" xfId="0" applyFont="1" applyFill="1" applyBorder="1"/>
    <xf numFmtId="0" fontId="31" fillId="4" borderId="13" xfId="0" applyFont="1" applyFill="1" applyBorder="1"/>
    <xf numFmtId="3" fontId="31" fillId="4" borderId="59" xfId="0" applyNumberFormat="1" applyFont="1" applyFill="1" applyBorder="1"/>
    <xf numFmtId="3" fontId="33" fillId="4" borderId="26" xfId="0" applyNumberFormat="1" applyFont="1" applyFill="1" applyBorder="1" applyAlignment="1">
      <alignment horizontal="right"/>
    </xf>
    <xf numFmtId="0" fontId="31" fillId="4" borderId="60" xfId="0" applyFont="1" applyFill="1" applyBorder="1"/>
    <xf numFmtId="0" fontId="31" fillId="4" borderId="27" xfId="0" applyFont="1" applyFill="1" applyBorder="1"/>
    <xf numFmtId="0" fontId="3" fillId="0" borderId="25" xfId="0" applyFont="1" applyFill="1" applyBorder="1"/>
    <xf numFmtId="164" fontId="3" fillId="0" borderId="26" xfId="0" applyNumberFormat="1" applyFont="1" applyFill="1" applyBorder="1"/>
    <xf numFmtId="0" fontId="3" fillId="0" borderId="24" xfId="0" applyFont="1" applyFill="1" applyBorder="1"/>
    <xf numFmtId="14" fontId="3" fillId="0" borderId="26" xfId="0" applyNumberFormat="1" applyFont="1" applyFill="1" applyBorder="1"/>
    <xf numFmtId="4" fontId="3" fillId="0" borderId="26" xfId="0" applyNumberFormat="1" applyFont="1" applyFill="1" applyBorder="1"/>
    <xf numFmtId="14" fontId="3" fillId="0" borderId="27" xfId="1" applyNumberFormat="1" applyFont="1" applyFill="1" applyBorder="1"/>
    <xf numFmtId="14" fontId="3" fillId="0" borderId="27" xfId="0" applyNumberFormat="1" applyFont="1" applyFill="1" applyBorder="1"/>
    <xf numFmtId="4" fontId="4" fillId="0" borderId="58" xfId="0" applyNumberFormat="1" applyFont="1" applyFill="1" applyBorder="1"/>
    <xf numFmtId="3" fontId="37" fillId="0" borderId="12" xfId="0" applyNumberFormat="1" applyFont="1" applyFill="1" applyBorder="1" applyAlignment="1">
      <alignment horizontal="right" indent="1"/>
    </xf>
    <xf numFmtId="43" fontId="0" fillId="0" borderId="0" xfId="1" applyFont="1"/>
    <xf numFmtId="4" fontId="3" fillId="0" borderId="0" xfId="0" applyNumberFormat="1" applyFont="1"/>
    <xf numFmtId="4" fontId="5" fillId="0" borderId="0" xfId="0" applyNumberFormat="1" applyFont="1" applyFill="1"/>
    <xf numFmtId="4" fontId="5" fillId="0" borderId="0" xfId="0" applyNumberFormat="1" applyFont="1" applyBorder="1"/>
    <xf numFmtId="4" fontId="7" fillId="0" borderId="0" xfId="0" applyNumberFormat="1" applyFont="1"/>
    <xf numFmtId="3" fontId="27" fillId="3" borderId="12" xfId="0" applyNumberFormat="1" applyFont="1" applyFill="1" applyBorder="1"/>
    <xf numFmtId="3" fontId="27" fillId="3" borderId="13" xfId="0" applyNumberFormat="1" applyFont="1" applyFill="1" applyBorder="1" applyAlignment="1">
      <alignment horizontal="right" indent="1"/>
    </xf>
    <xf numFmtId="0" fontId="6" fillId="0" borderId="24" xfId="0" applyFont="1" applyBorder="1"/>
    <xf numFmtId="0" fontId="6" fillId="0" borderId="25" xfId="0" applyFont="1" applyBorder="1"/>
    <xf numFmtId="14" fontId="6" fillId="0" borderId="26" xfId="0" applyNumberFormat="1" applyFont="1" applyBorder="1"/>
    <xf numFmtId="0" fontId="6" fillId="0" borderId="26" xfId="0" applyFont="1" applyBorder="1"/>
    <xf numFmtId="4" fontId="6" fillId="0" borderId="26" xfId="0" applyNumberFormat="1" applyFont="1" applyBorder="1"/>
    <xf numFmtId="164" fontId="6" fillId="0" borderId="26" xfId="0" applyNumberFormat="1" applyFont="1" applyBorder="1"/>
    <xf numFmtId="14" fontId="6" fillId="0" borderId="27" xfId="0" applyNumberFormat="1" applyFont="1" applyBorder="1"/>
    <xf numFmtId="164" fontId="6" fillId="0" borderId="25" xfId="0" applyNumberFormat="1" applyFont="1" applyBorder="1"/>
    <xf numFmtId="4" fontId="6" fillId="0" borderId="25" xfId="0" applyNumberFormat="1" applyFont="1" applyBorder="1"/>
    <xf numFmtId="0" fontId="6" fillId="0" borderId="27" xfId="0" applyFont="1" applyBorder="1"/>
    <xf numFmtId="43" fontId="6" fillId="0" borderId="0" xfId="1" applyFont="1"/>
    <xf numFmtId="0" fontId="7" fillId="4" borderId="24" xfId="0" applyFont="1" applyFill="1" applyBorder="1"/>
    <xf numFmtId="0" fontId="7" fillId="4" borderId="25" xfId="0" applyFont="1" applyFill="1" applyBorder="1"/>
    <xf numFmtId="14" fontId="7" fillId="4" borderId="26" xfId="0" applyNumberFormat="1" applyFont="1" applyFill="1" applyBorder="1"/>
    <xf numFmtId="4" fontId="7" fillId="4" borderId="26" xfId="0" applyNumberFormat="1" applyFont="1" applyFill="1" applyBorder="1"/>
    <xf numFmtId="164" fontId="7" fillId="4" borderId="26" xfId="0" applyNumberFormat="1" applyFont="1" applyFill="1" applyBorder="1"/>
    <xf numFmtId="14" fontId="7" fillId="4" borderId="27" xfId="1" applyNumberFormat="1" applyFont="1" applyFill="1" applyBorder="1"/>
    <xf numFmtId="4" fontId="7" fillId="4" borderId="25" xfId="0" applyNumberFormat="1" applyFont="1" applyFill="1" applyBorder="1"/>
    <xf numFmtId="4" fontId="7" fillId="4" borderId="24" xfId="0" applyNumberFormat="1" applyFont="1" applyFill="1" applyBorder="1"/>
    <xf numFmtId="0" fontId="31" fillId="0" borderId="25" xfId="0" applyFont="1" applyFill="1" applyBorder="1"/>
    <xf numFmtId="14" fontId="33" fillId="0" borderId="25" xfId="0" applyNumberFormat="1" applyFont="1" applyFill="1" applyBorder="1" applyAlignment="1">
      <alignment horizontal="right"/>
    </xf>
    <xf numFmtId="3" fontId="31" fillId="4" borderId="44" xfId="0" applyNumberFormat="1" applyFont="1" applyFill="1" applyBorder="1"/>
    <xf numFmtId="166" fontId="10" fillId="5" borderId="42" xfId="0" applyNumberFormat="1" applyFont="1" applyFill="1" applyBorder="1" applyAlignment="1">
      <alignment horizontal="center"/>
    </xf>
    <xf numFmtId="3" fontId="11" fillId="0" borderId="49" xfId="0" applyNumberFormat="1" applyFont="1" applyBorder="1"/>
    <xf numFmtId="3" fontId="11" fillId="0" borderId="42" xfId="0" applyNumberFormat="1" applyFont="1" applyBorder="1"/>
    <xf numFmtId="3" fontId="5" fillId="3" borderId="42" xfId="0" applyNumberFormat="1" applyFont="1" applyFill="1" applyBorder="1"/>
    <xf numFmtId="3" fontId="10" fillId="0" borderId="42" xfId="0" applyNumberFormat="1" applyFont="1" applyBorder="1"/>
    <xf numFmtId="3" fontId="11" fillId="0" borderId="42" xfId="0" applyNumberFormat="1" applyFont="1" applyFill="1" applyBorder="1"/>
    <xf numFmtId="3" fontId="11" fillId="7" borderId="42" xfId="0" applyNumberFormat="1" applyFont="1" applyFill="1" applyBorder="1"/>
    <xf numFmtId="3" fontId="11" fillId="0" borderId="11" xfId="0" applyNumberFormat="1" applyFont="1" applyBorder="1"/>
    <xf numFmtId="3" fontId="11" fillId="7" borderId="11" xfId="0" applyNumberFormat="1" applyFont="1" applyFill="1" applyBorder="1"/>
    <xf numFmtId="3" fontId="10" fillId="0" borderId="42" xfId="0" applyNumberFormat="1" applyFont="1" applyBorder="1" applyAlignment="1">
      <alignment horizontal="right"/>
    </xf>
    <xf numFmtId="3" fontId="2" fillId="0" borderId="42" xfId="0" applyNumberFormat="1" applyFont="1" applyBorder="1" applyAlignment="1">
      <alignment horizontal="right" indent="1"/>
    </xf>
    <xf numFmtId="3" fontId="7" fillId="0" borderId="42" xfId="0" applyNumberFormat="1" applyFont="1" applyBorder="1" applyAlignment="1">
      <alignment horizontal="right" indent="1"/>
    </xf>
    <xf numFmtId="3" fontId="11" fillId="0" borderId="42" xfId="0" applyNumberFormat="1" applyFont="1" applyBorder="1" applyAlignment="1">
      <alignment horizontal="right" indent="1"/>
    </xf>
    <xf numFmtId="166" fontId="14" fillId="4" borderId="44" xfId="0" applyNumberFormat="1" applyFont="1" applyFill="1" applyBorder="1"/>
    <xf numFmtId="3" fontId="11" fillId="0" borderId="43" xfId="0" applyNumberFormat="1" applyFont="1" applyBorder="1"/>
    <xf numFmtId="3" fontId="5" fillId="3" borderId="43" xfId="0" applyNumberFormat="1" applyFont="1" applyFill="1" applyBorder="1"/>
    <xf numFmtId="3" fontId="10" fillId="0" borderId="43" xfId="0" applyNumberFormat="1" applyFont="1" applyBorder="1"/>
    <xf numFmtId="3" fontId="11" fillId="7" borderId="43" xfId="0" applyNumberFormat="1" applyFont="1" applyFill="1" applyBorder="1"/>
    <xf numFmtId="3" fontId="2" fillId="0" borderId="43" xfId="0" applyNumberFormat="1" applyFont="1" applyBorder="1" applyAlignment="1">
      <alignment horizontal="right" indent="1"/>
    </xf>
    <xf numFmtId="3" fontId="11" fillId="0" borderId="43" xfId="0" applyNumberFormat="1" applyFont="1" applyFill="1" applyBorder="1" applyAlignment="1">
      <alignment horizontal="right" indent="1"/>
    </xf>
    <xf numFmtId="3" fontId="11" fillId="0" borderId="43" xfId="0" applyNumberFormat="1" applyFont="1" applyBorder="1" applyAlignment="1">
      <alignment horizontal="right" indent="1"/>
    </xf>
    <xf numFmtId="166" fontId="10" fillId="5" borderId="43" xfId="0" applyNumberFormat="1" applyFont="1" applyFill="1" applyBorder="1" applyAlignment="1">
      <alignment horizontal="center"/>
    </xf>
    <xf numFmtId="166" fontId="14" fillId="4" borderId="45" xfId="0" applyNumberFormat="1" applyFont="1" applyFill="1" applyBorder="1"/>
    <xf numFmtId="3" fontId="37" fillId="0" borderId="13" xfId="0" applyNumberFormat="1" applyFont="1" applyFill="1" applyBorder="1" applyAlignment="1">
      <alignment horizontal="right" indent="1"/>
    </xf>
    <xf numFmtId="3" fontId="2" fillId="0" borderId="11" xfId="0" applyNumberFormat="1" applyFont="1" applyBorder="1" applyAlignment="1">
      <alignment horizontal="right" indent="1"/>
    </xf>
    <xf numFmtId="3" fontId="10" fillId="0" borderId="12" xfId="0" applyNumberFormat="1" applyFont="1" applyFill="1" applyBorder="1"/>
    <xf numFmtId="0" fontId="33" fillId="4" borderId="19" xfId="0" applyFont="1" applyFill="1" applyBorder="1"/>
    <xf numFmtId="3" fontId="33" fillId="4" borderId="54" xfId="0" applyNumberFormat="1" applyFont="1" applyFill="1" applyBorder="1"/>
    <xf numFmtId="3" fontId="33" fillId="4" borderId="21" xfId="0" applyNumberFormat="1" applyFont="1" applyFill="1" applyBorder="1"/>
    <xf numFmtId="0" fontId="33" fillId="4" borderId="51" xfId="0" applyFont="1" applyFill="1" applyBorder="1"/>
    <xf numFmtId="0" fontId="33" fillId="4" borderId="21" xfId="0" applyFont="1" applyFill="1" applyBorder="1"/>
    <xf numFmtId="0" fontId="33" fillId="4" borderId="11" xfId="0" applyFont="1" applyFill="1" applyBorder="1"/>
    <xf numFmtId="3" fontId="33" fillId="4" borderId="42" xfId="0" applyNumberFormat="1" applyFont="1" applyFill="1" applyBorder="1"/>
    <xf numFmtId="3" fontId="33" fillId="4" borderId="13" xfId="0" applyNumberFormat="1" applyFont="1" applyFill="1" applyBorder="1"/>
    <xf numFmtId="0" fontId="33" fillId="4" borderId="55" xfId="0" applyFont="1" applyFill="1" applyBorder="1"/>
    <xf numFmtId="0" fontId="33" fillId="4" borderId="13" xfId="0" applyFont="1" applyFill="1" applyBorder="1"/>
    <xf numFmtId="3" fontId="33" fillId="4" borderId="59" xfId="0" applyNumberFormat="1" applyFont="1" applyFill="1" applyBorder="1"/>
    <xf numFmtId="0" fontId="33" fillId="4" borderId="60" xfId="0" applyFont="1" applyFill="1" applyBorder="1"/>
    <xf numFmtId="0" fontId="33" fillId="4" borderId="27" xfId="0" applyFont="1" applyFill="1" applyBorder="1"/>
    <xf numFmtId="0" fontId="33" fillId="4" borderId="25" xfId="0" applyFont="1" applyFill="1" applyBorder="1"/>
    <xf numFmtId="14" fontId="33" fillId="4" borderId="25" xfId="0" applyNumberFormat="1" applyFont="1" applyFill="1" applyBorder="1" applyAlignment="1">
      <alignment horizontal="right"/>
    </xf>
    <xf numFmtId="3" fontId="33" fillId="4" borderId="27" xfId="0" applyNumberFormat="1" applyFont="1" applyFill="1" applyBorder="1"/>
    <xf numFmtId="0" fontId="33" fillId="4" borderId="15" xfId="0" applyFont="1" applyFill="1" applyBorder="1"/>
    <xf numFmtId="3" fontId="33" fillId="4" borderId="44" xfId="0" applyNumberFormat="1" applyFont="1" applyFill="1" applyBorder="1"/>
    <xf numFmtId="14" fontId="33" fillId="4" borderId="15" xfId="0" applyNumberFormat="1" applyFont="1" applyFill="1" applyBorder="1" applyAlignment="1">
      <alignment horizontal="right"/>
    </xf>
    <xf numFmtId="3" fontId="33" fillId="4" borderId="17" xfId="0" applyNumberFormat="1" applyFont="1" applyFill="1" applyBorder="1"/>
    <xf numFmtId="0" fontId="33" fillId="4" borderId="52" xfId="0" applyFont="1" applyFill="1" applyBorder="1"/>
    <xf numFmtId="0" fontId="33" fillId="4" borderId="17" xfId="0" applyFont="1" applyFill="1" applyBorder="1"/>
    <xf numFmtId="0" fontId="7" fillId="0" borderId="19" xfId="0" applyFont="1" applyFill="1" applyBorder="1"/>
    <xf numFmtId="4" fontId="7" fillId="0" borderId="20" xfId="0" applyNumberFormat="1" applyFont="1" applyFill="1" applyBorder="1"/>
    <xf numFmtId="164" fontId="7" fillId="0" borderId="20" xfId="0" applyNumberFormat="1" applyFont="1" applyFill="1" applyBorder="1"/>
    <xf numFmtId="14" fontId="17" fillId="0" borderId="27" xfId="0" applyNumberFormat="1" applyFont="1" applyFill="1" applyBorder="1" applyAlignment="1">
      <alignment horizontal="right"/>
    </xf>
    <xf numFmtId="164" fontId="7" fillId="4" borderId="32" xfId="0" applyNumberFormat="1" applyFont="1" applyFill="1" applyBorder="1"/>
    <xf numFmtId="164" fontId="7" fillId="4" borderId="0" xfId="0" applyNumberFormat="1" applyFont="1" applyFill="1" applyBorder="1"/>
    <xf numFmtId="164" fontId="7" fillId="4" borderId="22" xfId="0" applyNumberFormat="1" applyFont="1" applyFill="1" applyBorder="1"/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1" fontId="6" fillId="0" borderId="6" xfId="0" applyNumberFormat="1" applyFont="1" applyBorder="1" applyAlignment="1">
      <alignment horizontal="center"/>
    </xf>
    <xf numFmtId="43" fontId="7" fillId="0" borderId="0" xfId="1" applyFont="1"/>
    <xf numFmtId="0" fontId="7" fillId="0" borderId="24" xfId="0" applyFont="1" applyFill="1" applyBorder="1"/>
    <xf numFmtId="14" fontId="7" fillId="0" borderId="26" xfId="0" applyNumberFormat="1" applyFont="1" applyFill="1" applyBorder="1"/>
    <xf numFmtId="0" fontId="7" fillId="0" borderId="26" xfId="0" applyFont="1" applyFill="1" applyBorder="1"/>
    <xf numFmtId="4" fontId="7" fillId="0" borderId="26" xfId="0" applyNumberFormat="1" applyFont="1" applyFill="1" applyBorder="1"/>
    <xf numFmtId="14" fontId="7" fillId="0" borderId="27" xfId="0" applyNumberFormat="1" applyFont="1" applyFill="1" applyBorder="1"/>
    <xf numFmtId="164" fontId="7" fillId="0" borderId="25" xfId="0" applyNumberFormat="1" applyFont="1" applyFill="1" applyBorder="1"/>
    <xf numFmtId="4" fontId="7" fillId="0" borderId="25" xfId="0" applyNumberFormat="1" applyFont="1" applyFill="1" applyBorder="1"/>
    <xf numFmtId="0" fontId="7" fillId="0" borderId="27" xfId="0" applyFont="1" applyFill="1" applyBorder="1"/>
    <xf numFmtId="4" fontId="7" fillId="0" borderId="24" xfId="0" applyNumberFormat="1" applyFont="1" applyFill="1" applyBorder="1"/>
    <xf numFmtId="4" fontId="7" fillId="0" borderId="21" xfId="0" applyNumberFormat="1" applyFont="1" applyFill="1" applyBorder="1"/>
    <xf numFmtId="4" fontId="7" fillId="0" borderId="13" xfId="0" applyNumberFormat="1" applyFont="1" applyFill="1" applyBorder="1"/>
    <xf numFmtId="3" fontId="11" fillId="0" borderId="11" xfId="0" applyNumberFormat="1" applyFont="1" applyFill="1" applyBorder="1"/>
    <xf numFmtId="3" fontId="11" fillId="0" borderId="13" xfId="0" applyNumberFormat="1" applyFont="1" applyFill="1" applyBorder="1"/>
    <xf numFmtId="3" fontId="11" fillId="0" borderId="42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 applyAlignment="1">
      <alignment horizontal="right" indent="1"/>
    </xf>
    <xf numFmtId="3" fontId="40" fillId="0" borderId="55" xfId="0" applyNumberFormat="1" applyFont="1" applyFill="1" applyBorder="1" applyAlignment="1">
      <alignment horizontal="right"/>
    </xf>
    <xf numFmtId="3" fontId="40" fillId="0" borderId="13" xfId="0" applyNumberFormat="1" applyFont="1" applyFill="1" applyBorder="1" applyAlignment="1">
      <alignment horizontal="right"/>
    </xf>
    <xf numFmtId="14" fontId="33" fillId="4" borderId="5" xfId="0" applyNumberFormat="1" applyFont="1" applyFill="1" applyBorder="1" applyAlignment="1">
      <alignment horizontal="center"/>
    </xf>
    <xf numFmtId="14" fontId="33" fillId="0" borderId="18" xfId="0" applyNumberFormat="1" applyFont="1" applyFill="1" applyBorder="1" applyAlignment="1">
      <alignment horizontal="center"/>
    </xf>
    <xf numFmtId="14" fontId="33" fillId="0" borderId="14" xfId="0" applyNumberFormat="1" applyFont="1" applyFill="1" applyBorder="1" applyAlignment="1">
      <alignment horizontal="center"/>
    </xf>
    <xf numFmtId="3" fontId="33" fillId="0" borderId="19" xfId="0" applyNumberFormat="1" applyFont="1" applyFill="1" applyBorder="1" applyAlignment="1">
      <alignment horizontal="right"/>
    </xf>
    <xf numFmtId="0" fontId="31" fillId="0" borderId="15" xfId="0" applyFont="1" applyFill="1" applyBorder="1" applyAlignment="1">
      <alignment horizontal="center"/>
    </xf>
    <xf numFmtId="0" fontId="31" fillId="0" borderId="17" xfId="0" applyFont="1" applyFill="1" applyBorder="1" applyAlignment="1">
      <alignment horizontal="center"/>
    </xf>
    <xf numFmtId="0" fontId="3" fillId="0" borderId="15" xfId="0" applyFont="1" applyFill="1" applyBorder="1"/>
    <xf numFmtId="0" fontId="3" fillId="0" borderId="16" xfId="0" applyFont="1" applyFill="1" applyBorder="1"/>
    <xf numFmtId="4" fontId="3" fillId="0" borderId="16" xfId="0" applyNumberFormat="1" applyFont="1" applyFill="1" applyBorder="1"/>
    <xf numFmtId="164" fontId="3" fillId="0" borderId="16" xfId="0" applyNumberFormat="1" applyFont="1" applyFill="1" applyBorder="1"/>
    <xf numFmtId="14" fontId="3" fillId="0" borderId="16" xfId="0" applyNumberFormat="1" applyFont="1" applyFill="1" applyBorder="1"/>
    <xf numFmtId="14" fontId="3" fillId="0" borderId="17" xfId="0" applyNumberFormat="1" applyFont="1" applyFill="1" applyBorder="1" applyAlignment="1">
      <alignment horizontal="right"/>
    </xf>
    <xf numFmtId="3" fontId="13" fillId="0" borderId="12" xfId="0" applyNumberFormat="1" applyFont="1" applyFill="1" applyBorder="1"/>
    <xf numFmtId="3" fontId="11" fillId="0" borderId="0" xfId="0" applyNumberFormat="1" applyFont="1" applyFill="1" applyBorder="1"/>
    <xf numFmtId="3" fontId="13" fillId="0" borderId="12" xfId="0" applyNumberFormat="1" applyFont="1" applyBorder="1"/>
    <xf numFmtId="3" fontId="13" fillId="0" borderId="42" xfId="0" applyNumberFormat="1" applyFont="1" applyFill="1" applyBorder="1"/>
    <xf numFmtId="0" fontId="41" fillId="0" borderId="2" xfId="0" applyFont="1" applyFill="1" applyBorder="1" applyAlignment="1">
      <alignment horizontal="center" vertical="center"/>
    </xf>
    <xf numFmtId="0" fontId="42" fillId="0" borderId="28" xfId="0" applyFont="1" applyFill="1" applyBorder="1"/>
    <xf numFmtId="170" fontId="42" fillId="0" borderId="28" xfId="0" applyNumberFormat="1" applyFont="1" applyFill="1" applyBorder="1"/>
    <xf numFmtId="0" fontId="0" fillId="0" borderId="28" xfId="0" applyFont="1" applyFill="1" applyBorder="1" applyAlignment="1">
      <alignment wrapText="1"/>
    </xf>
    <xf numFmtId="171" fontId="0" fillId="0" borderId="28" xfId="0" applyNumberFormat="1" applyFont="1" applyFill="1" applyBorder="1" applyAlignment="1">
      <alignment horizontal="right" wrapText="1"/>
    </xf>
    <xf numFmtId="14" fontId="42" fillId="0" borderId="28" xfId="0" applyNumberFormat="1" applyFont="1" applyFill="1" applyBorder="1"/>
    <xf numFmtId="14" fontId="42" fillId="0" borderId="28" xfId="0" applyNumberFormat="1" applyFont="1" applyFill="1" applyBorder="1" applyAlignment="1">
      <alignment horizontal="right"/>
    </xf>
    <xf numFmtId="0" fontId="43" fillId="0" borderId="28" xfId="0" applyFont="1" applyFill="1" applyBorder="1"/>
    <xf numFmtId="9" fontId="7" fillId="0" borderId="20" xfId="0" applyNumberFormat="1" applyFont="1" applyFill="1" applyBorder="1"/>
    <xf numFmtId="9" fontId="7" fillId="0" borderId="12" xfId="0" applyNumberFormat="1" applyFont="1" applyFill="1" applyBorder="1"/>
    <xf numFmtId="176" fontId="7" fillId="0" borderId="21" xfId="0" applyNumberFormat="1" applyFont="1" applyFill="1" applyBorder="1"/>
    <xf numFmtId="176" fontId="7" fillId="0" borderId="13" xfId="0" applyNumberFormat="1" applyFont="1" applyFill="1" applyBorder="1"/>
    <xf numFmtId="14" fontId="6" fillId="0" borderId="0" xfId="0" applyNumberFormat="1" applyFont="1" applyFill="1"/>
    <xf numFmtId="14" fontId="2" fillId="0" borderId="0" xfId="0" applyNumberFormat="1" applyFont="1" applyFill="1"/>
    <xf numFmtId="175" fontId="7" fillId="4" borderId="33" xfId="0" applyNumberFormat="1" applyFont="1" applyFill="1" applyBorder="1" applyAlignment="1">
      <alignment horizontal="center"/>
    </xf>
    <xf numFmtId="0" fontId="7" fillId="4" borderId="0" xfId="0" applyFont="1" applyFill="1" applyBorder="1"/>
    <xf numFmtId="0" fontId="7" fillId="4" borderId="0" xfId="0" applyFont="1" applyFill="1" applyBorder="1" applyAlignment="1">
      <alignment horizontal="center"/>
    </xf>
    <xf numFmtId="4" fontId="7" fillId="4" borderId="0" xfId="0" applyNumberFormat="1" applyFont="1" applyFill="1" applyBorder="1"/>
    <xf numFmtId="14" fontId="7" fillId="4" borderId="0" xfId="0" applyNumberFormat="1" applyFont="1" applyFill="1" applyBorder="1"/>
    <xf numFmtId="0" fontId="4" fillId="4" borderId="0" xfId="0" applyFont="1" applyFill="1" applyBorder="1"/>
    <xf numFmtId="175" fontId="7" fillId="4" borderId="31" xfId="0" applyNumberFormat="1" applyFont="1" applyFill="1" applyBorder="1" applyAlignment="1">
      <alignment horizontal="center"/>
    </xf>
    <xf numFmtId="0" fontId="7" fillId="4" borderId="32" xfId="0" applyFont="1" applyFill="1" applyBorder="1"/>
    <xf numFmtId="0" fontId="7" fillId="4" borderId="32" xfId="0" applyFont="1" applyFill="1" applyBorder="1" applyAlignment="1">
      <alignment horizontal="center"/>
    </xf>
    <xf numFmtId="4" fontId="7" fillId="4" borderId="32" xfId="0" applyNumberFormat="1" applyFont="1" applyFill="1" applyBorder="1"/>
    <xf numFmtId="14" fontId="7" fillId="4" borderId="32" xfId="0" applyNumberFormat="1" applyFont="1" applyFill="1" applyBorder="1"/>
    <xf numFmtId="0" fontId="4" fillId="4" borderId="32" xfId="0" applyFont="1" applyFill="1" applyBorder="1"/>
    <xf numFmtId="175" fontId="7" fillId="4" borderId="36" xfId="0" applyNumberFormat="1" applyFont="1" applyFill="1" applyBorder="1" applyAlignment="1">
      <alignment horizontal="center"/>
    </xf>
    <xf numFmtId="0" fontId="7" fillId="4" borderId="22" xfId="0" applyFont="1" applyFill="1" applyBorder="1"/>
    <xf numFmtId="0" fontId="7" fillId="4" borderId="22" xfId="0" applyFont="1" applyFill="1" applyBorder="1" applyAlignment="1">
      <alignment horizontal="center"/>
    </xf>
    <xf numFmtId="4" fontId="7" fillId="4" borderId="22" xfId="0" applyNumberFormat="1" applyFont="1" applyFill="1" applyBorder="1"/>
    <xf numFmtId="14" fontId="7" fillId="4" borderId="22" xfId="0" applyNumberFormat="1" applyFont="1" applyFill="1" applyBorder="1"/>
    <xf numFmtId="0" fontId="4" fillId="4" borderId="22" xfId="0" applyFont="1" applyFill="1" applyBorder="1"/>
    <xf numFmtId="0" fontId="33" fillId="4" borderId="5" xfId="0" applyFont="1" applyFill="1" applyBorder="1"/>
    <xf numFmtId="3" fontId="33" fillId="4" borderId="46" xfId="0" applyNumberFormat="1" applyFont="1" applyFill="1" applyBorder="1"/>
    <xf numFmtId="14" fontId="33" fillId="4" borderId="5" xfId="0" applyNumberFormat="1" applyFont="1" applyFill="1" applyBorder="1" applyAlignment="1">
      <alignment horizontal="right"/>
    </xf>
    <xf numFmtId="3" fontId="33" fillId="4" borderId="7" xfId="0" applyNumberFormat="1" applyFont="1" applyFill="1" applyBorder="1"/>
    <xf numFmtId="14" fontId="36" fillId="4" borderId="15" xfId="0" applyNumberFormat="1" applyFont="1" applyFill="1" applyBorder="1" applyAlignment="1">
      <alignment horizontal="right"/>
    </xf>
    <xf numFmtId="3" fontId="36" fillId="4" borderId="16" xfId="0" applyNumberFormat="1" applyFont="1" applyFill="1" applyBorder="1" applyAlignment="1">
      <alignment horizontal="right"/>
    </xf>
    <xf numFmtId="14" fontId="7" fillId="4" borderId="32" xfId="0" applyNumberFormat="1" applyFont="1" applyFill="1" applyBorder="1" applyAlignment="1">
      <alignment horizontal="center"/>
    </xf>
    <xf numFmtId="14" fontId="7" fillId="4" borderId="0" xfId="0" applyNumberFormat="1" applyFont="1" applyFill="1" applyBorder="1" applyAlignment="1">
      <alignment horizontal="center"/>
    </xf>
    <xf numFmtId="164" fontId="7" fillId="0" borderId="0" xfId="0" applyNumberFormat="1" applyFont="1"/>
    <xf numFmtId="175" fontId="7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4" fontId="7" fillId="0" borderId="0" xfId="0" applyNumberFormat="1" applyFont="1" applyBorder="1"/>
    <xf numFmtId="164" fontId="7" fillId="0" borderId="0" xfId="0" applyNumberFormat="1" applyFont="1" applyBorder="1"/>
    <xf numFmtId="14" fontId="7" fillId="0" borderId="0" xfId="0" applyNumberFormat="1" applyFont="1" applyBorder="1"/>
    <xf numFmtId="0" fontId="4" fillId="0" borderId="0" xfId="0" applyFont="1" applyBorder="1"/>
    <xf numFmtId="17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7" fillId="0" borderId="0" xfId="0" applyNumberFormat="1" applyFont="1"/>
    <xf numFmtId="0" fontId="4" fillId="0" borderId="0" xfId="0" applyFont="1"/>
    <xf numFmtId="3" fontId="40" fillId="4" borderId="55" xfId="0" applyNumberFormat="1" applyFont="1" applyFill="1" applyBorder="1" applyAlignment="1">
      <alignment horizontal="right"/>
    </xf>
    <xf numFmtId="3" fontId="40" fillId="4" borderId="13" xfId="0" applyNumberFormat="1" applyFont="1" applyFill="1" applyBorder="1" applyAlignment="1">
      <alignment horizontal="right"/>
    </xf>
    <xf numFmtId="3" fontId="19" fillId="7" borderId="15" xfId="0" applyNumberFormat="1" applyFont="1" applyFill="1" applyBorder="1"/>
    <xf numFmtId="3" fontId="19" fillId="7" borderId="16" xfId="0" applyNumberFormat="1" applyFont="1" applyFill="1" applyBorder="1"/>
    <xf numFmtId="3" fontId="19" fillId="7" borderId="17" xfId="0" applyNumberFormat="1" applyFont="1" applyFill="1" applyBorder="1"/>
    <xf numFmtId="3" fontId="16" fillId="6" borderId="64" xfId="0" applyNumberFormat="1" applyFont="1" applyFill="1" applyBorder="1" applyAlignment="1">
      <alignment horizontal="center"/>
    </xf>
    <xf numFmtId="3" fontId="16" fillId="6" borderId="65" xfId="0" applyNumberFormat="1" applyFont="1" applyFill="1" applyBorder="1" applyAlignment="1">
      <alignment horizontal="center"/>
    </xf>
    <xf numFmtId="3" fontId="10" fillId="0" borderId="19" xfId="0" applyNumberFormat="1" applyFont="1" applyBorder="1" applyAlignment="1">
      <alignment horizontal="right"/>
    </xf>
    <xf numFmtId="3" fontId="10" fillId="0" borderId="20" xfId="0" applyNumberFormat="1" applyFont="1" applyBorder="1" applyAlignment="1">
      <alignment horizontal="right"/>
    </xf>
    <xf numFmtId="3" fontId="10" fillId="0" borderId="21" xfId="0" applyNumberFormat="1" applyFont="1" applyBorder="1" applyAlignment="1">
      <alignment horizontal="right"/>
    </xf>
    <xf numFmtId="3" fontId="27" fillId="0" borderId="11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 applyAlignment="1">
      <alignment horizontal="center"/>
    </xf>
    <xf numFmtId="3" fontId="11" fillId="0" borderId="39" xfId="0" applyNumberFormat="1" applyFont="1" applyFill="1" applyBorder="1" applyAlignment="1">
      <alignment horizontal="center"/>
    </xf>
    <xf numFmtId="3" fontId="27" fillId="0" borderId="12" xfId="0" applyNumberFormat="1" applyFont="1" applyFill="1" applyBorder="1"/>
    <xf numFmtId="3" fontId="11" fillId="0" borderId="43" xfId="0" applyNumberFormat="1" applyFont="1" applyFill="1" applyBorder="1"/>
    <xf numFmtId="3" fontId="11" fillId="0" borderId="39" xfId="0" applyNumberFormat="1" applyFont="1" applyFill="1" applyBorder="1" applyAlignment="1">
      <alignment horizontal="right" indent="1"/>
    </xf>
    <xf numFmtId="3" fontId="19" fillId="0" borderId="12" xfId="0" applyNumberFormat="1" applyFont="1" applyFill="1" applyBorder="1" applyAlignment="1">
      <alignment horizontal="right" indent="1"/>
    </xf>
    <xf numFmtId="175" fontId="12" fillId="6" borderId="26" xfId="0" applyNumberFormat="1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4" fontId="12" fillId="6" borderId="26" xfId="0" applyNumberFormat="1" applyFont="1" applyFill="1" applyBorder="1" applyAlignment="1">
      <alignment horizontal="center" vertical="center" wrapText="1"/>
    </xf>
    <xf numFmtId="164" fontId="12" fillId="6" borderId="26" xfId="0" applyNumberFormat="1" applyFont="1" applyFill="1" applyBorder="1" applyAlignment="1">
      <alignment horizontal="center" vertical="center" wrapText="1"/>
    </xf>
    <xf numFmtId="14" fontId="12" fillId="6" borderId="26" xfId="0" applyNumberFormat="1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4" fontId="11" fillId="0" borderId="0" xfId="0" applyNumberFormat="1" applyFont="1"/>
    <xf numFmtId="177" fontId="6" fillId="0" borderId="0" xfId="1" applyNumberFormat="1" applyFont="1" applyFill="1"/>
    <xf numFmtId="178" fontId="6" fillId="0" borderId="0" xfId="0" applyNumberFormat="1" applyFont="1" applyFill="1"/>
    <xf numFmtId="178" fontId="2" fillId="0" borderId="0" xfId="0" applyNumberFormat="1" applyFont="1" applyFill="1"/>
    <xf numFmtId="4" fontId="7" fillId="0" borderId="27" xfId="0" applyNumberFormat="1" applyFont="1" applyFill="1" applyBorder="1"/>
    <xf numFmtId="3" fontId="2" fillId="0" borderId="12" xfId="0" applyNumberFormat="1" applyFont="1" applyFill="1" applyBorder="1" applyAlignment="1">
      <alignment horizontal="right" indent="1"/>
    </xf>
    <xf numFmtId="175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4" fontId="7" fillId="0" borderId="0" xfId="0" applyNumberFormat="1" applyFont="1" applyFill="1" applyBorder="1"/>
    <xf numFmtId="14" fontId="7" fillId="0" borderId="0" xfId="0" applyNumberFormat="1" applyFont="1" applyFill="1" applyBorder="1"/>
    <xf numFmtId="175" fontId="7" fillId="0" borderId="31" xfId="0" applyNumberFormat="1" applyFont="1" applyFill="1" applyBorder="1" applyAlignment="1">
      <alignment horizontal="center"/>
    </xf>
    <xf numFmtId="0" fontId="7" fillId="0" borderId="32" xfId="0" applyFont="1" applyFill="1" applyBorder="1"/>
    <xf numFmtId="0" fontId="7" fillId="0" borderId="32" xfId="0" applyFont="1" applyFill="1" applyBorder="1" applyAlignment="1">
      <alignment horizontal="center"/>
    </xf>
    <xf numFmtId="4" fontId="7" fillId="0" borderId="32" xfId="0" applyNumberFormat="1" applyFont="1" applyFill="1" applyBorder="1"/>
    <xf numFmtId="164" fontId="7" fillId="0" borderId="32" xfId="0" applyNumberFormat="1" applyFont="1" applyFill="1" applyBorder="1"/>
    <xf numFmtId="175" fontId="7" fillId="0" borderId="33" xfId="0" applyNumberFormat="1" applyFont="1" applyFill="1" applyBorder="1" applyAlignment="1">
      <alignment horizontal="center"/>
    </xf>
    <xf numFmtId="175" fontId="7" fillId="0" borderId="36" xfId="0" applyNumberFormat="1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2" xfId="0" applyFont="1" applyFill="1" applyBorder="1" applyAlignment="1">
      <alignment horizontal="center"/>
    </xf>
    <xf numFmtId="4" fontId="7" fillId="0" borderId="22" xfId="0" applyNumberFormat="1" applyFont="1" applyFill="1" applyBorder="1"/>
    <xf numFmtId="164" fontId="7" fillId="0" borderId="22" xfId="0" applyNumberFormat="1" applyFont="1" applyFill="1" applyBorder="1"/>
    <xf numFmtId="14" fontId="7" fillId="0" borderId="22" xfId="0" applyNumberFormat="1" applyFont="1" applyFill="1" applyBorder="1"/>
    <xf numFmtId="0" fontId="4" fillId="0" borderId="22" xfId="0" applyFont="1" applyFill="1" applyBorder="1"/>
    <xf numFmtId="4" fontId="4" fillId="0" borderId="25" xfId="0" applyNumberFormat="1" applyFont="1" applyFill="1" applyBorder="1"/>
    <xf numFmtId="0" fontId="4" fillId="0" borderId="24" xfId="0" applyFont="1" applyBorder="1"/>
    <xf numFmtId="0" fontId="4" fillId="0" borderId="25" xfId="0" applyFont="1" applyBorder="1"/>
    <xf numFmtId="14" fontId="4" fillId="0" borderId="26" xfId="0" applyNumberFormat="1" applyFont="1" applyBorder="1"/>
    <xf numFmtId="0" fontId="4" fillId="0" borderId="26" xfId="0" applyFont="1" applyBorder="1"/>
    <xf numFmtId="4" fontId="4" fillId="0" borderId="26" xfId="0" applyNumberFormat="1" applyFont="1" applyBorder="1"/>
    <xf numFmtId="164" fontId="4" fillId="0" borderId="26" xfId="0" applyNumberFormat="1" applyFont="1" applyBorder="1"/>
    <xf numFmtId="14" fontId="4" fillId="0" borderId="27" xfId="0" applyNumberFormat="1" applyFont="1" applyBorder="1"/>
    <xf numFmtId="164" fontId="4" fillId="0" borderId="25" xfId="0" applyNumberFormat="1" applyFont="1" applyBorder="1"/>
    <xf numFmtId="0" fontId="4" fillId="0" borderId="27" xfId="0" applyFont="1" applyBorder="1"/>
    <xf numFmtId="4" fontId="4" fillId="0" borderId="24" xfId="0" applyNumberFormat="1" applyFont="1" applyFill="1" applyBorder="1"/>
    <xf numFmtId="4" fontId="4" fillId="0" borderId="0" xfId="0" applyNumberFormat="1" applyFont="1"/>
    <xf numFmtId="43" fontId="4" fillId="0" borderId="0" xfId="1" applyFont="1"/>
    <xf numFmtId="0" fontId="18" fillId="0" borderId="0" xfId="0" applyFont="1" applyFill="1" applyAlignment="1">
      <alignment horizontal="center"/>
    </xf>
    <xf numFmtId="16" fontId="7" fillId="0" borderId="0" xfId="0" applyNumberFormat="1" applyFont="1" applyFill="1"/>
    <xf numFmtId="164" fontId="44" fillId="0" borderId="7" xfId="0" applyNumberFormat="1" applyFont="1" applyFill="1" applyBorder="1"/>
    <xf numFmtId="0" fontId="2" fillId="0" borderId="10" xfId="0" applyFont="1" applyFill="1" applyBorder="1" applyAlignment="1">
      <alignment horizontal="left" indent="2"/>
    </xf>
    <xf numFmtId="0" fontId="11" fillId="0" borderId="0" xfId="0" applyFont="1" applyFill="1"/>
    <xf numFmtId="3" fontId="19" fillId="0" borderId="42" xfId="0" applyNumberFormat="1" applyFont="1" applyFill="1" applyBorder="1"/>
    <xf numFmtId="14" fontId="31" fillId="4" borderId="11" xfId="0" applyNumberFormat="1" applyFont="1" applyFill="1" applyBorder="1" applyAlignment="1">
      <alignment horizontal="right"/>
    </xf>
    <xf numFmtId="3" fontId="31" fillId="4" borderId="27" xfId="0" applyNumberFormat="1" applyFont="1" applyFill="1" applyBorder="1"/>
    <xf numFmtId="0" fontId="31" fillId="4" borderId="25" xfId="0" applyFont="1" applyFill="1" applyBorder="1"/>
    <xf numFmtId="3" fontId="27" fillId="0" borderId="42" xfId="0" applyNumberFormat="1" applyFont="1" applyFill="1" applyBorder="1" applyAlignment="1">
      <alignment horizontal="right" indent="1"/>
    </xf>
    <xf numFmtId="0" fontId="12" fillId="6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75" fontId="7" fillId="4" borderId="2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vertical="center"/>
    </xf>
    <xf numFmtId="164" fontId="7" fillId="4" borderId="3" xfId="0" applyNumberFormat="1" applyFont="1" applyFill="1" applyBorder="1" applyAlignment="1">
      <alignment vertical="center"/>
    </xf>
    <xf numFmtId="14" fontId="7" fillId="4" borderId="3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vertical="center"/>
    </xf>
    <xf numFmtId="175" fontId="7" fillId="0" borderId="2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175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Alignment="1">
      <alignment vertical="center"/>
    </xf>
    <xf numFmtId="175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14" fontId="7" fillId="0" borderId="0" xfId="0" applyNumberFormat="1" applyFont="1" applyAlignment="1">
      <alignment vertical="center"/>
    </xf>
    <xf numFmtId="175" fontId="7" fillId="4" borderId="3" xfId="0" applyNumberFormat="1" applyFont="1" applyFill="1" applyBorder="1" applyAlignment="1">
      <alignment horizontal="center" vertical="center"/>
    </xf>
    <xf numFmtId="175" fontId="7" fillId="0" borderId="2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vertical="center"/>
    </xf>
    <xf numFmtId="175" fontId="7" fillId="0" borderId="3" xfId="0" applyNumberFormat="1" applyFont="1" applyBorder="1" applyAlignment="1">
      <alignment horizontal="center" vertical="center"/>
    </xf>
    <xf numFmtId="175" fontId="7" fillId="0" borderId="3" xfId="0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vertical="center"/>
    </xf>
    <xf numFmtId="3" fontId="12" fillId="6" borderId="17" xfId="0" applyNumberFormat="1" applyFont="1" applyFill="1" applyBorder="1"/>
    <xf numFmtId="3" fontId="11" fillId="0" borderId="29" xfId="0" applyNumberFormat="1" applyFont="1" applyBorder="1"/>
    <xf numFmtId="3" fontId="11" fillId="0" borderId="30" xfId="0" applyNumberFormat="1" applyFont="1" applyBorder="1"/>
    <xf numFmtId="3" fontId="11" fillId="0" borderId="50" xfId="0" applyNumberFormat="1" applyFont="1" applyBorder="1"/>
    <xf numFmtId="3" fontId="10" fillId="5" borderId="18" xfId="0" applyNumberFormat="1" applyFont="1" applyFill="1" applyBorder="1" applyAlignment="1">
      <alignment horizontal="center"/>
    </xf>
    <xf numFmtId="166" fontId="10" fillId="5" borderId="10" xfId="0" applyNumberFormat="1" applyFont="1" applyFill="1" applyBorder="1" applyAlignment="1">
      <alignment horizontal="center"/>
    </xf>
    <xf numFmtId="3" fontId="12" fillId="6" borderId="14" xfId="0" applyNumberFormat="1" applyFont="1" applyFill="1" applyBorder="1"/>
    <xf numFmtId="3" fontId="27" fillId="3" borderId="42" xfId="0" applyNumberFormat="1" applyFont="1" applyFill="1" applyBorder="1" applyAlignment="1">
      <alignment horizontal="right" indent="1"/>
    </xf>
    <xf numFmtId="3" fontId="14" fillId="0" borderId="12" xfId="0" applyNumberFormat="1" applyFont="1" applyFill="1" applyBorder="1"/>
    <xf numFmtId="3" fontId="11" fillId="3" borderId="11" xfId="0" applyNumberFormat="1" applyFont="1" applyFill="1" applyBorder="1"/>
    <xf numFmtId="16" fontId="7" fillId="0" borderId="12" xfId="0" applyNumberFormat="1" applyFont="1" applyFill="1" applyBorder="1"/>
    <xf numFmtId="16" fontId="7" fillId="0" borderId="26" xfId="0" applyNumberFormat="1" applyFont="1" applyFill="1" applyBorder="1"/>
    <xf numFmtId="0" fontId="7" fillId="4" borderId="3" xfId="0" applyFont="1" applyFill="1" applyBorder="1" applyAlignment="1">
      <alignment horizontal="left" vertical="center"/>
    </xf>
    <xf numFmtId="0" fontId="3" fillId="0" borderId="5" xfId="0" applyFont="1" applyFill="1" applyBorder="1"/>
    <xf numFmtId="0" fontId="3" fillId="0" borderId="6" xfId="0" applyFont="1" applyFill="1" applyBorder="1"/>
    <xf numFmtId="4" fontId="3" fillId="0" borderId="6" xfId="0" applyNumberFormat="1" applyFont="1" applyFill="1" applyBorder="1"/>
    <xf numFmtId="164" fontId="3" fillId="0" borderId="6" xfId="0" applyNumberFormat="1" applyFont="1" applyFill="1" applyBorder="1"/>
    <xf numFmtId="14" fontId="3" fillId="0" borderId="6" xfId="0" applyNumberFormat="1" applyFont="1" applyFill="1" applyBorder="1"/>
    <xf numFmtId="14" fontId="3" fillId="0" borderId="7" xfId="0" applyNumberFormat="1" applyFont="1" applyFill="1" applyBorder="1" applyAlignment="1">
      <alignment horizontal="right"/>
    </xf>
    <xf numFmtId="0" fontId="28" fillId="0" borderId="6" xfId="0" applyFont="1" applyFill="1" applyBorder="1"/>
    <xf numFmtId="4" fontId="28" fillId="0" borderId="6" xfId="0" applyNumberFormat="1" applyFont="1" applyFill="1" applyBorder="1"/>
    <xf numFmtId="14" fontId="28" fillId="0" borderId="6" xfId="0" applyNumberFormat="1" applyFont="1" applyFill="1" applyBorder="1"/>
    <xf numFmtId="14" fontId="28" fillId="0" borderId="7" xfId="0" applyNumberFormat="1" applyFont="1" applyFill="1" applyBorder="1" applyAlignment="1">
      <alignment horizontal="right"/>
    </xf>
    <xf numFmtId="14" fontId="7" fillId="0" borderId="3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7" fillId="0" borderId="47" xfId="0" applyFont="1" applyBorder="1" applyAlignment="1">
      <alignment vertical="center"/>
    </xf>
    <xf numFmtId="14" fontId="11" fillId="0" borderId="0" xfId="0" applyNumberFormat="1" applyFont="1"/>
    <xf numFmtId="0" fontId="45" fillId="0" borderId="0" xfId="0" applyFont="1"/>
    <xf numFmtId="0" fontId="44" fillId="0" borderId="5" xfId="0" applyFont="1" applyFill="1" applyBorder="1" applyAlignment="1">
      <alignment horizontal="center"/>
    </xf>
    <xf numFmtId="0" fontId="44" fillId="0" borderId="6" xfId="0" applyFont="1" applyFill="1" applyBorder="1" applyAlignment="1">
      <alignment horizontal="center"/>
    </xf>
    <xf numFmtId="0" fontId="44" fillId="0" borderId="7" xfId="0" applyFont="1" applyFill="1" applyBorder="1" applyAlignment="1">
      <alignment horizontal="center"/>
    </xf>
    <xf numFmtId="0" fontId="45" fillId="0" borderId="0" xfId="0" applyFont="1" applyFill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4" fillId="0" borderId="7" xfId="0" applyNumberFormat="1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4" fillId="0" borderId="0" xfId="0" applyFont="1"/>
    <xf numFmtId="179" fontId="7" fillId="0" borderId="0" xfId="5" applyNumberFormat="1" applyFont="1"/>
    <xf numFmtId="0" fontId="3" fillId="0" borderId="19" xfId="0" applyFont="1" applyFill="1" applyBorder="1"/>
    <xf numFmtId="0" fontId="3" fillId="0" borderId="20" xfId="0" applyFont="1" applyFill="1" applyBorder="1"/>
    <xf numFmtId="4" fontId="3" fillId="0" borderId="20" xfId="0" applyNumberFormat="1" applyFont="1" applyFill="1" applyBorder="1"/>
    <xf numFmtId="164" fontId="3" fillId="0" borderId="20" xfId="0" applyNumberFormat="1" applyFont="1" applyFill="1" applyBorder="1"/>
    <xf numFmtId="14" fontId="3" fillId="0" borderId="20" xfId="0" applyNumberFormat="1" applyFont="1" applyFill="1" applyBorder="1"/>
    <xf numFmtId="14" fontId="3" fillId="0" borderId="21" xfId="0" applyNumberFormat="1" applyFont="1" applyFill="1" applyBorder="1" applyAlignment="1">
      <alignment horizontal="right"/>
    </xf>
    <xf numFmtId="0" fontId="28" fillId="0" borderId="26" xfId="0" applyFont="1" applyFill="1" applyBorder="1"/>
    <xf numFmtId="4" fontId="28" fillId="0" borderId="26" xfId="0" applyNumberFormat="1" applyFont="1" applyFill="1" applyBorder="1"/>
    <xf numFmtId="14" fontId="28" fillId="0" borderId="26" xfId="0" applyNumberFormat="1" applyFont="1" applyFill="1" applyBorder="1"/>
    <xf numFmtId="14" fontId="28" fillId="0" borderId="27" xfId="0" applyNumberFormat="1" applyFont="1" applyFill="1" applyBorder="1" applyAlignment="1">
      <alignment horizontal="right"/>
    </xf>
    <xf numFmtId="14" fontId="4" fillId="0" borderId="0" xfId="0" applyNumberFormat="1" applyFont="1"/>
    <xf numFmtId="164" fontId="4" fillId="0" borderId="3" xfId="0" applyNumberFormat="1" applyFont="1" applyBorder="1"/>
    <xf numFmtId="164" fontId="4" fillId="0" borderId="47" xfId="0" applyNumberFormat="1" applyFont="1" applyBorder="1"/>
    <xf numFmtId="0" fontId="7" fillId="0" borderId="0" xfId="0" applyNumberFormat="1" applyFont="1" applyFill="1" applyBorder="1"/>
    <xf numFmtId="167" fontId="2" fillId="0" borderId="0" xfId="0" applyNumberFormat="1" applyFont="1"/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17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164" fontId="7" fillId="10" borderId="0" xfId="0" applyNumberFormat="1" applyFont="1" applyFill="1"/>
    <xf numFmtId="164" fontId="18" fillId="0" borderId="7" xfId="0" applyNumberFormat="1" applyFont="1" applyBorder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164" fontId="0" fillId="0" borderId="7" xfId="0" applyNumberFormat="1" applyBorder="1"/>
    <xf numFmtId="3" fontId="10" fillId="0" borderId="30" xfId="0" applyNumberFormat="1" applyFont="1" applyBorder="1" applyAlignment="1">
      <alignment horizontal="right"/>
    </xf>
    <xf numFmtId="3" fontId="16" fillId="6" borderId="5" xfId="0" applyNumberFormat="1" applyFont="1" applyFill="1" applyBorder="1" applyAlignment="1">
      <alignment horizontal="center"/>
    </xf>
    <xf numFmtId="3" fontId="16" fillId="6" borderId="7" xfId="0" applyNumberFormat="1" applyFont="1" applyFill="1" applyBorder="1" applyAlignment="1">
      <alignment horizontal="center"/>
    </xf>
    <xf numFmtId="3" fontId="19" fillId="7" borderId="66" xfId="0" applyNumberFormat="1" applyFont="1" applyFill="1" applyBorder="1"/>
    <xf numFmtId="3" fontId="19" fillId="7" borderId="27" xfId="0" applyNumberFormat="1" applyFont="1" applyFill="1" applyBorder="1"/>
    <xf numFmtId="3" fontId="10" fillId="0" borderId="50" xfId="0" applyNumberFormat="1" applyFont="1" applyBorder="1" applyAlignment="1">
      <alignment horizontal="right"/>
    </xf>
    <xf numFmtId="3" fontId="16" fillId="6" borderId="6" xfId="0" applyNumberFormat="1" applyFont="1" applyFill="1" applyBorder="1" applyAlignment="1">
      <alignment horizontal="center"/>
    </xf>
    <xf numFmtId="3" fontId="16" fillId="6" borderId="28" xfId="0" applyNumberFormat="1" applyFont="1" applyFill="1" applyBorder="1" applyAlignment="1">
      <alignment horizontal="center"/>
    </xf>
    <xf numFmtId="3" fontId="16" fillId="6" borderId="67" xfId="0" applyNumberFormat="1" applyFont="1" applyFill="1" applyBorder="1" applyAlignment="1">
      <alignment horizontal="center"/>
    </xf>
    <xf numFmtId="3" fontId="14" fillId="7" borderId="25" xfId="0" applyNumberFormat="1" applyFont="1" applyFill="1" applyBorder="1" applyAlignment="1">
      <alignment horizontal="center"/>
    </xf>
    <xf numFmtId="3" fontId="19" fillId="7" borderId="26" xfId="0" applyNumberFormat="1" applyFont="1" applyFill="1" applyBorder="1"/>
    <xf numFmtId="3" fontId="19" fillId="7" borderId="59" xfId="0" applyNumberFormat="1" applyFont="1" applyFill="1" applyBorder="1"/>
    <xf numFmtId="3" fontId="10" fillId="0" borderId="29" xfId="0" applyNumberFormat="1" applyFont="1" applyBorder="1" applyAlignment="1">
      <alignment horizontal="right"/>
    </xf>
    <xf numFmtId="3" fontId="10" fillId="0" borderId="41" xfId="0" applyNumberFormat="1" applyFont="1" applyBorder="1" applyAlignment="1">
      <alignment horizontal="right"/>
    </xf>
    <xf numFmtId="3" fontId="10" fillId="0" borderId="49" xfId="0" applyNumberFormat="1" applyFont="1" applyBorder="1" applyAlignment="1">
      <alignment horizontal="right"/>
    </xf>
    <xf numFmtId="3" fontId="11" fillId="0" borderId="19" xfId="0" applyNumberFormat="1" applyFont="1" applyBorder="1"/>
    <xf numFmtId="3" fontId="11" fillId="0" borderId="21" xfId="0" applyNumberFormat="1" applyFont="1" applyBorder="1"/>
    <xf numFmtId="3" fontId="12" fillId="6" borderId="56" xfId="0" applyNumberFormat="1" applyFont="1" applyFill="1" applyBorder="1"/>
    <xf numFmtId="166" fontId="10" fillId="5" borderId="15" xfId="0" applyNumberFormat="1" applyFont="1" applyFill="1" applyBorder="1" applyAlignment="1">
      <alignment horizontal="center"/>
    </xf>
    <xf numFmtId="166" fontId="10" fillId="5" borderId="17" xfId="0" applyNumberFormat="1" applyFont="1" applyFill="1" applyBorder="1" applyAlignment="1">
      <alignment horizontal="center"/>
    </xf>
    <xf numFmtId="3" fontId="14" fillId="7" borderId="68" xfId="0" applyNumberFormat="1" applyFont="1" applyFill="1" applyBorder="1" applyAlignment="1">
      <alignment horizontal="center"/>
    </xf>
    <xf numFmtId="3" fontId="10" fillId="0" borderId="40" xfId="0" applyNumberFormat="1" applyFont="1" applyBorder="1" applyAlignment="1">
      <alignment horizontal="right"/>
    </xf>
    <xf numFmtId="3" fontId="12" fillId="6" borderId="58" xfId="0" applyNumberFormat="1" applyFont="1" applyFill="1" applyBorder="1"/>
    <xf numFmtId="3" fontId="12" fillId="6" borderId="57" xfId="0" applyNumberFormat="1" applyFont="1" applyFill="1" applyBorder="1"/>
    <xf numFmtId="166" fontId="10" fillId="5" borderId="16" xfId="0" applyNumberFormat="1" applyFont="1" applyFill="1" applyBorder="1" applyAlignment="1">
      <alignment horizontal="center"/>
    </xf>
    <xf numFmtId="3" fontId="12" fillId="6" borderId="34" xfId="0" applyNumberFormat="1" applyFont="1" applyFill="1" applyBorder="1"/>
    <xf numFmtId="166" fontId="10" fillId="5" borderId="14" xfId="0" applyNumberFormat="1" applyFont="1" applyFill="1" applyBorder="1" applyAlignment="1">
      <alignment horizontal="center"/>
    </xf>
    <xf numFmtId="3" fontId="27" fillId="0" borderId="13" xfId="0" applyNumberFormat="1" applyFont="1" applyFill="1" applyBorder="1" applyAlignment="1">
      <alignment horizontal="right" indent="1"/>
    </xf>
    <xf numFmtId="0" fontId="7" fillId="0" borderId="5" xfId="0" applyFont="1" applyFill="1" applyBorder="1"/>
    <xf numFmtId="0" fontId="7" fillId="0" borderId="6" xfId="0" applyFont="1" applyFill="1" applyBorder="1"/>
    <xf numFmtId="4" fontId="7" fillId="0" borderId="6" xfId="0" applyNumberFormat="1" applyFont="1" applyFill="1" applyBorder="1"/>
    <xf numFmtId="164" fontId="7" fillId="0" borderId="6" xfId="0" applyNumberFormat="1" applyFont="1" applyFill="1" applyBorder="1"/>
    <xf numFmtId="14" fontId="7" fillId="0" borderId="6" xfId="0" applyNumberFormat="1" applyFont="1" applyFill="1" applyBorder="1"/>
    <xf numFmtId="14" fontId="7" fillId="0" borderId="7" xfId="0" applyNumberFormat="1" applyFont="1" applyFill="1" applyBorder="1" applyAlignment="1">
      <alignment horizontal="right"/>
    </xf>
    <xf numFmtId="3" fontId="27" fillId="3" borderId="12" xfId="0" applyNumberFormat="1" applyFont="1" applyFill="1" applyBorder="1" applyAlignment="1">
      <alignment horizontal="right" indent="1"/>
    </xf>
    <xf numFmtId="3" fontId="12" fillId="6" borderId="5" xfId="0" applyNumberFormat="1" applyFont="1" applyFill="1" applyBorder="1"/>
    <xf numFmtId="3" fontId="12" fillId="6" borderId="7" xfId="0" applyNumberFormat="1" applyFont="1" applyFill="1" applyBorder="1"/>
    <xf numFmtId="164" fontId="18" fillId="0" borderId="0" xfId="0" applyNumberFormat="1" applyFont="1"/>
    <xf numFmtId="0" fontId="7" fillId="3" borderId="11" xfId="0" applyFont="1" applyFill="1" applyBorder="1"/>
    <xf numFmtId="0" fontId="7" fillId="3" borderId="12" xfId="0" applyFont="1" applyFill="1" applyBorder="1"/>
    <xf numFmtId="4" fontId="7" fillId="3" borderId="12" xfId="0" applyNumberFormat="1" applyFont="1" applyFill="1" applyBorder="1"/>
    <xf numFmtId="164" fontId="7" fillId="3" borderId="12" xfId="0" applyNumberFormat="1" applyFont="1" applyFill="1" applyBorder="1"/>
    <xf numFmtId="4" fontId="5" fillId="0" borderId="20" xfId="0" applyNumberFormat="1" applyFont="1" applyFill="1" applyBorder="1"/>
    <xf numFmtId="17" fontId="3" fillId="0" borderId="21" xfId="0" applyNumberFormat="1" applyFont="1" applyFill="1" applyBorder="1"/>
    <xf numFmtId="3" fontId="14" fillId="0" borderId="11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6" fillId="4" borderId="24" xfId="0" applyFont="1" applyFill="1" applyBorder="1"/>
    <xf numFmtId="0" fontId="6" fillId="4" borderId="25" xfId="0" applyFont="1" applyFill="1" applyBorder="1"/>
    <xf numFmtId="14" fontId="6" fillId="4" borderId="26" xfId="0" applyNumberFormat="1" applyFont="1" applyFill="1" applyBorder="1"/>
    <xf numFmtId="0" fontId="6" fillId="4" borderId="26" xfId="0" applyFont="1" applyFill="1" applyBorder="1"/>
    <xf numFmtId="4" fontId="6" fillId="4" borderId="26" xfId="0" applyNumberFormat="1" applyFont="1" applyFill="1" applyBorder="1"/>
    <xf numFmtId="164" fontId="6" fillId="4" borderId="26" xfId="0" applyNumberFormat="1" applyFont="1" applyFill="1" applyBorder="1"/>
    <xf numFmtId="14" fontId="6" fillId="4" borderId="27" xfId="0" applyNumberFormat="1" applyFont="1" applyFill="1" applyBorder="1"/>
    <xf numFmtId="164" fontId="6" fillId="4" borderId="25" xfId="0" applyNumberFormat="1" applyFont="1" applyFill="1" applyBorder="1"/>
    <xf numFmtId="0" fontId="6" fillId="4" borderId="27" xfId="0" applyFont="1" applyFill="1" applyBorder="1"/>
    <xf numFmtId="4" fontId="6" fillId="4" borderId="24" xfId="0" applyNumberFormat="1" applyFont="1" applyFill="1" applyBorder="1"/>
    <xf numFmtId="0" fontId="7" fillId="4" borderId="47" xfId="0" applyFont="1" applyFill="1" applyBorder="1" applyAlignment="1">
      <alignment vertical="center"/>
    </xf>
    <xf numFmtId="14" fontId="2" fillId="4" borderId="27" xfId="1" applyNumberFormat="1" applyFont="1" applyFill="1" applyBorder="1"/>
    <xf numFmtId="0" fontId="0" fillId="0" borderId="0" xfId="0" applyFont="1"/>
    <xf numFmtId="164" fontId="0" fillId="0" borderId="0" xfId="0" applyNumberFormat="1" applyFont="1"/>
    <xf numFmtId="14" fontId="46" fillId="0" borderId="0" xfId="0" applyNumberFormat="1" applyFont="1"/>
    <xf numFmtId="0" fontId="46" fillId="0" borderId="0" xfId="0" applyFont="1"/>
    <xf numFmtId="14" fontId="0" fillId="3" borderId="0" xfId="0" applyNumberFormat="1" applyFill="1"/>
    <xf numFmtId="0" fontId="0" fillId="3" borderId="0" xfId="0" applyFill="1"/>
    <xf numFmtId="164" fontId="46" fillId="0" borderId="0" xfId="0" applyNumberFormat="1" applyFont="1"/>
    <xf numFmtId="164" fontId="0" fillId="3" borderId="0" xfId="0" applyNumberFormat="1" applyFill="1"/>
    <xf numFmtId="3" fontId="10" fillId="5" borderId="5" xfId="0" applyNumberFormat="1" applyFont="1" applyFill="1" applyBorder="1" applyAlignment="1">
      <alignment horizontal="center"/>
    </xf>
    <xf numFmtId="3" fontId="10" fillId="5" borderId="3" xfId="0" applyNumberFormat="1" applyFont="1" applyFill="1" applyBorder="1" applyAlignment="1">
      <alignment horizontal="center"/>
    </xf>
    <xf numFmtId="3" fontId="10" fillId="5" borderId="6" xfId="0" applyNumberFormat="1" applyFont="1" applyFill="1" applyBorder="1" applyAlignment="1">
      <alignment horizontal="center"/>
    </xf>
    <xf numFmtId="3" fontId="10" fillId="5" borderId="46" xfId="0" applyNumberFormat="1" applyFont="1" applyFill="1" applyBorder="1" applyAlignment="1">
      <alignment horizontal="center"/>
    </xf>
    <xf numFmtId="3" fontId="10" fillId="5" borderId="7" xfId="0" applyNumberFormat="1" applyFont="1" applyFill="1" applyBorder="1" applyAlignment="1">
      <alignment horizontal="center"/>
    </xf>
    <xf numFmtId="3" fontId="10" fillId="5" borderId="2" xfId="0" applyNumberFormat="1" applyFont="1" applyFill="1" applyBorder="1" applyAlignment="1">
      <alignment horizontal="center"/>
    </xf>
    <xf numFmtId="3" fontId="10" fillId="5" borderId="47" xfId="0" applyNumberFormat="1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0" fontId="4" fillId="0" borderId="57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17" fontId="7" fillId="0" borderId="13" xfId="0" applyNumberFormat="1" applyFont="1" applyFill="1" applyBorder="1" applyAlignment="1">
      <alignment horizontal="center" vertical="center"/>
    </xf>
    <xf numFmtId="0" fontId="34" fillId="9" borderId="5" xfId="0" applyFont="1" applyFill="1" applyBorder="1" applyAlignment="1">
      <alignment horizontal="center"/>
    </xf>
    <xf numFmtId="0" fontId="34" fillId="9" borderId="6" xfId="0" applyFont="1" applyFill="1" applyBorder="1" applyAlignment="1">
      <alignment horizontal="center"/>
    </xf>
    <xf numFmtId="0" fontId="34" fillId="9" borderId="7" xfId="0" applyFont="1" applyFill="1" applyBorder="1" applyAlignment="1">
      <alignment horizontal="center"/>
    </xf>
    <xf numFmtId="0" fontId="34" fillId="9" borderId="46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31" fillId="4" borderId="15" xfId="0" applyFont="1" applyFill="1" applyBorder="1" applyAlignment="1">
      <alignment horizontal="center"/>
    </xf>
    <xf numFmtId="0" fontId="31" fillId="4" borderId="17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center"/>
    </xf>
    <xf numFmtId="0" fontId="34" fillId="0" borderId="3" xfId="0" applyFont="1" applyFill="1" applyBorder="1" applyAlignment="1">
      <alignment horizontal="center"/>
    </xf>
    <xf numFmtId="0" fontId="34" fillId="0" borderId="47" xfId="0" applyFont="1" applyFill="1" applyBorder="1" applyAlignment="1">
      <alignment horizontal="center"/>
    </xf>
    <xf numFmtId="0" fontId="32" fillId="8" borderId="5" xfId="0" applyFont="1" applyFill="1" applyBorder="1" applyAlignment="1">
      <alignment horizontal="center"/>
    </xf>
    <xf numFmtId="0" fontId="32" fillId="8" borderId="6" xfId="0" applyFont="1" applyFill="1" applyBorder="1" applyAlignment="1">
      <alignment horizontal="center"/>
    </xf>
    <xf numFmtId="0" fontId="31" fillId="0" borderId="19" xfId="0" applyFont="1" applyFill="1" applyBorder="1" applyAlignment="1">
      <alignment horizontal="center"/>
    </xf>
    <xf numFmtId="0" fontId="31" fillId="0" borderId="21" xfId="0" applyFont="1" applyFill="1" applyBorder="1" applyAlignment="1">
      <alignment horizontal="center"/>
    </xf>
    <xf numFmtId="0" fontId="33" fillId="4" borderId="2" xfId="0" applyFont="1" applyFill="1" applyBorder="1" applyAlignment="1">
      <alignment horizontal="center"/>
    </xf>
    <xf numFmtId="0" fontId="33" fillId="4" borderId="47" xfId="0" applyFont="1" applyFill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4" fontId="6" fillId="0" borderId="46" xfId="0" applyNumberFormat="1" applyFont="1" applyBorder="1" applyAlignment="1">
      <alignment horizontal="center"/>
    </xf>
    <xf numFmtId="4" fontId="6" fillId="0" borderId="47" xfId="0" applyNumberFormat="1" applyFont="1" applyBorder="1" applyAlignment="1">
      <alignment horizontal="center"/>
    </xf>
    <xf numFmtId="11" fontId="6" fillId="0" borderId="46" xfId="0" applyNumberFormat="1" applyFont="1" applyBorder="1" applyAlignment="1">
      <alignment horizontal="center"/>
    </xf>
    <xf numFmtId="11" fontId="6" fillId="0" borderId="47" xfId="0" applyNumberFormat="1" applyFont="1" applyBorder="1" applyAlignment="1">
      <alignment horizontal="center"/>
    </xf>
    <xf numFmtId="4" fontId="6" fillId="0" borderId="42" xfId="0" applyNumberFormat="1" applyFont="1" applyBorder="1" applyAlignment="1">
      <alignment horizontal="center"/>
    </xf>
    <xf numFmtId="4" fontId="6" fillId="0" borderId="43" xfId="0" applyNumberFormat="1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1" fillId="2" borderId="36" xfId="0" applyFont="1" applyFill="1" applyBorder="1" applyAlignment="1">
      <alignment horizontal="left"/>
    </xf>
    <xf numFmtId="0" fontId="21" fillId="2" borderId="22" xfId="0" applyFont="1" applyFill="1" applyBorder="1" applyAlignment="1">
      <alignment horizontal="left"/>
    </xf>
    <xf numFmtId="0" fontId="21" fillId="2" borderId="35" xfId="0" applyFont="1" applyFill="1" applyBorder="1" applyAlignment="1">
      <alignment horizontal="left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44" fillId="0" borderId="5" xfId="0" applyFont="1" applyFill="1" applyBorder="1" applyAlignment="1">
      <alignment horizontal="center"/>
    </xf>
    <xf numFmtId="0" fontId="44" fillId="0" borderId="6" xfId="0" applyFont="1" applyFill="1" applyBorder="1" applyAlignment="1">
      <alignment horizontal="center"/>
    </xf>
    <xf numFmtId="0" fontId="4" fillId="4" borderId="32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61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175" fontId="4" fillId="0" borderId="2" xfId="0" applyNumberFormat="1" applyFont="1" applyBorder="1" applyAlignment="1">
      <alignment horizontal="center"/>
    </xf>
    <xf numFmtId="175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61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right" vertical="center"/>
    </xf>
    <xf numFmtId="164" fontId="7" fillId="4" borderId="3" xfId="0" applyNumberFormat="1" applyFont="1" applyFill="1" applyBorder="1" applyAlignment="1">
      <alignment horizontal="right" vertical="center"/>
    </xf>
    <xf numFmtId="175" fontId="7" fillId="4" borderId="3" xfId="0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6">
    <cellStyle name="Milliers" xfId="1" builtinId="3"/>
    <cellStyle name="Milliers 2" xfId="2"/>
    <cellStyle name="Normal" xfId="0" builtinId="0"/>
    <cellStyle name="Normal 2" xfId="3"/>
    <cellStyle name="Pourcentage" xfId="5" builtinId="5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71"/>
  <sheetViews>
    <sheetView zoomScale="70" zoomScaleNormal="70" workbookViewId="0">
      <pane ySplit="2" topLeftCell="A3" activePane="bottomLeft" state="frozen"/>
      <selection activeCell="D38" sqref="D38"/>
      <selection pane="bottomLeft" activeCell="Q39" sqref="Q39"/>
    </sheetView>
  </sheetViews>
  <sheetFormatPr baseColWidth="10" defaultRowHeight="15"/>
  <cols>
    <col min="1" max="1" width="26.85546875" style="34" customWidth="1"/>
    <col min="2" max="12" width="14.7109375" style="91" customWidth="1"/>
    <col min="13" max="19" width="14.7109375" style="34" customWidth="1"/>
    <col min="20" max="21" width="11.42578125" style="34"/>
    <col min="22" max="22" width="11.7109375" style="34" bestFit="1" customWidth="1"/>
    <col min="23" max="23" width="21.85546875" style="34" customWidth="1"/>
    <col min="24" max="16384" width="11.42578125" style="34"/>
  </cols>
  <sheetData>
    <row r="1" spans="1:22" s="33" customFormat="1" thickBot="1">
      <c r="B1" s="868" t="s">
        <v>106</v>
      </c>
      <c r="C1" s="869"/>
      <c r="D1" s="868" t="s">
        <v>45</v>
      </c>
      <c r="E1" s="870"/>
      <c r="F1" s="870"/>
      <c r="G1" s="870"/>
      <c r="H1" s="871"/>
      <c r="I1" s="870" t="s">
        <v>46</v>
      </c>
      <c r="J1" s="870"/>
      <c r="K1" s="870"/>
      <c r="L1" s="872"/>
      <c r="M1" s="150" t="s">
        <v>123</v>
      </c>
      <c r="N1" s="150" t="s">
        <v>126</v>
      </c>
      <c r="O1" s="150" t="s">
        <v>129</v>
      </c>
      <c r="P1" s="873" t="s">
        <v>499</v>
      </c>
      <c r="Q1" s="874"/>
      <c r="R1" s="150" t="s">
        <v>588</v>
      </c>
      <c r="S1" s="150" t="s">
        <v>589</v>
      </c>
    </row>
    <row r="2" spans="1:22" ht="15.75" thickBot="1">
      <c r="B2" s="289" t="s">
        <v>104</v>
      </c>
      <c r="C2" s="291" t="s">
        <v>103</v>
      </c>
      <c r="D2" s="289" t="s">
        <v>124</v>
      </c>
      <c r="E2" s="290" t="s">
        <v>104</v>
      </c>
      <c r="F2" s="290" t="s">
        <v>103</v>
      </c>
      <c r="G2" s="290" t="s">
        <v>348</v>
      </c>
      <c r="H2" s="291" t="s">
        <v>420</v>
      </c>
      <c r="I2" s="289" t="s">
        <v>103</v>
      </c>
      <c r="J2" s="290" t="s">
        <v>102</v>
      </c>
      <c r="K2" s="290" t="s">
        <v>348</v>
      </c>
      <c r="L2" s="291" t="s">
        <v>420</v>
      </c>
      <c r="M2" s="737" t="s">
        <v>103</v>
      </c>
      <c r="N2" s="737" t="s">
        <v>127</v>
      </c>
      <c r="O2" s="737" t="s">
        <v>127</v>
      </c>
      <c r="P2" s="289" t="s">
        <v>127</v>
      </c>
      <c r="Q2" s="291" t="s">
        <v>348</v>
      </c>
      <c r="R2" s="737" t="s">
        <v>127</v>
      </c>
      <c r="S2" s="737" t="s">
        <v>127</v>
      </c>
    </row>
    <row r="3" spans="1:22" s="36" customFormat="1" ht="15.75" thickBot="1">
      <c r="A3" s="35" t="s">
        <v>1204</v>
      </c>
      <c r="B3" s="139">
        <v>32523.366000000002</v>
      </c>
      <c r="C3" s="140">
        <v>-57574.607000000004</v>
      </c>
      <c r="D3" s="139">
        <v>33245.845999999998</v>
      </c>
      <c r="E3" s="141">
        <v>8470.59</v>
      </c>
      <c r="F3" s="141">
        <v>-4257702.4160000002</v>
      </c>
      <c r="G3" s="141">
        <v>493654.03</v>
      </c>
      <c r="H3" s="140">
        <v>136436.01999999999</v>
      </c>
      <c r="I3" s="139">
        <v>-759644.70799999998</v>
      </c>
      <c r="J3" s="141">
        <v>13101.897000000001</v>
      </c>
      <c r="K3" s="141">
        <v>2110.63</v>
      </c>
      <c r="L3" s="140">
        <v>135142.16</v>
      </c>
      <c r="M3" s="738">
        <v>4276.924</v>
      </c>
      <c r="N3" s="738">
        <v>-1312.499</v>
      </c>
      <c r="O3" s="738">
        <v>28847.456999999999</v>
      </c>
      <c r="P3" s="819">
        <v>2825.72</v>
      </c>
      <c r="Q3" s="820">
        <v>25995.41</v>
      </c>
      <c r="R3" s="738">
        <v>4084.299</v>
      </c>
      <c r="S3" s="738">
        <v>111283.383</v>
      </c>
    </row>
    <row r="4" spans="1:22" s="1" customFormat="1" ht="13.5" thickBot="1">
      <c r="A4" s="37" t="s">
        <v>49</v>
      </c>
      <c r="B4" s="153">
        <f>SUM(B5:B7)</f>
        <v>0</v>
      </c>
      <c r="C4" s="733">
        <f>SUM(C5:C7)</f>
        <v>24000</v>
      </c>
      <c r="D4" s="153">
        <f t="shared" ref="D4:S4" si="0">SUM(D5:D7)</f>
        <v>0</v>
      </c>
      <c r="E4" s="154">
        <f>SUM(E5:E7)</f>
        <v>0</v>
      </c>
      <c r="F4" s="154">
        <f>SUM(F5:F7)</f>
        <v>0</v>
      </c>
      <c r="G4" s="154">
        <f>SUM(G5:G7)</f>
        <v>0</v>
      </c>
      <c r="H4" s="733">
        <f>SUM(H5:H7)</f>
        <v>0</v>
      </c>
      <c r="I4" s="153">
        <f t="shared" si="0"/>
        <v>0</v>
      </c>
      <c r="J4" s="154">
        <f>SUM(J5:J7)</f>
        <v>0</v>
      </c>
      <c r="K4" s="154">
        <f t="shared" si="0"/>
        <v>0</v>
      </c>
      <c r="L4" s="733">
        <f t="shared" si="0"/>
        <v>79661.5</v>
      </c>
      <c r="M4" s="739">
        <f t="shared" si="0"/>
        <v>0</v>
      </c>
      <c r="N4" s="739">
        <f t="shared" si="0"/>
        <v>0</v>
      </c>
      <c r="O4" s="739">
        <f t="shared" si="0"/>
        <v>0</v>
      </c>
      <c r="P4" s="818">
        <f t="shared" si="0"/>
        <v>0</v>
      </c>
      <c r="Q4" s="818">
        <f t="shared" si="0"/>
        <v>0</v>
      </c>
      <c r="R4" s="739">
        <f t="shared" si="0"/>
        <v>0</v>
      </c>
      <c r="S4" s="739">
        <f t="shared" si="0"/>
        <v>0</v>
      </c>
    </row>
    <row r="5" spans="1:22">
      <c r="A5" s="27" t="s">
        <v>101</v>
      </c>
      <c r="B5" s="151"/>
      <c r="C5" s="152">
        <v>24000</v>
      </c>
      <c r="D5" s="151"/>
      <c r="E5" s="155"/>
      <c r="F5" s="155"/>
      <c r="G5" s="155"/>
      <c r="H5" s="469"/>
      <c r="I5" s="734"/>
      <c r="J5" s="155"/>
      <c r="K5" s="155"/>
      <c r="L5" s="735"/>
      <c r="M5" s="736"/>
      <c r="N5" s="735"/>
      <c r="O5" s="735"/>
      <c r="P5" s="816"/>
      <c r="Q5" s="817"/>
      <c r="R5" s="736"/>
      <c r="S5" s="735"/>
    </row>
    <row r="6" spans="1:22">
      <c r="A6" s="27" t="s">
        <v>99</v>
      </c>
      <c r="B6" s="108"/>
      <c r="C6" s="143"/>
      <c r="D6" s="108"/>
      <c r="E6" s="133"/>
      <c r="F6" s="133"/>
      <c r="G6" s="133"/>
      <c r="H6" s="470"/>
      <c r="I6" s="475"/>
      <c r="J6" s="133"/>
      <c r="K6" s="133"/>
      <c r="L6" s="106"/>
      <c r="M6" s="482"/>
      <c r="N6" s="106"/>
      <c r="O6" s="106"/>
      <c r="P6" s="475"/>
      <c r="Q6" s="106"/>
      <c r="R6" s="482"/>
      <c r="S6" s="106"/>
    </row>
    <row r="7" spans="1:22">
      <c r="A7" s="27" t="s">
        <v>50</v>
      </c>
      <c r="B7" s="108"/>
      <c r="C7" s="143"/>
      <c r="D7" s="108"/>
      <c r="E7" s="133"/>
      <c r="F7" s="133"/>
      <c r="G7" s="133"/>
      <c r="H7" s="470"/>
      <c r="I7" s="475"/>
      <c r="J7" s="133"/>
      <c r="K7" s="133"/>
      <c r="L7" s="106">
        <v>79661.5</v>
      </c>
      <c r="M7" s="482"/>
      <c r="N7" s="106"/>
      <c r="O7" s="106"/>
      <c r="P7" s="475"/>
      <c r="Q7" s="106"/>
      <c r="R7" s="482"/>
      <c r="S7" s="106"/>
    </row>
    <row r="8" spans="1:22">
      <c r="A8" s="38" t="s">
        <v>51</v>
      </c>
      <c r="B8" s="110">
        <f>B9+B10+B11+B12+B13</f>
        <v>0</v>
      </c>
      <c r="C8" s="144">
        <f>C9+C10+C11+C12+C13</f>
        <v>359215.84900000005</v>
      </c>
      <c r="D8" s="110">
        <f>D9+D10+D12+D13+D20+D25</f>
        <v>0</v>
      </c>
      <c r="E8" s="134">
        <f>E9+E10+E11+E12+E13</f>
        <v>0</v>
      </c>
      <c r="F8" s="134">
        <f>F9+F10+F12+F13+F20+F11</f>
        <v>450000</v>
      </c>
      <c r="G8" s="134">
        <f>G14+G15+G16+G17+G18+G20</f>
        <v>100000</v>
      </c>
      <c r="H8" s="471">
        <f>H14+H15+H16+H17+H18+H20</f>
        <v>0</v>
      </c>
      <c r="I8" s="110">
        <f>I9+I10+I12+I13+I20+I25+I23+I11</f>
        <v>462823.53499999997</v>
      </c>
      <c r="J8" s="134">
        <f>J9+J10+J12+J13+J20+J25+J23</f>
        <v>0</v>
      </c>
      <c r="K8" s="134">
        <f t="shared" ref="K8:S8" si="1">K9+K10+K12+K13+K20+K25</f>
        <v>0</v>
      </c>
      <c r="L8" s="109">
        <f t="shared" si="1"/>
        <v>39324.589999999997</v>
      </c>
      <c r="M8" s="483">
        <f t="shared" si="1"/>
        <v>0</v>
      </c>
      <c r="N8" s="109">
        <f t="shared" si="1"/>
        <v>0</v>
      </c>
      <c r="O8" s="109">
        <f t="shared" si="1"/>
        <v>0</v>
      </c>
      <c r="P8" s="110">
        <f t="shared" si="1"/>
        <v>0</v>
      </c>
      <c r="Q8" s="109">
        <f t="shared" si="1"/>
        <v>0</v>
      </c>
      <c r="R8" s="483">
        <f t="shared" si="1"/>
        <v>0</v>
      </c>
      <c r="S8" s="109">
        <f t="shared" si="1"/>
        <v>0</v>
      </c>
      <c r="V8" s="91"/>
    </row>
    <row r="9" spans="1:22">
      <c r="A9" s="27" t="s">
        <v>101</v>
      </c>
      <c r="B9" s="108"/>
      <c r="C9" s="143">
        <f>274415.21+6300.639</f>
        <v>280715.84900000005</v>
      </c>
      <c r="D9" s="108"/>
      <c r="E9" s="133">
        <f>B54</f>
        <v>0</v>
      </c>
      <c r="F9" s="133">
        <f>C54</f>
        <v>450000</v>
      </c>
      <c r="G9" s="133"/>
      <c r="H9" s="470"/>
      <c r="I9" s="538">
        <f>C52</f>
        <v>0</v>
      </c>
      <c r="J9" s="168">
        <f>B52</f>
        <v>0</v>
      </c>
      <c r="K9" s="133"/>
      <c r="L9" s="106"/>
      <c r="M9" s="482">
        <f>F58+E58</f>
        <v>0</v>
      </c>
      <c r="N9" s="106">
        <f>E56</f>
        <v>0</v>
      </c>
      <c r="O9" s="106"/>
      <c r="P9" s="475">
        <f>E57</f>
        <v>0</v>
      </c>
      <c r="Q9" s="106"/>
      <c r="R9" s="482"/>
      <c r="S9" s="106"/>
      <c r="V9" s="635"/>
    </row>
    <row r="10" spans="1:22">
      <c r="A10" s="27" t="s">
        <v>100</v>
      </c>
      <c r="B10" s="108"/>
      <c r="C10" s="143">
        <v>0</v>
      </c>
      <c r="D10" s="108"/>
      <c r="E10" s="133"/>
      <c r="F10" s="133"/>
      <c r="G10" s="133"/>
      <c r="H10" s="470"/>
      <c r="I10" s="475"/>
      <c r="J10" s="133"/>
      <c r="K10" s="133"/>
      <c r="L10" s="106"/>
      <c r="M10" s="482"/>
      <c r="N10" s="106"/>
      <c r="O10" s="106"/>
      <c r="P10" s="475"/>
      <c r="Q10" s="106"/>
      <c r="R10" s="482"/>
      <c r="S10" s="106"/>
      <c r="V10" s="635"/>
    </row>
    <row r="11" spans="1:22">
      <c r="A11" s="27" t="s">
        <v>783</v>
      </c>
      <c r="B11" s="108"/>
      <c r="C11" s="143">
        <f>25500+14500+7000+25500+6000</f>
        <v>78500</v>
      </c>
      <c r="D11" s="108"/>
      <c r="E11" s="168"/>
      <c r="F11" s="133"/>
      <c r="G11" s="133"/>
      <c r="H11" s="470"/>
      <c r="I11" s="475"/>
      <c r="J11" s="133"/>
      <c r="K11" s="133"/>
      <c r="L11" s="106"/>
      <c r="M11" s="482"/>
      <c r="N11" s="106"/>
      <c r="O11" s="106"/>
      <c r="P11" s="475"/>
      <c r="Q11" s="106"/>
      <c r="R11" s="482"/>
      <c r="S11" s="106"/>
    </row>
    <row r="12" spans="1:22">
      <c r="A12" s="27" t="s">
        <v>99</v>
      </c>
      <c r="B12" s="108"/>
      <c r="C12" s="143">
        <v>0</v>
      </c>
      <c r="D12" s="108"/>
      <c r="E12" s="133"/>
      <c r="F12" s="133"/>
      <c r="G12" s="133"/>
      <c r="H12" s="470"/>
      <c r="I12" s="475"/>
      <c r="J12" s="493"/>
      <c r="K12" s="133"/>
      <c r="L12" s="106"/>
      <c r="M12" s="482"/>
      <c r="N12" s="106"/>
      <c r="O12" s="106"/>
      <c r="P12" s="475"/>
      <c r="Q12" s="106"/>
      <c r="R12" s="482"/>
      <c r="S12" s="106"/>
    </row>
    <row r="13" spans="1:22" s="33" customFormat="1" ht="14.25">
      <c r="A13" s="8" t="s">
        <v>50</v>
      </c>
      <c r="B13" s="107">
        <v>0</v>
      </c>
      <c r="C13" s="145">
        <v>0</v>
      </c>
      <c r="D13" s="97">
        <f>SUM(D14:D18)</f>
        <v>0</v>
      </c>
      <c r="E13" s="135">
        <f>SUM(E14:E25)</f>
        <v>0</v>
      </c>
      <c r="F13" s="135">
        <f t="shared" ref="F13" si="2">SUM(F14:F25)</f>
        <v>0</v>
      </c>
      <c r="G13" s="135">
        <f>SUM(G14:G20)</f>
        <v>100000</v>
      </c>
      <c r="H13" s="472">
        <f>SUM(H14:H20)</f>
        <v>0</v>
      </c>
      <c r="I13" s="97">
        <f>SUM(I14:I25)</f>
        <v>462823.53499999997</v>
      </c>
      <c r="J13" s="135">
        <f>SUM(J14:J25)</f>
        <v>0</v>
      </c>
      <c r="K13" s="135">
        <f>SUM(K14:K25)</f>
        <v>0</v>
      </c>
      <c r="L13" s="96">
        <f t="shared" ref="L13" si="3">SUM(L14:L18)</f>
        <v>39324.589999999997</v>
      </c>
      <c r="M13" s="96">
        <f t="shared" ref="M13:R13" si="4">SUM(M14:M25)</f>
        <v>0</v>
      </c>
      <c r="N13" s="96">
        <f t="shared" si="4"/>
        <v>0</v>
      </c>
      <c r="O13" s="96">
        <f t="shared" si="4"/>
        <v>0</v>
      </c>
      <c r="P13" s="97">
        <f t="shared" si="4"/>
        <v>0</v>
      </c>
      <c r="Q13" s="96">
        <f t="shared" si="4"/>
        <v>0</v>
      </c>
      <c r="R13" s="484">
        <f t="shared" si="4"/>
        <v>0</v>
      </c>
      <c r="S13" s="96">
        <f>SUM(S14:S25)</f>
        <v>0</v>
      </c>
    </row>
    <row r="14" spans="1:22">
      <c r="A14" s="39" t="s">
        <v>52</v>
      </c>
      <c r="B14" s="623"/>
      <c r="C14" s="624"/>
      <c r="D14" s="623"/>
      <c r="E14" s="168"/>
      <c r="F14" s="741"/>
      <c r="G14" s="625"/>
      <c r="H14" s="473"/>
      <c r="I14" s="538"/>
      <c r="J14" s="168"/>
      <c r="K14" s="625"/>
      <c r="L14" s="491"/>
      <c r="M14" s="626"/>
      <c r="N14" s="539"/>
      <c r="O14" s="539"/>
      <c r="P14" s="538"/>
      <c r="Q14" s="539"/>
      <c r="R14" s="626"/>
      <c r="S14" s="539"/>
    </row>
    <row r="15" spans="1:22" s="675" customFormat="1">
      <c r="A15" s="674" t="s">
        <v>53</v>
      </c>
      <c r="B15" s="623"/>
      <c r="C15" s="624"/>
      <c r="D15" s="623"/>
      <c r="E15" s="168"/>
      <c r="F15" s="168"/>
      <c r="G15" s="168"/>
      <c r="H15" s="676"/>
      <c r="I15" s="538"/>
      <c r="J15" s="168"/>
      <c r="K15" s="168"/>
      <c r="L15" s="539">
        <f>+EXPORT!M23</f>
        <v>39324.589999999997</v>
      </c>
      <c r="M15" s="626"/>
      <c r="N15" s="539"/>
      <c r="O15" s="539"/>
      <c r="P15" s="538"/>
      <c r="Q15" s="539"/>
      <c r="R15" s="626"/>
      <c r="S15" s="539"/>
    </row>
    <row r="16" spans="1:22" s="675" customFormat="1">
      <c r="A16" s="674" t="s">
        <v>54</v>
      </c>
      <c r="B16" s="623"/>
      <c r="C16" s="624"/>
      <c r="D16" s="623"/>
      <c r="E16" s="168"/>
      <c r="F16" s="168"/>
      <c r="G16" s="168"/>
      <c r="H16" s="559"/>
      <c r="I16" s="538"/>
      <c r="J16" s="168"/>
      <c r="K16" s="168"/>
      <c r="L16" s="539"/>
      <c r="M16" s="626"/>
      <c r="N16" s="539"/>
      <c r="O16" s="539"/>
      <c r="P16" s="538"/>
      <c r="Q16" s="539"/>
      <c r="R16" s="626"/>
      <c r="S16" s="539"/>
    </row>
    <row r="17" spans="1:23" s="675" customFormat="1">
      <c r="A17" s="674" t="s">
        <v>55</v>
      </c>
      <c r="B17" s="623"/>
      <c r="C17" s="624"/>
      <c r="D17" s="623"/>
      <c r="E17" s="168"/>
      <c r="F17" s="168"/>
      <c r="G17" s="556"/>
      <c r="H17" s="473"/>
      <c r="I17" s="538"/>
      <c r="J17" s="168"/>
      <c r="K17" s="168"/>
      <c r="L17" s="539"/>
      <c r="M17" s="626"/>
      <c r="N17" s="539"/>
      <c r="O17" s="539"/>
      <c r="P17" s="538"/>
      <c r="Q17" s="539"/>
      <c r="R17" s="626"/>
      <c r="S17" s="539"/>
    </row>
    <row r="18" spans="1:23">
      <c r="A18" s="39" t="s">
        <v>56</v>
      </c>
      <c r="B18" s="623"/>
      <c r="C18" s="624"/>
      <c r="D18" s="623"/>
      <c r="E18" s="168"/>
      <c r="F18" s="168"/>
      <c r="G18" s="168">
        <v>100000</v>
      </c>
      <c r="H18" s="473"/>
      <c r="I18" s="538"/>
      <c r="J18" s="168"/>
      <c r="K18" s="359"/>
      <c r="L18" s="539"/>
      <c r="M18" s="626"/>
      <c r="N18" s="539"/>
      <c r="O18" s="539"/>
      <c r="P18" s="538"/>
      <c r="Q18" s="539"/>
      <c r="R18" s="626"/>
      <c r="S18" s="539"/>
      <c r="W18" s="760"/>
    </row>
    <row r="19" spans="1:23">
      <c r="A19" s="39" t="s">
        <v>1061</v>
      </c>
      <c r="B19" s="623"/>
      <c r="C19" s="624"/>
      <c r="D19" s="623"/>
      <c r="E19" s="168"/>
      <c r="F19" s="168"/>
      <c r="G19" s="557"/>
      <c r="H19" s="473"/>
      <c r="I19" s="538"/>
      <c r="J19" s="168"/>
      <c r="K19" s="359"/>
      <c r="L19" s="539"/>
      <c r="M19" s="626"/>
      <c r="N19" s="539"/>
      <c r="O19" s="539"/>
      <c r="P19" s="538"/>
      <c r="Q19" s="539"/>
      <c r="R19" s="626"/>
      <c r="S19" s="539"/>
      <c r="W19" s="760"/>
    </row>
    <row r="20" spans="1:23">
      <c r="A20" s="27" t="s">
        <v>346</v>
      </c>
      <c r="B20" s="623"/>
      <c r="C20" s="624"/>
      <c r="D20" s="623"/>
      <c r="E20" s="556"/>
      <c r="F20" s="168"/>
      <c r="G20" s="625"/>
      <c r="H20" s="559"/>
      <c r="I20" s="538"/>
      <c r="J20" s="168"/>
      <c r="K20" s="556"/>
      <c r="L20" s="539"/>
      <c r="M20" s="626"/>
      <c r="N20" s="539"/>
      <c r="O20" s="539"/>
      <c r="P20" s="538"/>
      <c r="Q20" s="539"/>
      <c r="R20" s="626"/>
      <c r="S20" s="539"/>
      <c r="W20" s="760"/>
    </row>
    <row r="21" spans="1:23">
      <c r="A21" s="27" t="s">
        <v>90</v>
      </c>
      <c r="B21" s="623"/>
      <c r="C21" s="624"/>
      <c r="D21" s="623"/>
      <c r="E21" s="556"/>
      <c r="F21" s="168"/>
      <c r="G21" s="168"/>
      <c r="H21" s="473"/>
      <c r="I21" s="538"/>
      <c r="J21" s="168"/>
      <c r="K21" s="168"/>
      <c r="L21" s="539"/>
      <c r="M21" s="626"/>
      <c r="N21" s="539"/>
      <c r="O21" s="539"/>
      <c r="P21" s="538"/>
      <c r="Q21" s="539"/>
      <c r="R21" s="626"/>
      <c r="S21" s="539"/>
    </row>
    <row r="22" spans="1:23">
      <c r="A22" s="27" t="s">
        <v>345</v>
      </c>
      <c r="B22" s="108"/>
      <c r="C22" s="143"/>
      <c r="D22" s="108"/>
      <c r="E22" s="558"/>
      <c r="F22" s="133"/>
      <c r="G22" s="133"/>
      <c r="H22" s="470"/>
      <c r="I22" s="475">
        <f>296976.523+165847.012</f>
        <v>462823.53499999997</v>
      </c>
      <c r="J22" s="133"/>
      <c r="K22" s="133"/>
      <c r="L22" s="106"/>
      <c r="M22" s="482"/>
      <c r="N22" s="106"/>
      <c r="O22" s="106"/>
      <c r="P22" s="475"/>
      <c r="Q22" s="106"/>
      <c r="R22" s="482"/>
      <c r="S22" s="106"/>
    </row>
    <row r="23" spans="1:23">
      <c r="A23" s="27" t="s">
        <v>128</v>
      </c>
      <c r="B23" s="108"/>
      <c r="C23" s="143"/>
      <c r="D23" s="108"/>
      <c r="E23" s="558"/>
      <c r="F23" s="133"/>
      <c r="G23" s="133"/>
      <c r="H23" s="470"/>
      <c r="I23" s="475"/>
      <c r="J23" s="133"/>
      <c r="K23" s="133"/>
      <c r="L23" s="106"/>
      <c r="M23" s="482"/>
      <c r="N23" s="106"/>
      <c r="O23" s="106"/>
      <c r="P23" s="475"/>
      <c r="Q23" s="106"/>
      <c r="R23" s="482"/>
      <c r="S23" s="106"/>
    </row>
    <row r="24" spans="1:23">
      <c r="A24" s="27" t="s">
        <v>932</v>
      </c>
      <c r="B24" s="108"/>
      <c r="C24" s="143"/>
      <c r="D24" s="108"/>
      <c r="E24" s="558"/>
      <c r="F24" s="133"/>
      <c r="G24" s="133"/>
      <c r="H24" s="470"/>
      <c r="I24" s="475"/>
      <c r="J24" s="133"/>
      <c r="K24" s="133"/>
      <c r="L24" s="106"/>
      <c r="M24" s="482"/>
      <c r="N24" s="106"/>
      <c r="O24" s="106"/>
      <c r="P24" s="475"/>
      <c r="Q24" s="106"/>
      <c r="R24" s="482"/>
      <c r="S24" s="106"/>
    </row>
    <row r="25" spans="1:23">
      <c r="A25" s="27" t="s">
        <v>2</v>
      </c>
      <c r="B25" s="108"/>
      <c r="C25" s="143"/>
      <c r="D25" s="108"/>
      <c r="E25" s="556"/>
      <c r="F25" s="133"/>
      <c r="G25" s="133"/>
      <c r="H25" s="470"/>
      <c r="I25" s="475"/>
      <c r="J25" s="133"/>
      <c r="K25" s="133"/>
      <c r="L25" s="106"/>
      <c r="M25" s="482"/>
      <c r="N25" s="106"/>
      <c r="O25" s="106"/>
      <c r="P25" s="475"/>
      <c r="Q25" s="106"/>
      <c r="R25" s="482"/>
      <c r="S25" s="106"/>
    </row>
    <row r="26" spans="1:23">
      <c r="A26" s="105" t="s">
        <v>595</v>
      </c>
      <c r="B26" s="169"/>
      <c r="C26" s="170"/>
      <c r="D26" s="169"/>
      <c r="E26" s="171"/>
      <c r="F26" s="171">
        <v>500000</v>
      </c>
      <c r="G26" s="171"/>
      <c r="H26" s="474"/>
      <c r="I26" s="476"/>
      <c r="J26" s="171"/>
      <c r="K26" s="171"/>
      <c r="L26" s="172"/>
      <c r="M26" s="485"/>
      <c r="N26" s="172">
        <v>1000000</v>
      </c>
      <c r="O26" s="172"/>
      <c r="P26" s="476"/>
      <c r="Q26" s="172"/>
      <c r="R26" s="485"/>
      <c r="S26" s="172"/>
    </row>
    <row r="27" spans="1:23" ht="15.75" thickBot="1">
      <c r="A27" s="105" t="s">
        <v>90</v>
      </c>
      <c r="B27" s="104"/>
      <c r="C27" s="146"/>
      <c r="D27" s="810"/>
      <c r="E27" s="811"/>
      <c r="F27" s="811"/>
      <c r="G27" s="811"/>
      <c r="H27" s="812"/>
      <c r="I27" s="614"/>
      <c r="J27" s="615"/>
      <c r="K27" s="615"/>
      <c r="L27" s="616"/>
      <c r="M27" s="804"/>
      <c r="N27" s="805"/>
      <c r="O27" s="805"/>
      <c r="P27" s="614"/>
      <c r="Q27" s="616"/>
      <c r="R27" s="804"/>
      <c r="S27" s="805"/>
    </row>
    <row r="28" spans="1:23" ht="15.75" thickBot="1">
      <c r="A28" s="40" t="s">
        <v>57</v>
      </c>
      <c r="B28" s="103">
        <f>B29+B44+B62</f>
        <v>0</v>
      </c>
      <c r="C28" s="103">
        <f>C29+C44+C62</f>
        <v>552333.647</v>
      </c>
      <c r="D28" s="802">
        <f t="shared" ref="D28:S28" si="5">D29+D44+D62</f>
        <v>0</v>
      </c>
      <c r="E28" s="807">
        <f>E29+E44+E62</f>
        <v>0</v>
      </c>
      <c r="F28" s="807">
        <f>F29+F44+F62</f>
        <v>867367.61959999986</v>
      </c>
      <c r="G28" s="807">
        <f>G29+G44+G62</f>
        <v>333183.53000000003</v>
      </c>
      <c r="H28" s="803">
        <f t="shared" ref="H28" si="6">H29+H44+H62</f>
        <v>0</v>
      </c>
      <c r="I28" s="809">
        <f t="shared" si="5"/>
        <v>124029.67600000001</v>
      </c>
      <c r="J28" s="617">
        <f t="shared" si="5"/>
        <v>0</v>
      </c>
      <c r="K28" s="617">
        <f t="shared" si="5"/>
        <v>0</v>
      </c>
      <c r="L28" s="618">
        <f t="shared" si="5"/>
        <v>141571.34959999999</v>
      </c>
      <c r="M28" s="802">
        <f t="shared" si="5"/>
        <v>1971.3109999999999</v>
      </c>
      <c r="N28" s="807">
        <f t="shared" si="5"/>
        <v>10343.768</v>
      </c>
      <c r="O28" s="803">
        <f t="shared" si="5"/>
        <v>0</v>
      </c>
      <c r="P28" s="802">
        <f t="shared" si="5"/>
        <v>655.00199999999995</v>
      </c>
      <c r="Q28" s="803">
        <f t="shared" si="5"/>
        <v>20316.86</v>
      </c>
      <c r="R28" s="808">
        <f t="shared" si="5"/>
        <v>0</v>
      </c>
      <c r="S28" s="808">
        <f t="shared" si="5"/>
        <v>72355.628000000012</v>
      </c>
    </row>
    <row r="29" spans="1:23" s="33" customFormat="1" ht="14.25">
      <c r="A29" s="41" t="s">
        <v>58</v>
      </c>
      <c r="B29" s="99">
        <f>SUM(B30:B43)</f>
        <v>0</v>
      </c>
      <c r="C29" s="147"/>
      <c r="D29" s="813">
        <f t="shared" ref="D29:S29" si="7">SUM(D30:D43)</f>
        <v>0</v>
      </c>
      <c r="E29" s="814">
        <f t="shared" si="7"/>
        <v>0</v>
      </c>
      <c r="F29" s="814">
        <f t="shared" si="7"/>
        <v>0</v>
      </c>
      <c r="G29" s="814">
        <f t="shared" si="7"/>
        <v>333183.53000000003</v>
      </c>
      <c r="H29" s="815">
        <f>SUM(H30:H43)</f>
        <v>0</v>
      </c>
      <c r="I29" s="619">
        <f t="shared" si="7"/>
        <v>0</v>
      </c>
      <c r="J29" s="620">
        <f t="shared" si="7"/>
        <v>0</v>
      </c>
      <c r="K29" s="620">
        <f t="shared" si="7"/>
        <v>0</v>
      </c>
      <c r="L29" s="621">
        <f t="shared" si="7"/>
        <v>14073.151999999998</v>
      </c>
      <c r="M29" s="806">
        <f t="shared" si="7"/>
        <v>0</v>
      </c>
      <c r="N29" s="801">
        <f t="shared" si="7"/>
        <v>0</v>
      </c>
      <c r="O29" s="801">
        <f t="shared" si="7"/>
        <v>0</v>
      </c>
      <c r="P29" s="619">
        <f t="shared" si="7"/>
        <v>0</v>
      </c>
      <c r="Q29" s="621">
        <f t="shared" si="7"/>
        <v>20316.86</v>
      </c>
      <c r="R29" s="806">
        <f t="shared" si="7"/>
        <v>0</v>
      </c>
      <c r="S29" s="801">
        <f t="shared" si="7"/>
        <v>0</v>
      </c>
    </row>
    <row r="30" spans="1:23" s="1" customFormat="1" ht="12.75">
      <c r="A30" s="42" t="s">
        <v>59</v>
      </c>
      <c r="B30" s="102"/>
      <c r="C30" s="148"/>
      <c r="D30" s="102"/>
      <c r="E30" s="137"/>
      <c r="F30" s="137"/>
      <c r="G30" s="137">
        <f>etranger!C56+etranger!C57</f>
        <v>274242.28000000003</v>
      </c>
      <c r="H30" s="478"/>
      <c r="I30" s="492"/>
      <c r="J30" s="137"/>
      <c r="K30" s="137"/>
      <c r="L30" s="101"/>
      <c r="M30" s="486"/>
      <c r="N30" s="101"/>
      <c r="O30" s="101"/>
      <c r="P30" s="492"/>
      <c r="Q30" s="101"/>
      <c r="R30" s="486"/>
      <c r="S30" s="101"/>
    </row>
    <row r="31" spans="1:23" s="1" customFormat="1" ht="12.75">
      <c r="A31" s="42" t="s">
        <v>60</v>
      </c>
      <c r="B31" s="102"/>
      <c r="C31" s="148"/>
      <c r="D31" s="102"/>
      <c r="E31" s="137"/>
      <c r="F31" s="137"/>
      <c r="G31" s="137"/>
      <c r="H31" s="478"/>
      <c r="I31" s="492"/>
      <c r="J31" s="137"/>
      <c r="K31" s="137"/>
      <c r="L31" s="101"/>
      <c r="M31" s="486"/>
      <c r="N31" s="101"/>
      <c r="O31" s="101"/>
      <c r="P31" s="492"/>
      <c r="Q31" s="101"/>
      <c r="R31" s="486"/>
      <c r="S31" s="101"/>
    </row>
    <row r="32" spans="1:23" s="1" customFormat="1" ht="12.75">
      <c r="A32" s="42" t="s">
        <v>295</v>
      </c>
      <c r="B32" s="102"/>
      <c r="C32" s="148"/>
      <c r="D32" s="102"/>
      <c r="E32" s="137"/>
      <c r="F32" s="137"/>
      <c r="G32" s="137"/>
      <c r="H32" s="478"/>
      <c r="I32" s="492"/>
      <c r="J32" s="137"/>
      <c r="K32" s="137"/>
      <c r="L32" s="101"/>
      <c r="M32" s="486"/>
      <c r="N32" s="101"/>
      <c r="O32" s="101"/>
      <c r="P32" s="492"/>
      <c r="Q32" s="101"/>
      <c r="R32" s="486"/>
      <c r="S32" s="101"/>
    </row>
    <row r="33" spans="1:19" s="1" customFormat="1" ht="12.75">
      <c r="A33" s="42" t="s">
        <v>61</v>
      </c>
      <c r="B33" s="102"/>
      <c r="C33" s="148"/>
      <c r="D33" s="102"/>
      <c r="E33" s="137"/>
      <c r="F33" s="137"/>
      <c r="G33" s="137"/>
      <c r="H33" s="478"/>
      <c r="I33" s="492"/>
      <c r="J33" s="137"/>
      <c r="K33" s="137"/>
      <c r="L33" s="101"/>
      <c r="M33" s="486"/>
      <c r="N33" s="101"/>
      <c r="O33" s="101"/>
      <c r="P33" s="492"/>
      <c r="Q33" s="101"/>
      <c r="R33" s="486"/>
      <c r="S33" s="101"/>
    </row>
    <row r="34" spans="1:19" s="1" customFormat="1" ht="12.75">
      <c r="A34" s="42" t="s">
        <v>331</v>
      </c>
      <c r="B34" s="102"/>
      <c r="C34" s="148"/>
      <c r="D34" s="102"/>
      <c r="E34" s="137"/>
      <c r="F34" s="137"/>
      <c r="G34" s="137"/>
      <c r="H34" s="478"/>
      <c r="I34" s="492"/>
      <c r="J34" s="137"/>
      <c r="K34" s="137"/>
      <c r="L34" s="101"/>
      <c r="M34" s="486"/>
      <c r="N34" s="101"/>
      <c r="O34" s="101"/>
      <c r="P34" s="492"/>
      <c r="Q34" s="101"/>
      <c r="R34" s="486"/>
      <c r="S34" s="101"/>
    </row>
    <row r="35" spans="1:19" s="1" customFormat="1" ht="12.75">
      <c r="A35" s="42" t="s">
        <v>394</v>
      </c>
      <c r="B35" s="102"/>
      <c r="C35" s="148"/>
      <c r="D35" s="102"/>
      <c r="E35" s="137"/>
      <c r="F35" s="137"/>
      <c r="G35" s="137"/>
      <c r="H35" s="479"/>
      <c r="I35" s="492"/>
      <c r="J35" s="137"/>
      <c r="K35" s="137"/>
      <c r="L35" s="101"/>
      <c r="M35" s="486"/>
      <c r="N35" s="101"/>
      <c r="O35" s="101"/>
      <c r="P35" s="492"/>
      <c r="Q35" s="101"/>
      <c r="R35" s="486"/>
      <c r="S35" s="101"/>
    </row>
    <row r="36" spans="1:19" s="1" customFormat="1" ht="12.75">
      <c r="A36" s="42" t="s">
        <v>62</v>
      </c>
      <c r="B36" s="102"/>
      <c r="C36" s="148"/>
      <c r="D36" s="102"/>
      <c r="E36" s="137"/>
      <c r="F36" s="137"/>
      <c r="G36" s="137"/>
      <c r="H36" s="478"/>
      <c r="I36" s="492"/>
      <c r="J36" s="137"/>
      <c r="K36" s="137"/>
      <c r="L36" s="101"/>
      <c r="M36" s="486"/>
      <c r="N36" s="101"/>
      <c r="O36" s="101"/>
      <c r="P36" s="492"/>
      <c r="Q36" s="101"/>
      <c r="R36" s="486"/>
      <c r="S36" s="101"/>
    </row>
    <row r="37" spans="1:19" s="1" customFormat="1" ht="12.75">
      <c r="A37" s="42" t="s">
        <v>63</v>
      </c>
      <c r="B37" s="102"/>
      <c r="C37" s="148"/>
      <c r="D37" s="102"/>
      <c r="E37" s="137"/>
      <c r="F37" s="137"/>
      <c r="G37" s="137">
        <f>etranger!C22+etranger!C23+etranger!C24+etranger!C25</f>
        <v>51680</v>
      </c>
      <c r="H37" s="478"/>
      <c r="I37" s="492"/>
      <c r="J37" s="137"/>
      <c r="K37" s="137"/>
      <c r="L37" s="101">
        <f>+etranger!C8*1.18</f>
        <v>14073.151999999998</v>
      </c>
      <c r="M37" s="486"/>
      <c r="N37" s="101"/>
      <c r="O37" s="101"/>
      <c r="P37" s="492"/>
      <c r="Q37" s="101"/>
      <c r="R37" s="486"/>
      <c r="S37" s="101"/>
    </row>
    <row r="38" spans="1:19" s="1" customFormat="1" ht="12.75">
      <c r="A38" s="42" t="s">
        <v>64</v>
      </c>
      <c r="B38" s="102"/>
      <c r="C38" s="148"/>
      <c r="D38" s="102"/>
      <c r="E38" s="137"/>
      <c r="F38" s="137"/>
      <c r="G38" s="137"/>
      <c r="H38" s="478"/>
      <c r="I38" s="492"/>
      <c r="J38" s="137"/>
      <c r="K38" s="137"/>
      <c r="L38" s="101"/>
      <c r="M38" s="486"/>
      <c r="N38" s="101"/>
      <c r="O38" s="101"/>
      <c r="P38" s="492"/>
      <c r="Q38" s="101"/>
      <c r="R38" s="486"/>
      <c r="S38" s="101"/>
    </row>
    <row r="39" spans="1:19" s="1" customFormat="1" ht="12.75">
      <c r="A39" s="42" t="s">
        <v>717</v>
      </c>
      <c r="B39" s="102"/>
      <c r="C39" s="148"/>
      <c r="D39" s="102"/>
      <c r="E39" s="137"/>
      <c r="F39" s="137"/>
      <c r="G39" s="137"/>
      <c r="H39" s="478"/>
      <c r="I39" s="492"/>
      <c r="J39" s="137"/>
      <c r="K39" s="137"/>
      <c r="L39" s="101"/>
      <c r="M39" s="486"/>
      <c r="N39" s="101"/>
      <c r="O39" s="101"/>
      <c r="P39" s="492"/>
      <c r="Q39" s="101"/>
      <c r="R39" s="486"/>
      <c r="S39" s="101"/>
    </row>
    <row r="40" spans="1:19" s="1" customFormat="1" ht="12.75">
      <c r="A40" s="42" t="s">
        <v>65</v>
      </c>
      <c r="B40" s="102"/>
      <c r="C40" s="148"/>
      <c r="D40" s="102"/>
      <c r="E40" s="137"/>
      <c r="F40" s="137"/>
      <c r="G40" s="137">
        <f>+etranger!C53</f>
        <v>7261.25</v>
      </c>
      <c r="H40" s="478"/>
      <c r="I40" s="492"/>
      <c r="J40" s="137"/>
      <c r="K40" s="137"/>
      <c r="L40" s="101"/>
      <c r="M40" s="486"/>
      <c r="N40" s="101"/>
      <c r="O40" s="101"/>
      <c r="P40" s="492"/>
      <c r="Q40" s="101"/>
      <c r="R40" s="486"/>
      <c r="S40" s="101"/>
    </row>
    <row r="41" spans="1:19" s="1" customFormat="1" ht="12.75">
      <c r="A41" s="42" t="s">
        <v>66</v>
      </c>
      <c r="B41" s="102"/>
      <c r="C41" s="148"/>
      <c r="D41" s="102"/>
      <c r="E41" s="137"/>
      <c r="F41" s="137"/>
      <c r="G41" s="640"/>
      <c r="H41" s="478"/>
      <c r="I41" s="492"/>
      <c r="J41" s="137"/>
      <c r="K41" s="137"/>
      <c r="L41" s="101"/>
      <c r="M41" s="486"/>
      <c r="N41" s="101"/>
      <c r="O41" s="101"/>
      <c r="P41" s="492"/>
      <c r="Q41" s="101"/>
      <c r="R41" s="486"/>
      <c r="S41" s="101"/>
    </row>
    <row r="42" spans="1:19" s="1" customFormat="1" ht="12.75">
      <c r="A42" s="42" t="s">
        <v>868</v>
      </c>
      <c r="B42" s="102"/>
      <c r="C42" s="148"/>
      <c r="D42" s="102"/>
      <c r="E42" s="137"/>
      <c r="F42" s="137"/>
      <c r="G42" s="137"/>
      <c r="H42" s="478"/>
      <c r="I42" s="492"/>
      <c r="J42" s="137"/>
      <c r="K42" s="137"/>
      <c r="L42" s="101"/>
      <c r="M42" s="486"/>
      <c r="N42" s="101"/>
      <c r="O42" s="101"/>
      <c r="P42" s="492"/>
      <c r="Q42" s="101">
        <f>etranger!C78</f>
        <v>8316.86</v>
      </c>
      <c r="R42" s="486"/>
      <c r="S42" s="101"/>
    </row>
    <row r="43" spans="1:19" s="1" customFormat="1" ht="12.75">
      <c r="A43" s="42" t="s">
        <v>500</v>
      </c>
      <c r="B43" s="102"/>
      <c r="C43" s="148"/>
      <c r="D43" s="102"/>
      <c r="E43" s="137"/>
      <c r="F43" s="137"/>
      <c r="G43" s="137"/>
      <c r="H43" s="478"/>
      <c r="I43" s="492"/>
      <c r="J43" s="137"/>
      <c r="K43" s="305"/>
      <c r="L43" s="101"/>
      <c r="M43" s="486"/>
      <c r="N43" s="101"/>
      <c r="O43" s="101"/>
      <c r="P43" s="492"/>
      <c r="Q43" s="101">
        <v>12000</v>
      </c>
      <c r="R43" s="486"/>
      <c r="S43" s="101"/>
    </row>
    <row r="44" spans="1:19" s="33" customFormat="1" ht="14.25">
      <c r="A44" s="100" t="s">
        <v>98</v>
      </c>
      <c r="B44" s="99">
        <f>SUM(B45:B60)</f>
        <v>0</v>
      </c>
      <c r="C44" s="136">
        <f>SUM(C45:C60)</f>
        <v>552333.647</v>
      </c>
      <c r="D44" s="99">
        <f>SUM(D45:D59)</f>
        <v>0</v>
      </c>
      <c r="E44" s="136">
        <f>SUM(E45:E61)</f>
        <v>0</v>
      </c>
      <c r="F44" s="136">
        <f>SUM(F45:F59)</f>
        <v>867367.61959999986</v>
      </c>
      <c r="G44" s="136">
        <f t="shared" ref="G44:L44" si="8">SUM(G45:G59)</f>
        <v>0</v>
      </c>
      <c r="H44" s="477">
        <f t="shared" si="8"/>
        <v>0</v>
      </c>
      <c r="I44" s="99">
        <f t="shared" si="8"/>
        <v>80983.786999999997</v>
      </c>
      <c r="J44" s="136">
        <f>SUM(J45:J60)</f>
        <v>0</v>
      </c>
      <c r="K44" s="136">
        <f t="shared" si="8"/>
        <v>0</v>
      </c>
      <c r="L44" s="98">
        <f t="shared" si="8"/>
        <v>0</v>
      </c>
      <c r="M44" s="358">
        <f>SUM(M45:M59)</f>
        <v>1971.3109999999999</v>
      </c>
      <c r="N44" s="98">
        <f t="shared" ref="N44:S44" si="9">SUM(N45:N61)</f>
        <v>10343.768</v>
      </c>
      <c r="O44" s="98">
        <f t="shared" si="9"/>
        <v>0</v>
      </c>
      <c r="P44" s="99">
        <f t="shared" si="9"/>
        <v>655.00199999999995</v>
      </c>
      <c r="Q44" s="98">
        <f t="shared" si="9"/>
        <v>0</v>
      </c>
      <c r="R44" s="358">
        <f t="shared" si="9"/>
        <v>0</v>
      </c>
      <c r="S44" s="98">
        <f t="shared" si="9"/>
        <v>72355.628000000012</v>
      </c>
    </row>
    <row r="45" spans="1:19">
      <c r="A45" s="42" t="s">
        <v>97</v>
      </c>
      <c r="B45" s="541"/>
      <c r="C45" s="627">
        <v>17333.647000000001</v>
      </c>
      <c r="D45" s="541"/>
      <c r="E45" s="167"/>
      <c r="F45" s="167">
        <v>102332.408</v>
      </c>
      <c r="G45" s="167"/>
      <c r="H45" s="540"/>
      <c r="I45" s="541">
        <v>32901.748</v>
      </c>
      <c r="J45" s="167"/>
      <c r="K45" s="167"/>
      <c r="L45" s="174"/>
      <c r="M45" s="487">
        <v>1971.3109999999999</v>
      </c>
      <c r="N45" s="174">
        <v>10343.768</v>
      </c>
      <c r="O45" s="174"/>
      <c r="P45" s="95">
        <v>655.00199999999995</v>
      </c>
      <c r="Q45" s="94"/>
      <c r="R45" s="488"/>
      <c r="S45" s="94"/>
    </row>
    <row r="46" spans="1:19">
      <c r="A46" s="42" t="s">
        <v>96</v>
      </c>
      <c r="B46" s="541"/>
      <c r="C46" s="627"/>
      <c r="D46" s="541"/>
      <c r="E46" s="167"/>
      <c r="F46" s="167"/>
      <c r="G46" s="167"/>
      <c r="H46" s="540"/>
      <c r="I46" s="541"/>
      <c r="J46" s="167"/>
      <c r="K46" s="167"/>
      <c r="L46" s="174"/>
      <c r="M46" s="487"/>
      <c r="N46" s="174"/>
      <c r="O46" s="174"/>
      <c r="P46" s="95"/>
      <c r="Q46" s="94"/>
      <c r="R46" s="488"/>
      <c r="S46" s="94"/>
    </row>
    <row r="47" spans="1:19">
      <c r="A47" s="42" t="s">
        <v>291</v>
      </c>
      <c r="B47" s="541"/>
      <c r="C47" s="627"/>
      <c r="D47" s="541"/>
      <c r="E47" s="167"/>
      <c r="F47" s="167"/>
      <c r="G47" s="167"/>
      <c r="H47" s="540"/>
      <c r="I47" s="541"/>
      <c r="J47" s="167"/>
      <c r="K47" s="167"/>
      <c r="L47" s="174"/>
      <c r="M47" s="487"/>
      <c r="N47" s="174"/>
      <c r="O47" s="174"/>
      <c r="P47" s="95"/>
      <c r="Q47" s="94"/>
      <c r="R47" s="488"/>
      <c r="S47" s="94"/>
    </row>
    <row r="48" spans="1:19">
      <c r="A48" s="42" t="s">
        <v>95</v>
      </c>
      <c r="B48" s="541"/>
      <c r="C48" s="627"/>
      <c r="D48" s="541"/>
      <c r="E48" s="167"/>
      <c r="F48" s="167">
        <v>105846.512</v>
      </c>
      <c r="G48" s="167"/>
      <c r="H48" s="540"/>
      <c r="I48" s="541">
        <v>28082.039000000001</v>
      </c>
      <c r="J48" s="167"/>
      <c r="K48" s="167"/>
      <c r="L48" s="174"/>
      <c r="M48" s="487"/>
      <c r="N48" s="174"/>
      <c r="O48" s="174"/>
      <c r="P48" s="95"/>
      <c r="Q48" s="94"/>
      <c r="R48" s="488"/>
      <c r="S48" s="94"/>
    </row>
    <row r="49" spans="1:19">
      <c r="A49" s="42" t="s">
        <v>94</v>
      </c>
      <c r="B49" s="541"/>
      <c r="C49" s="627"/>
      <c r="D49" s="541"/>
      <c r="E49" s="167"/>
      <c r="F49" s="167"/>
      <c r="G49" s="167"/>
      <c r="H49" s="540"/>
      <c r="I49" s="541"/>
      <c r="J49" s="167"/>
      <c r="K49" s="167"/>
      <c r="L49" s="174"/>
      <c r="M49" s="487"/>
      <c r="N49" s="174"/>
      <c r="O49" s="174"/>
      <c r="P49" s="95"/>
      <c r="Q49" s="94"/>
      <c r="R49" s="488"/>
      <c r="S49" s="94"/>
    </row>
    <row r="50" spans="1:19">
      <c r="A50" s="42" t="s">
        <v>594</v>
      </c>
      <c r="B50" s="541"/>
      <c r="C50" s="627"/>
      <c r="D50" s="541"/>
      <c r="E50" s="628"/>
      <c r="F50" s="167">
        <f>SOTRAM!J20+HAZEM!I9+HAZEM!I12+HAZEM!I13+150000</f>
        <v>378847.92559999996</v>
      </c>
      <c r="G50" s="167"/>
      <c r="H50" s="540"/>
      <c r="I50" s="541"/>
      <c r="J50" s="167"/>
      <c r="K50" s="167"/>
      <c r="L50" s="174"/>
      <c r="M50" s="487"/>
      <c r="N50" s="174"/>
      <c r="O50" s="174"/>
      <c r="P50" s="95"/>
      <c r="Q50" s="94"/>
      <c r="R50" s="488"/>
      <c r="S50" s="94"/>
    </row>
    <row r="51" spans="1:19">
      <c r="A51" s="42" t="s">
        <v>93</v>
      </c>
      <c r="B51" s="541"/>
      <c r="C51" s="627">
        <v>25000</v>
      </c>
      <c r="D51" s="541"/>
      <c r="E51" s="167"/>
      <c r="F51" s="167"/>
      <c r="G51" s="167"/>
      <c r="H51" s="540"/>
      <c r="I51" s="541"/>
      <c r="J51" s="167"/>
      <c r="K51" s="167"/>
      <c r="L51" s="174"/>
      <c r="M51" s="487"/>
      <c r="N51" s="174"/>
      <c r="O51" s="174"/>
      <c r="P51" s="95"/>
      <c r="Q51" s="94"/>
      <c r="R51" s="488"/>
      <c r="S51" s="94"/>
    </row>
    <row r="52" spans="1:19" s="33" customFormat="1">
      <c r="A52" s="42" t="s">
        <v>46</v>
      </c>
      <c r="B52" s="541"/>
      <c r="C52" s="627"/>
      <c r="D52" s="541"/>
      <c r="E52" s="304"/>
      <c r="F52" s="167"/>
      <c r="G52" s="167"/>
      <c r="H52" s="540"/>
      <c r="I52" s="541"/>
      <c r="J52" s="167"/>
      <c r="K52" s="167"/>
      <c r="L52" s="174"/>
      <c r="M52" s="487"/>
      <c r="N52" s="174"/>
      <c r="O52" s="174"/>
      <c r="P52" s="95"/>
      <c r="Q52" s="94"/>
      <c r="R52" s="488"/>
      <c r="S52" s="94"/>
    </row>
    <row r="53" spans="1:19" s="33" customFormat="1">
      <c r="A53" s="42" t="s">
        <v>92</v>
      </c>
      <c r="B53" s="541"/>
      <c r="C53" s="627">
        <v>50000</v>
      </c>
      <c r="D53" s="541"/>
      <c r="E53" s="167"/>
      <c r="F53" s="167"/>
      <c r="G53" s="167"/>
      <c r="H53" s="540"/>
      <c r="I53" s="541"/>
      <c r="J53" s="167"/>
      <c r="K53" s="167"/>
      <c r="L53" s="174"/>
      <c r="M53" s="487"/>
      <c r="N53" s="174"/>
      <c r="O53" s="174"/>
      <c r="P53" s="95"/>
      <c r="Q53" s="94"/>
      <c r="R53" s="488"/>
      <c r="S53" s="94"/>
    </row>
    <row r="54" spans="1:19">
      <c r="A54" s="42" t="s">
        <v>45</v>
      </c>
      <c r="B54" s="541"/>
      <c r="C54" s="627">
        <v>450000</v>
      </c>
      <c r="D54" s="541"/>
      <c r="E54" s="167"/>
      <c r="F54" s="167"/>
      <c r="G54" s="167"/>
      <c r="H54" s="540"/>
      <c r="I54" s="541"/>
      <c r="J54" s="167"/>
      <c r="K54" s="167"/>
      <c r="L54" s="174"/>
      <c r="M54" s="487"/>
      <c r="N54" s="174"/>
      <c r="O54" s="174"/>
      <c r="P54" s="95"/>
      <c r="Q54" s="94"/>
      <c r="R54" s="488"/>
      <c r="S54" s="94"/>
    </row>
    <row r="55" spans="1:19">
      <c r="A55" s="42" t="s">
        <v>294</v>
      </c>
      <c r="B55" s="541"/>
      <c r="C55" s="627"/>
      <c r="D55" s="541"/>
      <c r="E55" s="167"/>
      <c r="F55" s="304"/>
      <c r="G55" s="167"/>
      <c r="H55" s="680"/>
      <c r="I55" s="622"/>
      <c r="J55" s="167"/>
      <c r="K55" s="438"/>
      <c r="L55" s="828"/>
      <c r="M55" s="487"/>
      <c r="N55" s="174"/>
      <c r="O55" s="174"/>
      <c r="P55" s="95"/>
      <c r="Q55" s="94"/>
      <c r="R55" s="488"/>
      <c r="S55" s="94"/>
    </row>
    <row r="56" spans="1:19">
      <c r="A56" s="42" t="s">
        <v>130</v>
      </c>
      <c r="B56" s="541"/>
      <c r="C56" s="627"/>
      <c r="D56" s="541"/>
      <c r="E56" s="167"/>
      <c r="F56" s="167"/>
      <c r="G56" s="167"/>
      <c r="H56" s="540"/>
      <c r="I56" s="541"/>
      <c r="J56" s="167"/>
      <c r="K56" s="167"/>
      <c r="L56" s="174"/>
      <c r="M56" s="487"/>
      <c r="N56" s="174"/>
      <c r="O56" s="174"/>
      <c r="P56" s="95"/>
      <c r="Q56" s="94"/>
      <c r="R56" s="488"/>
      <c r="S56" s="94"/>
    </row>
    <row r="57" spans="1:19">
      <c r="A57" s="42" t="s">
        <v>867</v>
      </c>
      <c r="B57" s="541"/>
      <c r="C57" s="627"/>
      <c r="D57" s="541"/>
      <c r="E57" s="167"/>
      <c r="F57" s="167"/>
      <c r="G57" s="167"/>
      <c r="H57" s="540"/>
      <c r="I57" s="541"/>
      <c r="J57" s="167"/>
      <c r="K57" s="167"/>
      <c r="L57" s="174"/>
      <c r="M57" s="487"/>
      <c r="N57" s="174"/>
      <c r="O57" s="174"/>
      <c r="P57" s="95"/>
      <c r="Q57" s="94"/>
      <c r="R57" s="488"/>
      <c r="S57" s="94"/>
    </row>
    <row r="58" spans="1:19">
      <c r="A58" s="42" t="s">
        <v>123</v>
      </c>
      <c r="B58" s="541"/>
      <c r="C58" s="627"/>
      <c r="D58" s="541"/>
      <c r="E58" s="628">
        <v>0</v>
      </c>
      <c r="F58" s="167"/>
      <c r="G58" s="167"/>
      <c r="H58" s="540"/>
      <c r="I58" s="541"/>
      <c r="J58" s="167"/>
      <c r="K58" s="167"/>
      <c r="L58" s="174"/>
      <c r="M58" s="487"/>
      <c r="N58" s="174"/>
      <c r="O58" s="174"/>
      <c r="P58" s="95"/>
      <c r="Q58" s="94"/>
      <c r="R58" s="488"/>
      <c r="S58" s="94"/>
    </row>
    <row r="59" spans="1:19">
      <c r="A59" s="42" t="s">
        <v>91</v>
      </c>
      <c r="B59" s="541"/>
      <c r="C59" s="627">
        <v>10000</v>
      </c>
      <c r="D59" s="541"/>
      <c r="E59" s="167"/>
      <c r="F59" s="167">
        <f>50000+43150.88+87870.373+36264.253+63055.268</f>
        <v>280340.77400000003</v>
      </c>
      <c r="G59" s="167"/>
      <c r="H59" s="540"/>
      <c r="I59" s="541">
        <v>20000</v>
      </c>
      <c r="J59" s="167"/>
      <c r="K59" s="167"/>
      <c r="L59" s="174"/>
      <c r="M59" s="487"/>
      <c r="N59" s="174"/>
      <c r="O59" s="174"/>
      <c r="P59" s="95"/>
      <c r="Q59" s="94"/>
      <c r="R59" s="488"/>
      <c r="S59" s="94">
        <f>68950+2660.475+745.153</f>
        <v>72355.628000000012</v>
      </c>
    </row>
    <row r="60" spans="1:19">
      <c r="A60" s="42" t="s">
        <v>131</v>
      </c>
      <c r="B60" s="95"/>
      <c r="C60" s="149"/>
      <c r="D60" s="95"/>
      <c r="E60" s="138"/>
      <c r="F60" s="138"/>
      <c r="G60" s="138"/>
      <c r="H60" s="480"/>
      <c r="I60" s="95"/>
      <c r="J60" s="138"/>
      <c r="K60" s="138"/>
      <c r="L60" s="94"/>
      <c r="M60" s="488"/>
      <c r="N60" s="94"/>
      <c r="O60" s="94"/>
      <c r="P60" s="95"/>
      <c r="Q60" s="94"/>
      <c r="R60" s="488"/>
      <c r="S60" s="94"/>
    </row>
    <row r="61" spans="1:19">
      <c r="A61" s="42" t="s">
        <v>128</v>
      </c>
      <c r="B61" s="95"/>
      <c r="C61" s="149"/>
      <c r="D61" s="95"/>
      <c r="E61" s="138"/>
      <c r="F61" s="138"/>
      <c r="G61" s="138"/>
      <c r="H61" s="480"/>
      <c r="I61" s="95"/>
      <c r="J61" s="138"/>
      <c r="K61" s="138"/>
      <c r="L61" s="94"/>
      <c r="M61" s="488"/>
      <c r="N61" s="94"/>
      <c r="O61" s="94"/>
      <c r="P61" s="95"/>
      <c r="Q61" s="94"/>
      <c r="R61" s="488"/>
      <c r="S61" s="94"/>
    </row>
    <row r="62" spans="1:19" s="33" customFormat="1" ht="14.25">
      <c r="A62" s="43" t="s">
        <v>67</v>
      </c>
      <c r="B62" s="97">
        <f>SUM(B63:B64)</f>
        <v>0</v>
      </c>
      <c r="C62" s="135">
        <f>SUM(C63:C64)</f>
        <v>0</v>
      </c>
      <c r="D62" s="97">
        <f t="shared" ref="D62:S62" si="10">SUM(D63:D64)</f>
        <v>0</v>
      </c>
      <c r="E62" s="135">
        <f t="shared" si="10"/>
        <v>0</v>
      </c>
      <c r="F62" s="135">
        <f t="shared" si="10"/>
        <v>0</v>
      </c>
      <c r="G62" s="135">
        <f t="shared" si="10"/>
        <v>0</v>
      </c>
      <c r="H62" s="472">
        <f t="shared" si="10"/>
        <v>0</v>
      </c>
      <c r="I62" s="97">
        <f t="shared" si="10"/>
        <v>43045.889000000003</v>
      </c>
      <c r="J62" s="135">
        <f t="shared" si="10"/>
        <v>0</v>
      </c>
      <c r="K62" s="135">
        <f t="shared" si="10"/>
        <v>0</v>
      </c>
      <c r="L62" s="96">
        <f t="shared" si="10"/>
        <v>127498.1976</v>
      </c>
      <c r="M62" s="484">
        <f t="shared" si="10"/>
        <v>0</v>
      </c>
      <c r="N62" s="96">
        <f t="shared" si="10"/>
        <v>0</v>
      </c>
      <c r="O62" s="96">
        <f t="shared" si="10"/>
        <v>0</v>
      </c>
      <c r="P62" s="97">
        <f t="shared" si="10"/>
        <v>0</v>
      </c>
      <c r="Q62" s="96"/>
      <c r="R62" s="484">
        <f t="shared" si="10"/>
        <v>0</v>
      </c>
      <c r="S62" s="96">
        <f t="shared" si="10"/>
        <v>0</v>
      </c>
    </row>
    <row r="63" spans="1:19">
      <c r="A63" s="42" t="s">
        <v>90</v>
      </c>
      <c r="B63" s="95"/>
      <c r="C63" s="149"/>
      <c r="D63" s="95"/>
      <c r="E63" s="138"/>
      <c r="F63" s="138"/>
      <c r="G63" s="138"/>
      <c r="H63" s="480"/>
      <c r="I63" s="95">
        <f>CMT!G15</f>
        <v>43045.889000000003</v>
      </c>
      <c r="J63" s="138"/>
      <c r="K63" s="138"/>
      <c r="L63" s="94"/>
      <c r="M63" s="488"/>
      <c r="N63" s="94"/>
      <c r="O63" s="94"/>
      <c r="P63" s="95"/>
      <c r="Q63" s="94"/>
      <c r="R63" s="488"/>
      <c r="S63" s="94"/>
    </row>
    <row r="64" spans="1:19">
      <c r="A64" s="42" t="s">
        <v>590</v>
      </c>
      <c r="B64" s="95"/>
      <c r="C64" s="149"/>
      <c r="D64" s="95"/>
      <c r="E64" s="138"/>
      <c r="F64" s="138"/>
      <c r="G64" s="138"/>
      <c r="H64" s="480"/>
      <c r="I64" s="95"/>
      <c r="J64" s="138"/>
      <c r="K64" s="138"/>
      <c r="L64" s="94">
        <f>+FED!C7*1.18</f>
        <v>127498.1976</v>
      </c>
      <c r="M64" s="488"/>
      <c r="N64" s="94"/>
      <c r="O64" s="94"/>
      <c r="P64" s="95"/>
      <c r="Q64" s="94"/>
      <c r="R64" s="488"/>
      <c r="S64" s="94"/>
    </row>
    <row r="65" spans="1:19" s="36" customFormat="1">
      <c r="A65" s="44" t="s">
        <v>886</v>
      </c>
      <c r="B65" s="139">
        <f t="shared" ref="B65:S65" si="11">B3+B4+B8-B28</f>
        <v>32523.366000000002</v>
      </c>
      <c r="C65" s="141">
        <f t="shared" si="11"/>
        <v>-226692.40499999997</v>
      </c>
      <c r="D65" s="139">
        <f t="shared" si="11"/>
        <v>33245.845999999998</v>
      </c>
      <c r="E65" s="141">
        <f>E3+E4+E8-E28</f>
        <v>8470.59</v>
      </c>
      <c r="F65" s="141">
        <f t="shared" si="11"/>
        <v>-4675070.0356000001</v>
      </c>
      <c r="G65" s="141">
        <f t="shared" si="11"/>
        <v>260470.5</v>
      </c>
      <c r="H65" s="468">
        <f t="shared" si="11"/>
        <v>136436.01999999999</v>
      </c>
      <c r="I65" s="139">
        <f t="shared" si="11"/>
        <v>-420850.84900000005</v>
      </c>
      <c r="J65" s="141">
        <f t="shared" si="11"/>
        <v>13101.897000000001</v>
      </c>
      <c r="K65" s="141">
        <f t="shared" si="11"/>
        <v>2110.63</v>
      </c>
      <c r="L65" s="140">
        <f t="shared" si="11"/>
        <v>112556.90040000001</v>
      </c>
      <c r="M65" s="489">
        <f t="shared" si="11"/>
        <v>2305.6130000000003</v>
      </c>
      <c r="N65" s="140">
        <f t="shared" si="11"/>
        <v>-11656.267</v>
      </c>
      <c r="O65" s="140">
        <f t="shared" si="11"/>
        <v>28847.456999999999</v>
      </c>
      <c r="P65" s="139">
        <f t="shared" si="11"/>
        <v>2170.7179999999998</v>
      </c>
      <c r="Q65" s="140">
        <f t="shared" si="11"/>
        <v>5678.5499999999993</v>
      </c>
      <c r="R65" s="489">
        <f t="shared" si="11"/>
        <v>4084.299</v>
      </c>
      <c r="S65" s="140">
        <f t="shared" si="11"/>
        <v>38927.75499999999</v>
      </c>
    </row>
    <row r="66" spans="1:19" s="36" customFormat="1" ht="15.75" thickBot="1">
      <c r="A66" s="45" t="s">
        <v>68</v>
      </c>
      <c r="B66" s="93">
        <v>0</v>
      </c>
      <c r="C66" s="142">
        <v>-200000</v>
      </c>
      <c r="D66" s="93">
        <v>0</v>
      </c>
      <c r="E66" s="142">
        <v>0</v>
      </c>
      <c r="F66" s="142">
        <v>-2000000</v>
      </c>
      <c r="G66" s="142">
        <v>0</v>
      </c>
      <c r="H66" s="481">
        <v>0</v>
      </c>
      <c r="I66" s="93">
        <v>-420000</v>
      </c>
      <c r="J66" s="142">
        <v>0</v>
      </c>
      <c r="K66" s="142">
        <v>0</v>
      </c>
      <c r="L66" s="92">
        <v>0</v>
      </c>
      <c r="M66" s="490">
        <v>0</v>
      </c>
      <c r="N66" s="92">
        <v>0</v>
      </c>
      <c r="O66" s="92">
        <v>0</v>
      </c>
      <c r="P66" s="93">
        <v>0</v>
      </c>
      <c r="Q66" s="92">
        <v>0</v>
      </c>
      <c r="R66" s="490">
        <v>0</v>
      </c>
      <c r="S66" s="92">
        <v>0</v>
      </c>
    </row>
    <row r="67" spans="1:19">
      <c r="A67" s="1"/>
    </row>
    <row r="68" spans="1:19" s="292" customFormat="1" ht="15.75">
      <c r="B68" s="293"/>
      <c r="C68" s="293"/>
      <c r="D68" s="293"/>
      <c r="E68" s="293"/>
      <c r="F68" s="293"/>
      <c r="G68" s="293"/>
      <c r="H68" s="293"/>
      <c r="I68" s="293"/>
      <c r="J68" s="293"/>
      <c r="K68" s="293"/>
      <c r="L68" s="293"/>
    </row>
    <row r="69" spans="1:19" s="292" customFormat="1" ht="15.75">
      <c r="B69" s="293"/>
      <c r="C69" s="293"/>
      <c r="D69" s="293"/>
      <c r="E69" s="293"/>
      <c r="F69" s="293"/>
      <c r="G69" s="293"/>
      <c r="H69" s="293"/>
      <c r="I69" s="293"/>
      <c r="J69" s="293"/>
      <c r="K69" s="293"/>
      <c r="L69" s="293"/>
    </row>
    <row r="70" spans="1:19" s="295" customFormat="1" ht="15.75">
      <c r="A70" s="4"/>
      <c r="B70" s="293"/>
      <c r="C70" s="296"/>
      <c r="D70" s="296"/>
      <c r="E70" s="296"/>
      <c r="F70" s="296"/>
      <c r="G70" s="294"/>
      <c r="H70" s="294"/>
      <c r="I70" s="294"/>
      <c r="J70" s="294"/>
      <c r="K70" s="294"/>
      <c r="L70" s="294"/>
    </row>
    <row r="71" spans="1:19">
      <c r="A71" s="1"/>
    </row>
  </sheetData>
  <mergeCells count="4">
    <mergeCell ref="B1:C1"/>
    <mergeCell ref="D1:H1"/>
    <mergeCell ref="I1:L1"/>
    <mergeCell ref="P1:Q1"/>
  </mergeCells>
  <pageMargins left="0" right="0" top="0" bottom="0" header="0" footer="0"/>
  <pageSetup paperSize="9" scale="62" orientation="landscape" horizontalDpi="180" verticalDpi="180" r:id="rId1"/>
  <ignoredErrors>
    <ignoredError sqref="D8:H8 E44 J44 L13" formula="1"/>
    <ignoredError sqref="F13 N1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71"/>
  <sheetViews>
    <sheetView zoomScale="70" zoomScaleNormal="70" workbookViewId="0">
      <pane ySplit="2" topLeftCell="A12" activePane="bottomLeft" state="frozen"/>
      <selection activeCell="D38" sqref="D38"/>
      <selection pane="bottomLeft" activeCell="F58" sqref="F58"/>
    </sheetView>
  </sheetViews>
  <sheetFormatPr baseColWidth="10" defaultRowHeight="15"/>
  <cols>
    <col min="1" max="1" width="26.85546875" style="34" customWidth="1"/>
    <col min="2" max="12" width="14.7109375" style="91" customWidth="1"/>
    <col min="13" max="18" width="14.7109375" style="34" customWidth="1"/>
    <col min="19" max="20" width="11.42578125" style="34"/>
    <col min="21" max="21" width="11.7109375" style="34" bestFit="1" customWidth="1"/>
    <col min="22" max="22" width="21.85546875" style="34" customWidth="1"/>
    <col min="23" max="16384" width="11.42578125" style="34"/>
  </cols>
  <sheetData>
    <row r="1" spans="1:22" s="33" customFormat="1" thickBot="1">
      <c r="B1" s="868" t="s">
        <v>106</v>
      </c>
      <c r="C1" s="869"/>
      <c r="D1" s="868" t="s">
        <v>45</v>
      </c>
      <c r="E1" s="870"/>
      <c r="F1" s="870"/>
      <c r="G1" s="870"/>
      <c r="H1" s="871"/>
      <c r="I1" s="870" t="s">
        <v>46</v>
      </c>
      <c r="J1" s="870"/>
      <c r="K1" s="870"/>
      <c r="L1" s="872"/>
      <c r="M1" s="150" t="s">
        <v>123</v>
      </c>
      <c r="N1" s="150" t="s">
        <v>126</v>
      </c>
      <c r="O1" s="150" t="s">
        <v>129</v>
      </c>
      <c r="P1" s="873" t="s">
        <v>499</v>
      </c>
      <c r="Q1" s="874"/>
      <c r="R1" s="150" t="s">
        <v>588</v>
      </c>
      <c r="S1" s="150" t="s">
        <v>589</v>
      </c>
    </row>
    <row r="2" spans="1:22" ht="15.75" thickBot="1">
      <c r="B2" s="289" t="s">
        <v>104</v>
      </c>
      <c r="C2" s="291" t="s">
        <v>103</v>
      </c>
      <c r="D2" s="289" t="s">
        <v>124</v>
      </c>
      <c r="E2" s="290" t="s">
        <v>104</v>
      </c>
      <c r="F2" s="290" t="s">
        <v>103</v>
      </c>
      <c r="G2" s="290" t="s">
        <v>348</v>
      </c>
      <c r="H2" s="291" t="s">
        <v>420</v>
      </c>
      <c r="I2" s="289" t="s">
        <v>103</v>
      </c>
      <c r="J2" s="290" t="s">
        <v>102</v>
      </c>
      <c r="K2" s="290" t="s">
        <v>348</v>
      </c>
      <c r="L2" s="291" t="s">
        <v>420</v>
      </c>
      <c r="M2" s="737" t="s">
        <v>103</v>
      </c>
      <c r="N2" s="737" t="s">
        <v>127</v>
      </c>
      <c r="O2" s="737" t="s">
        <v>127</v>
      </c>
      <c r="P2" s="289" t="s">
        <v>127</v>
      </c>
      <c r="Q2" s="291" t="s">
        <v>348</v>
      </c>
      <c r="R2" s="737" t="s">
        <v>127</v>
      </c>
      <c r="S2" s="737" t="s">
        <v>127</v>
      </c>
    </row>
    <row r="3" spans="1:22" s="36" customFormat="1" ht="15.75" thickBot="1">
      <c r="A3" s="35" t="s">
        <v>1060</v>
      </c>
      <c r="B3" s="819">
        <f>'11-2017'!B65</f>
        <v>32523.366000000002</v>
      </c>
      <c r="C3" s="820">
        <f>'11-2017'!C65</f>
        <v>-226692.40499999997</v>
      </c>
      <c r="D3" s="819">
        <f>'11-2017'!D65</f>
        <v>33245.845999999998</v>
      </c>
      <c r="E3" s="825">
        <f>'11-2017'!E65</f>
        <v>8470.59</v>
      </c>
      <c r="F3" s="825">
        <f>'11-2017'!F65</f>
        <v>-4675070.0356000001</v>
      </c>
      <c r="G3" s="825">
        <f>'11-2017'!G65</f>
        <v>260470.5</v>
      </c>
      <c r="H3" s="820">
        <f>'11-2017'!H65</f>
        <v>136436.01999999999</v>
      </c>
      <c r="I3" s="819">
        <f>'11-2017'!I65</f>
        <v>-420850.84900000005</v>
      </c>
      <c r="J3" s="825">
        <f>'11-2017'!J65</f>
        <v>13101.897000000001</v>
      </c>
      <c r="K3" s="825">
        <f>'11-2017'!K65</f>
        <v>2110.63</v>
      </c>
      <c r="L3" s="820">
        <f>'11-2017'!L65</f>
        <v>112556.90040000001</v>
      </c>
      <c r="M3" s="827">
        <f>'11-2017'!M65</f>
        <v>2305.6130000000003</v>
      </c>
      <c r="N3" s="827">
        <f>'11-2017'!N65</f>
        <v>-11656.267</v>
      </c>
      <c r="O3" s="827">
        <f>'11-2017'!O65</f>
        <v>28847.456999999999</v>
      </c>
      <c r="P3" s="819">
        <f>'11-2017'!P65</f>
        <v>2170.7179999999998</v>
      </c>
      <c r="Q3" s="820">
        <f>'11-2017'!Q65</f>
        <v>5678.5499999999993</v>
      </c>
      <c r="R3" s="827">
        <f>'11-2017'!R65</f>
        <v>4084.299</v>
      </c>
      <c r="S3" s="827">
        <f>'11-2017'!S65</f>
        <v>38927.75499999999</v>
      </c>
    </row>
    <row r="4" spans="1:22" s="1" customFormat="1" ht="13.5" thickBot="1">
      <c r="A4" s="37" t="s">
        <v>49</v>
      </c>
      <c r="B4" s="818">
        <f>SUM(B5:B7)</f>
        <v>0</v>
      </c>
      <c r="C4" s="823">
        <f>SUM(C5:C7)</f>
        <v>0</v>
      </c>
      <c r="D4" s="818">
        <f t="shared" ref="D4:P4" si="0">SUM(D5:D7)</f>
        <v>0</v>
      </c>
      <c r="E4" s="824">
        <f>SUM(E5:E7)</f>
        <v>0</v>
      </c>
      <c r="F4" s="824">
        <f>SUM(F5:F7)</f>
        <v>0</v>
      </c>
      <c r="G4" s="824">
        <f>SUM(G5:G7)</f>
        <v>0</v>
      </c>
      <c r="H4" s="823">
        <f>SUM(H5:H7)</f>
        <v>0</v>
      </c>
      <c r="I4" s="818">
        <f t="shared" si="0"/>
        <v>0</v>
      </c>
      <c r="J4" s="824">
        <f>SUM(J5:J7)</f>
        <v>0</v>
      </c>
      <c r="K4" s="824">
        <f t="shared" si="0"/>
        <v>0</v>
      </c>
      <c r="L4" s="823">
        <f t="shared" si="0"/>
        <v>0</v>
      </c>
      <c r="M4" s="826">
        <f t="shared" si="0"/>
        <v>0</v>
      </c>
      <c r="N4" s="826">
        <f t="shared" si="0"/>
        <v>0</v>
      </c>
      <c r="O4" s="826">
        <f t="shared" si="0"/>
        <v>0</v>
      </c>
      <c r="P4" s="836">
        <f t="shared" si="0"/>
        <v>0</v>
      </c>
      <c r="Q4" s="837">
        <f>SUM(R5:R7)</f>
        <v>0</v>
      </c>
      <c r="R4" s="826">
        <f>SUM(S5:S7)</f>
        <v>0</v>
      </c>
      <c r="S4" s="826">
        <f>SUM(T5:T7)</f>
        <v>0</v>
      </c>
    </row>
    <row r="5" spans="1:22">
      <c r="A5" s="27" t="s">
        <v>101</v>
      </c>
      <c r="B5" s="151"/>
      <c r="C5" s="152"/>
      <c r="D5" s="151"/>
      <c r="E5" s="155"/>
      <c r="F5" s="155"/>
      <c r="G5" s="155"/>
      <c r="H5" s="469"/>
      <c r="I5" s="734"/>
      <c r="J5" s="155"/>
      <c r="K5" s="155"/>
      <c r="L5" s="735"/>
      <c r="M5" s="736"/>
      <c r="N5" s="735"/>
      <c r="O5" s="735"/>
      <c r="P5" s="816"/>
      <c r="Q5" s="817"/>
      <c r="R5" s="736"/>
      <c r="S5" s="735"/>
    </row>
    <row r="6" spans="1:22">
      <c r="A6" s="27" t="s">
        <v>99</v>
      </c>
      <c r="B6" s="108"/>
      <c r="C6" s="143"/>
      <c r="D6" s="108"/>
      <c r="E6" s="133"/>
      <c r="F6" s="133"/>
      <c r="G6" s="133"/>
      <c r="H6" s="470"/>
      <c r="I6" s="475"/>
      <c r="J6" s="133"/>
      <c r="K6" s="133"/>
      <c r="L6" s="106"/>
      <c r="M6" s="482"/>
      <c r="N6" s="106"/>
      <c r="O6" s="106"/>
      <c r="P6" s="475"/>
      <c r="Q6" s="106"/>
      <c r="R6" s="482"/>
      <c r="S6" s="106"/>
    </row>
    <row r="7" spans="1:22">
      <c r="A7" s="27" t="s">
        <v>50</v>
      </c>
      <c r="B7" s="108"/>
      <c r="C7" s="143"/>
      <c r="D7" s="108"/>
      <c r="E7" s="133"/>
      <c r="F7" s="133"/>
      <c r="G7" s="133"/>
      <c r="H7" s="470"/>
      <c r="I7" s="475"/>
      <c r="J7" s="133"/>
      <c r="K7" s="133"/>
      <c r="L7" s="106"/>
      <c r="M7" s="482"/>
      <c r="N7" s="106"/>
      <c r="O7" s="106"/>
      <c r="P7" s="475"/>
      <c r="Q7" s="106"/>
      <c r="R7" s="482"/>
      <c r="S7" s="106"/>
    </row>
    <row r="8" spans="1:22">
      <c r="A8" s="38" t="s">
        <v>51</v>
      </c>
      <c r="B8" s="110">
        <f>B9+B10+B11+B12+B13</f>
        <v>20000</v>
      </c>
      <c r="C8" s="144">
        <f>C9+C10+C11+C12+C13</f>
        <v>1800000</v>
      </c>
      <c r="D8" s="110">
        <f>D9+D10+D12+D13+D20+D25</f>
        <v>0</v>
      </c>
      <c r="E8" s="134">
        <f>E9+E10+E11+E12+E13</f>
        <v>30000</v>
      </c>
      <c r="F8" s="134">
        <f>+F9+F12+F14+F22</f>
        <v>3140000</v>
      </c>
      <c r="G8" s="134">
        <f>G14+G15+G16+G17+G18+G20</f>
        <v>455000</v>
      </c>
      <c r="H8" s="471">
        <f>H14+H15+H16+H17+H18+H20</f>
        <v>0</v>
      </c>
      <c r="I8" s="110">
        <f>I9+I10+I12+I13+I20+I25+I23+I11</f>
        <v>170000</v>
      </c>
      <c r="J8" s="134">
        <f>J9+J10+J12+J13+J20+J25+J23</f>
        <v>10000</v>
      </c>
      <c r="K8" s="134">
        <f t="shared" ref="K8:S8" si="1">K9+K10+K12+K13+K20+K25</f>
        <v>110915.25423728814</v>
      </c>
      <c r="L8" s="109">
        <f t="shared" si="1"/>
        <v>0</v>
      </c>
      <c r="M8" s="483">
        <f t="shared" si="1"/>
        <v>250000</v>
      </c>
      <c r="N8" s="109">
        <f t="shared" si="1"/>
        <v>15000</v>
      </c>
      <c r="O8" s="109">
        <f t="shared" si="1"/>
        <v>0</v>
      </c>
      <c r="P8" s="110">
        <f t="shared" si="1"/>
        <v>0</v>
      </c>
      <c r="Q8" s="109">
        <f t="shared" si="1"/>
        <v>0</v>
      </c>
      <c r="R8" s="483">
        <f t="shared" si="1"/>
        <v>170000</v>
      </c>
      <c r="S8" s="109">
        <f t="shared" si="1"/>
        <v>0</v>
      </c>
      <c r="V8" s="91"/>
    </row>
    <row r="9" spans="1:22">
      <c r="A9" s="27" t="s">
        <v>101</v>
      </c>
      <c r="B9" s="108"/>
      <c r="C9" s="143">
        <v>900000</v>
      </c>
      <c r="D9" s="108"/>
      <c r="E9" s="133">
        <f>B54</f>
        <v>30000</v>
      </c>
      <c r="F9" s="133">
        <f>C54</f>
        <v>1550000</v>
      </c>
      <c r="G9" s="133"/>
      <c r="H9" s="470"/>
      <c r="I9" s="538">
        <f>+R9</f>
        <v>170000</v>
      </c>
      <c r="J9" s="168">
        <f>B52</f>
        <v>10000</v>
      </c>
      <c r="K9" s="133"/>
      <c r="L9" s="106"/>
      <c r="M9" s="482">
        <f>E58+F58</f>
        <v>250000</v>
      </c>
      <c r="N9" s="106">
        <f>E56</f>
        <v>15000</v>
      </c>
      <c r="O9" s="106"/>
      <c r="P9" s="475">
        <f>E57</f>
        <v>0</v>
      </c>
      <c r="Q9" s="106"/>
      <c r="R9" s="482">
        <v>170000</v>
      </c>
      <c r="S9" s="106"/>
      <c r="V9" s="635"/>
    </row>
    <row r="10" spans="1:22">
      <c r="A10" s="27" t="s">
        <v>100</v>
      </c>
      <c r="B10" s="108"/>
      <c r="C10" s="143">
        <v>150000</v>
      </c>
      <c r="D10" s="108"/>
      <c r="E10" s="133"/>
      <c r="F10" s="133"/>
      <c r="G10" s="133"/>
      <c r="H10" s="470"/>
      <c r="I10" s="475"/>
      <c r="J10" s="133"/>
      <c r="K10" s="133"/>
      <c r="L10" s="106"/>
      <c r="M10" s="482"/>
      <c r="N10" s="106"/>
      <c r="O10" s="106"/>
      <c r="P10" s="475"/>
      <c r="Q10" s="106"/>
      <c r="R10" s="482"/>
      <c r="S10" s="106"/>
      <c r="V10" s="635"/>
    </row>
    <row r="11" spans="1:22">
      <c r="A11" s="27" t="s">
        <v>783</v>
      </c>
      <c r="B11" s="108"/>
      <c r="C11" s="143">
        <v>350000</v>
      </c>
      <c r="D11" s="108"/>
      <c r="E11" s="168"/>
      <c r="F11" s="133"/>
      <c r="G11" s="133"/>
      <c r="H11" s="470"/>
      <c r="I11" s="475"/>
      <c r="J11" s="133"/>
      <c r="K11" s="133"/>
      <c r="L11" s="106"/>
      <c r="M11" s="482"/>
      <c r="N11" s="106"/>
      <c r="O11" s="106"/>
      <c r="P11" s="475"/>
      <c r="Q11" s="106"/>
      <c r="R11" s="482"/>
      <c r="S11" s="106"/>
    </row>
    <row r="12" spans="1:22">
      <c r="A12" s="27" t="s">
        <v>99</v>
      </c>
      <c r="B12" s="108"/>
      <c r="C12" s="143">
        <v>350000</v>
      </c>
      <c r="D12" s="108"/>
      <c r="E12" s="133"/>
      <c r="F12" s="133">
        <v>450000</v>
      </c>
      <c r="G12" s="133"/>
      <c r="H12" s="470"/>
      <c r="I12" s="475"/>
      <c r="J12" s="493"/>
      <c r="K12" s="133"/>
      <c r="L12" s="106"/>
      <c r="M12" s="482"/>
      <c r="N12" s="106"/>
      <c r="O12" s="106"/>
      <c r="P12" s="475"/>
      <c r="Q12" s="106"/>
      <c r="R12" s="482"/>
      <c r="S12" s="106"/>
    </row>
    <row r="13" spans="1:22" s="33" customFormat="1" ht="14.25">
      <c r="A13" s="8" t="s">
        <v>50</v>
      </c>
      <c r="B13" s="107">
        <v>20000</v>
      </c>
      <c r="C13" s="145">
        <v>50000</v>
      </c>
      <c r="D13" s="97">
        <f>SUM(D14:D18)</f>
        <v>0</v>
      </c>
      <c r="E13" s="135">
        <f>SUM(E14:E25)</f>
        <v>0</v>
      </c>
      <c r="F13" s="135">
        <v>0</v>
      </c>
      <c r="G13" s="135">
        <f>SUM(G14:G20)</f>
        <v>455000</v>
      </c>
      <c r="H13" s="472">
        <f>SUM(H14:H20)</f>
        <v>0</v>
      </c>
      <c r="I13" s="97">
        <f>SUM(I14:I25)</f>
        <v>0</v>
      </c>
      <c r="J13" s="135">
        <f>SUM(J14:J25)</f>
        <v>0</v>
      </c>
      <c r="K13" s="135">
        <f>SUM(K14:K25)</f>
        <v>110915.25423728814</v>
      </c>
      <c r="L13" s="96">
        <f t="shared" ref="L13:S13" si="2">SUM(L14:L18)</f>
        <v>0</v>
      </c>
      <c r="M13" s="96">
        <f t="shared" si="2"/>
        <v>0</v>
      </c>
      <c r="N13" s="96">
        <f t="shared" si="2"/>
        <v>0</v>
      </c>
      <c r="O13" s="96">
        <f t="shared" si="2"/>
        <v>0</v>
      </c>
      <c r="P13" s="97">
        <f t="shared" si="2"/>
        <v>0</v>
      </c>
      <c r="Q13" s="96"/>
      <c r="R13" s="484">
        <f t="shared" si="2"/>
        <v>0</v>
      </c>
      <c r="S13" s="96">
        <f t="shared" si="2"/>
        <v>0</v>
      </c>
    </row>
    <row r="14" spans="1:22">
      <c r="A14" s="39" t="s">
        <v>52</v>
      </c>
      <c r="B14" s="623"/>
      <c r="C14" s="624"/>
      <c r="D14" s="623"/>
      <c r="E14" s="168"/>
      <c r="F14" s="444">
        <f>+G55*2.9+H55*2.5</f>
        <v>340000</v>
      </c>
      <c r="G14" s="625"/>
      <c r="H14" s="473"/>
      <c r="I14" s="845">
        <v>0</v>
      </c>
      <c r="J14" s="168"/>
      <c r="K14" s="444">
        <f>+L55/1.18</f>
        <v>94915.254237288143</v>
      </c>
      <c r="L14" s="491"/>
      <c r="M14" s="626"/>
      <c r="N14" s="539"/>
      <c r="O14" s="539"/>
      <c r="P14" s="538"/>
      <c r="Q14" s="539"/>
      <c r="R14" s="626"/>
      <c r="S14" s="539"/>
    </row>
    <row r="15" spans="1:22" s="675" customFormat="1">
      <c r="A15" s="674" t="s">
        <v>53</v>
      </c>
      <c r="B15" s="623"/>
      <c r="C15" s="624"/>
      <c r="D15" s="623"/>
      <c r="E15" s="168"/>
      <c r="F15" s="168"/>
      <c r="G15" s="168"/>
      <c r="H15" s="676"/>
      <c r="I15" s="538"/>
      <c r="J15" s="168"/>
      <c r="K15" s="168"/>
      <c r="L15" s="539"/>
      <c r="M15" s="626"/>
      <c r="N15" s="539"/>
      <c r="O15" s="539"/>
      <c r="P15" s="538"/>
      <c r="Q15" s="539"/>
      <c r="R15" s="626"/>
      <c r="S15" s="539"/>
    </row>
    <row r="16" spans="1:22" s="675" customFormat="1">
      <c r="A16" s="674" t="s">
        <v>54</v>
      </c>
      <c r="B16" s="623"/>
      <c r="C16" s="624"/>
      <c r="D16" s="623"/>
      <c r="E16" s="168"/>
      <c r="F16" s="168"/>
      <c r="G16" s="168"/>
      <c r="H16" s="559"/>
      <c r="I16" s="538"/>
      <c r="J16" s="168"/>
      <c r="K16" s="168"/>
      <c r="L16" s="539"/>
      <c r="M16" s="626"/>
      <c r="N16" s="539"/>
      <c r="O16" s="539"/>
      <c r="P16" s="538"/>
      <c r="Q16" s="539"/>
      <c r="R16" s="626"/>
      <c r="S16" s="539"/>
    </row>
    <row r="17" spans="1:19" s="675" customFormat="1">
      <c r="A17" s="674" t="s">
        <v>55</v>
      </c>
      <c r="B17" s="623"/>
      <c r="C17" s="624"/>
      <c r="D17" s="623"/>
      <c r="E17" s="168"/>
      <c r="F17" s="168"/>
      <c r="G17" s="359">
        <v>15000</v>
      </c>
      <c r="H17" s="473"/>
      <c r="I17" s="538"/>
      <c r="J17" s="168"/>
      <c r="K17" s="168"/>
      <c r="L17" s="539"/>
      <c r="M17" s="626"/>
      <c r="N17" s="539"/>
      <c r="O17" s="539"/>
      <c r="P17" s="538"/>
      <c r="Q17" s="539"/>
      <c r="R17" s="626"/>
      <c r="S17" s="539"/>
    </row>
    <row r="18" spans="1:19">
      <c r="A18" s="39" t="s">
        <v>56</v>
      </c>
      <c r="B18" s="623"/>
      <c r="C18" s="624"/>
      <c r="D18" s="623"/>
      <c r="E18" s="168"/>
      <c r="F18" s="168"/>
      <c r="G18" s="168">
        <f>110000*4</f>
        <v>440000</v>
      </c>
      <c r="H18" s="473"/>
      <c r="I18" s="538"/>
      <c r="J18" s="168"/>
      <c r="K18" s="359"/>
      <c r="L18" s="539"/>
      <c r="M18" s="626"/>
      <c r="N18" s="539"/>
      <c r="O18" s="539"/>
      <c r="P18" s="538"/>
      <c r="Q18" s="539"/>
      <c r="R18" s="626"/>
      <c r="S18" s="539"/>
    </row>
    <row r="19" spans="1:19">
      <c r="A19" s="39" t="s">
        <v>1062</v>
      </c>
      <c r="B19" s="623"/>
      <c r="C19" s="624"/>
      <c r="D19" s="623"/>
      <c r="E19" s="168"/>
      <c r="F19" s="168"/>
      <c r="G19" s="557"/>
      <c r="H19" s="473"/>
      <c r="I19" s="538"/>
      <c r="J19" s="168"/>
      <c r="K19" s="359">
        <v>16000</v>
      </c>
      <c r="L19" s="539"/>
      <c r="M19" s="626"/>
      <c r="N19" s="539"/>
      <c r="O19" s="539"/>
      <c r="P19" s="538"/>
      <c r="Q19" s="539"/>
      <c r="R19" s="626"/>
      <c r="S19" s="539"/>
    </row>
    <row r="20" spans="1:19">
      <c r="A20" s="27" t="s">
        <v>346</v>
      </c>
      <c r="B20" s="623"/>
      <c r="C20" s="624"/>
      <c r="D20" s="623"/>
      <c r="E20" s="556"/>
      <c r="F20" s="168"/>
      <c r="G20" s="625"/>
      <c r="H20" s="559"/>
      <c r="I20" s="538"/>
      <c r="J20" s="168"/>
      <c r="K20" s="556"/>
      <c r="L20" s="539"/>
      <c r="M20" s="626"/>
      <c r="N20" s="539"/>
      <c r="O20" s="539"/>
      <c r="P20" s="538"/>
      <c r="Q20" s="539"/>
      <c r="R20" s="626"/>
      <c r="S20" s="539"/>
    </row>
    <row r="21" spans="1:19">
      <c r="A21" s="27" t="s">
        <v>90</v>
      </c>
      <c r="B21" s="623"/>
      <c r="C21" s="624"/>
      <c r="D21" s="623"/>
      <c r="E21" s="556"/>
      <c r="F21" s="168"/>
      <c r="G21" s="168"/>
      <c r="H21" s="473"/>
      <c r="I21" s="538"/>
      <c r="J21" s="168"/>
      <c r="K21" s="168"/>
      <c r="L21" s="539"/>
      <c r="M21" s="626"/>
      <c r="N21" s="539"/>
      <c r="O21" s="539"/>
      <c r="P21" s="538"/>
      <c r="Q21" s="539"/>
      <c r="R21" s="626"/>
      <c r="S21" s="539"/>
    </row>
    <row r="22" spans="1:19">
      <c r="A22" s="27" t="s">
        <v>345</v>
      </c>
      <c r="B22" s="108"/>
      <c r="C22" s="143"/>
      <c r="D22" s="108"/>
      <c r="E22" s="558"/>
      <c r="F22" s="444">
        <v>800000</v>
      </c>
      <c r="G22" s="133"/>
      <c r="H22" s="470"/>
      <c r="I22" s="742"/>
      <c r="J22" s="133"/>
      <c r="K22" s="133"/>
      <c r="L22" s="106"/>
      <c r="M22" s="482"/>
      <c r="N22" s="106"/>
      <c r="O22" s="106"/>
      <c r="P22" s="475"/>
      <c r="Q22" s="106"/>
      <c r="R22" s="482"/>
      <c r="S22" s="106"/>
    </row>
    <row r="23" spans="1:19">
      <c r="A23" s="27" t="s">
        <v>128</v>
      </c>
      <c r="B23" s="108"/>
      <c r="C23" s="143"/>
      <c r="D23" s="108"/>
      <c r="E23" s="558"/>
      <c r="F23" s="133"/>
      <c r="G23" s="133"/>
      <c r="H23" s="470"/>
      <c r="I23" s="475"/>
      <c r="J23" s="133"/>
      <c r="K23" s="133"/>
      <c r="L23" s="106"/>
      <c r="M23" s="482"/>
      <c r="N23" s="106"/>
      <c r="O23" s="106"/>
      <c r="P23" s="475"/>
      <c r="Q23" s="106"/>
      <c r="R23" s="482"/>
      <c r="S23" s="106"/>
    </row>
    <row r="24" spans="1:19">
      <c r="A24" s="27" t="s">
        <v>932</v>
      </c>
      <c r="B24" s="108"/>
      <c r="C24" s="143"/>
      <c r="D24" s="108"/>
      <c r="E24" s="558"/>
      <c r="F24" s="133"/>
      <c r="G24" s="133"/>
      <c r="H24" s="470"/>
      <c r="I24" s="475"/>
      <c r="J24" s="133"/>
      <c r="K24" s="133"/>
      <c r="L24" s="106"/>
      <c r="M24" s="482"/>
      <c r="N24" s="106"/>
      <c r="O24" s="106"/>
      <c r="P24" s="475"/>
      <c r="Q24" s="106"/>
      <c r="R24" s="482"/>
      <c r="S24" s="106"/>
    </row>
    <row r="25" spans="1:19">
      <c r="A25" s="27" t="s">
        <v>2</v>
      </c>
      <c r="B25" s="108"/>
      <c r="C25" s="143"/>
      <c r="D25" s="108"/>
      <c r="E25" s="556"/>
      <c r="F25" s="133"/>
      <c r="G25" s="133"/>
      <c r="H25" s="470"/>
      <c r="I25" s="475"/>
      <c r="J25" s="133"/>
      <c r="K25" s="133"/>
      <c r="L25" s="106"/>
      <c r="M25" s="482"/>
      <c r="N25" s="106"/>
      <c r="O25" s="106"/>
      <c r="P25" s="475"/>
      <c r="Q25" s="106"/>
      <c r="R25" s="482"/>
      <c r="S25" s="106"/>
    </row>
    <row r="26" spans="1:19">
      <c r="A26" s="105" t="s">
        <v>595</v>
      </c>
      <c r="B26" s="169"/>
      <c r="C26" s="170"/>
      <c r="D26" s="169"/>
      <c r="E26" s="171"/>
      <c r="F26" s="171">
        <v>500000</v>
      </c>
      <c r="G26" s="171"/>
      <c r="H26" s="474"/>
      <c r="I26" s="476"/>
      <c r="J26" s="171"/>
      <c r="K26" s="171"/>
      <c r="L26" s="172"/>
      <c r="M26" s="485"/>
      <c r="N26" s="172">
        <v>1000000</v>
      </c>
      <c r="O26" s="172"/>
      <c r="P26" s="476"/>
      <c r="Q26" s="172"/>
      <c r="R26" s="485"/>
      <c r="S26" s="172"/>
    </row>
    <row r="27" spans="1:19" ht="15.75" thickBot="1">
      <c r="A27" s="105" t="s">
        <v>90</v>
      </c>
      <c r="B27" s="810"/>
      <c r="C27" s="821"/>
      <c r="D27" s="810"/>
      <c r="E27" s="811"/>
      <c r="F27" s="811"/>
      <c r="G27" s="811"/>
      <c r="H27" s="812"/>
      <c r="I27" s="614"/>
      <c r="J27" s="615"/>
      <c r="K27" s="615"/>
      <c r="L27" s="616"/>
      <c r="M27" s="804"/>
      <c r="N27" s="805"/>
      <c r="O27" s="805"/>
      <c r="P27" s="614"/>
      <c r="Q27" s="616"/>
      <c r="R27" s="804"/>
      <c r="S27" s="805"/>
    </row>
    <row r="28" spans="1:19" ht="15.75" thickBot="1">
      <c r="A28" s="40" t="s">
        <v>57</v>
      </c>
      <c r="B28" s="802">
        <f>B29+B44+B62</f>
        <v>44647.076000000001</v>
      </c>
      <c r="C28" s="803">
        <f>C29+C44+C62</f>
        <v>1795465.4879999999</v>
      </c>
      <c r="D28" s="802">
        <f t="shared" ref="D28:S28" si="3">D29+D44+D62</f>
        <v>10907.227999999999</v>
      </c>
      <c r="E28" s="807">
        <f>E29+E44+E62</f>
        <v>37900.036999999997</v>
      </c>
      <c r="F28" s="807">
        <f>F29+F44+F62</f>
        <v>1265012.4778888889</v>
      </c>
      <c r="G28" s="807">
        <f>G29+G44+G62</f>
        <v>582910.54</v>
      </c>
      <c r="H28" s="803">
        <f t="shared" ref="H28" si="4">H29+H44+H62</f>
        <v>136000</v>
      </c>
      <c r="I28" s="809">
        <f t="shared" si="3"/>
        <v>253003.02900000004</v>
      </c>
      <c r="J28" s="617">
        <f t="shared" si="3"/>
        <v>9758.51</v>
      </c>
      <c r="K28" s="617">
        <f t="shared" si="3"/>
        <v>112000</v>
      </c>
      <c r="L28" s="618">
        <f t="shared" si="3"/>
        <v>112000</v>
      </c>
      <c r="M28" s="808">
        <f t="shared" si="3"/>
        <v>248029.166</v>
      </c>
      <c r="N28" s="808">
        <f t="shared" si="3"/>
        <v>2375</v>
      </c>
      <c r="O28" s="808">
        <f t="shared" si="3"/>
        <v>0</v>
      </c>
      <c r="P28" s="802">
        <f t="shared" si="3"/>
        <v>5000</v>
      </c>
      <c r="Q28" s="803">
        <f t="shared" si="3"/>
        <v>0</v>
      </c>
      <c r="R28" s="808">
        <f t="shared" si="3"/>
        <v>0</v>
      </c>
      <c r="S28" s="808">
        <f t="shared" si="3"/>
        <v>0</v>
      </c>
    </row>
    <row r="29" spans="1:19" s="33" customFormat="1" ht="14.25">
      <c r="A29" s="41" t="s">
        <v>58</v>
      </c>
      <c r="B29" s="813">
        <f>SUM(B30:B43)</f>
        <v>0</v>
      </c>
      <c r="C29" s="822"/>
      <c r="D29" s="813">
        <f t="shared" ref="D29:S29" si="5">SUM(D30:D43)</f>
        <v>0</v>
      </c>
      <c r="E29" s="814">
        <f t="shared" si="5"/>
        <v>0</v>
      </c>
      <c r="F29" s="814">
        <f t="shared" si="5"/>
        <v>0</v>
      </c>
      <c r="G29" s="814">
        <f t="shared" si="5"/>
        <v>383052.63</v>
      </c>
      <c r="H29" s="815">
        <f>SUM(H30:H43)</f>
        <v>0</v>
      </c>
      <c r="I29" s="619">
        <f t="shared" si="5"/>
        <v>0</v>
      </c>
      <c r="J29" s="620">
        <f t="shared" si="5"/>
        <v>0</v>
      </c>
      <c r="K29" s="620">
        <f t="shared" si="5"/>
        <v>112000</v>
      </c>
      <c r="L29" s="621">
        <f t="shared" si="5"/>
        <v>0</v>
      </c>
      <c r="M29" s="806">
        <f t="shared" si="5"/>
        <v>0</v>
      </c>
      <c r="N29" s="801">
        <f t="shared" si="5"/>
        <v>0</v>
      </c>
      <c r="O29" s="801">
        <f t="shared" si="5"/>
        <v>0</v>
      </c>
      <c r="P29" s="619">
        <f t="shared" si="5"/>
        <v>0</v>
      </c>
      <c r="Q29" s="621"/>
      <c r="R29" s="806">
        <f t="shared" si="5"/>
        <v>0</v>
      </c>
      <c r="S29" s="801">
        <f t="shared" si="5"/>
        <v>0</v>
      </c>
    </row>
    <row r="30" spans="1:19" s="1" customFormat="1" ht="12.75">
      <c r="A30" s="42" t="s">
        <v>59</v>
      </c>
      <c r="B30" s="102"/>
      <c r="C30" s="148"/>
      <c r="D30" s="102"/>
      <c r="E30" s="137"/>
      <c r="F30" s="137"/>
      <c r="G30" s="137">
        <f>etranger!C58+etranger!C59</f>
        <v>224000</v>
      </c>
      <c r="H30" s="478"/>
      <c r="I30" s="492"/>
      <c r="J30" s="137"/>
      <c r="K30" s="137">
        <f>+etranger!C11</f>
        <v>112000</v>
      </c>
      <c r="L30" s="101"/>
      <c r="M30" s="486"/>
      <c r="N30" s="101"/>
      <c r="O30" s="101"/>
      <c r="P30" s="492"/>
      <c r="Q30" s="101"/>
      <c r="R30" s="486"/>
      <c r="S30" s="101"/>
    </row>
    <row r="31" spans="1:19" s="1" customFormat="1" ht="12.75">
      <c r="A31" s="42" t="s">
        <v>60</v>
      </c>
      <c r="B31" s="102"/>
      <c r="C31" s="148"/>
      <c r="D31" s="102"/>
      <c r="E31" s="137"/>
      <c r="F31" s="137"/>
      <c r="G31" s="137"/>
      <c r="H31" s="478"/>
      <c r="I31" s="492"/>
      <c r="J31" s="137"/>
      <c r="K31" s="137"/>
      <c r="L31" s="101"/>
      <c r="M31" s="486"/>
      <c r="N31" s="101"/>
      <c r="O31" s="101"/>
      <c r="P31" s="492"/>
      <c r="Q31" s="101"/>
      <c r="R31" s="486"/>
      <c r="S31" s="101"/>
    </row>
    <row r="32" spans="1:19" s="1" customFormat="1" ht="12.75">
      <c r="A32" s="42" t="s">
        <v>295</v>
      </c>
      <c r="B32" s="102"/>
      <c r="C32" s="148"/>
      <c r="D32" s="102"/>
      <c r="E32" s="137"/>
      <c r="F32" s="137"/>
      <c r="G32" s="137"/>
      <c r="H32" s="478"/>
      <c r="I32" s="492"/>
      <c r="J32" s="137"/>
      <c r="K32" s="137"/>
      <c r="L32" s="101"/>
      <c r="M32" s="486"/>
      <c r="N32" s="101"/>
      <c r="O32" s="101"/>
      <c r="P32" s="492"/>
      <c r="Q32" s="101"/>
      <c r="R32" s="486"/>
      <c r="S32" s="101"/>
    </row>
    <row r="33" spans="1:19" s="1" customFormat="1" ht="12.75">
      <c r="A33" s="42" t="s">
        <v>61</v>
      </c>
      <c r="B33" s="102"/>
      <c r="C33" s="148"/>
      <c r="D33" s="102"/>
      <c r="E33" s="137"/>
      <c r="F33" s="137"/>
      <c r="G33" s="137"/>
      <c r="H33" s="478"/>
      <c r="I33" s="492"/>
      <c r="J33" s="137"/>
      <c r="K33" s="137"/>
      <c r="L33" s="101"/>
      <c r="M33" s="486"/>
      <c r="N33" s="101"/>
      <c r="O33" s="101"/>
      <c r="P33" s="492"/>
      <c r="Q33" s="101"/>
      <c r="R33" s="486"/>
      <c r="S33" s="101"/>
    </row>
    <row r="34" spans="1:19" s="1" customFormat="1" ht="12.75">
      <c r="A34" s="42" t="s">
        <v>331</v>
      </c>
      <c r="B34" s="102"/>
      <c r="C34" s="148"/>
      <c r="D34" s="102"/>
      <c r="E34" s="137"/>
      <c r="F34" s="137"/>
      <c r="G34" s="137"/>
      <c r="H34" s="478"/>
      <c r="I34" s="492"/>
      <c r="J34" s="137"/>
      <c r="K34" s="137"/>
      <c r="L34" s="101"/>
      <c r="M34" s="486"/>
      <c r="N34" s="101"/>
      <c r="O34" s="101"/>
      <c r="P34" s="492"/>
      <c r="Q34" s="101"/>
      <c r="R34" s="486"/>
      <c r="S34" s="101"/>
    </row>
    <row r="35" spans="1:19" s="1" customFormat="1" ht="12.75">
      <c r="A35" s="42" t="s">
        <v>394</v>
      </c>
      <c r="B35" s="102"/>
      <c r="C35" s="148"/>
      <c r="D35" s="102"/>
      <c r="E35" s="137"/>
      <c r="F35" s="137"/>
      <c r="G35" s="137"/>
      <c r="H35" s="479"/>
      <c r="I35" s="492"/>
      <c r="J35" s="137"/>
      <c r="K35" s="137"/>
      <c r="L35" s="101"/>
      <c r="M35" s="486"/>
      <c r="N35" s="101"/>
      <c r="O35" s="101"/>
      <c r="P35" s="492"/>
      <c r="Q35" s="101"/>
      <c r="R35" s="486"/>
      <c r="S35" s="101"/>
    </row>
    <row r="36" spans="1:19" s="1" customFormat="1" ht="12.75">
      <c r="A36" s="42" t="s">
        <v>62</v>
      </c>
      <c r="B36" s="102"/>
      <c r="C36" s="148"/>
      <c r="D36" s="102"/>
      <c r="E36" s="137"/>
      <c r="F36" s="137"/>
      <c r="G36" s="137"/>
      <c r="H36" s="478"/>
      <c r="I36" s="492"/>
      <c r="J36" s="137"/>
      <c r="K36" s="137"/>
      <c r="L36" s="101"/>
      <c r="M36" s="486"/>
      <c r="N36" s="101"/>
      <c r="O36" s="101"/>
      <c r="P36" s="492"/>
      <c r="Q36" s="101"/>
      <c r="R36" s="486"/>
      <c r="S36" s="101"/>
    </row>
    <row r="37" spans="1:19" s="1" customFormat="1" ht="12.75">
      <c r="A37" s="42" t="s">
        <v>63</v>
      </c>
      <c r="B37" s="102"/>
      <c r="C37" s="148"/>
      <c r="D37" s="102"/>
      <c r="E37" s="137"/>
      <c r="F37" s="137"/>
      <c r="G37" s="137">
        <f>+etranger!C26+etranger!C27+etranger!C28+etranger!C29+etranger!C30+etranger!C31+etranger!C32+etranger!C33+etranger!C34+etranger!C35+etranger!C36</f>
        <v>159052.63</v>
      </c>
      <c r="H37" s="478"/>
      <c r="I37" s="492"/>
      <c r="J37" s="137"/>
      <c r="K37" s="137"/>
      <c r="L37" s="101"/>
      <c r="M37" s="486"/>
      <c r="N37" s="101"/>
      <c r="O37" s="101"/>
      <c r="P37" s="492"/>
      <c r="Q37" s="101"/>
      <c r="R37" s="486"/>
      <c r="S37" s="101"/>
    </row>
    <row r="38" spans="1:19" s="1" customFormat="1" ht="12.75">
      <c r="A38" s="42" t="s">
        <v>64</v>
      </c>
      <c r="B38" s="102"/>
      <c r="C38" s="148"/>
      <c r="D38" s="102"/>
      <c r="E38" s="137"/>
      <c r="F38" s="137"/>
      <c r="G38" s="137"/>
      <c r="H38" s="478"/>
      <c r="I38" s="492"/>
      <c r="J38" s="137"/>
      <c r="K38" s="137"/>
      <c r="L38" s="101"/>
      <c r="M38" s="486"/>
      <c r="N38" s="101"/>
      <c r="O38" s="101"/>
      <c r="P38" s="492"/>
      <c r="Q38" s="101"/>
      <c r="R38" s="486"/>
      <c r="S38" s="101"/>
    </row>
    <row r="39" spans="1:19" s="1" customFormat="1" ht="12.75">
      <c r="A39" s="42" t="s">
        <v>717</v>
      </c>
      <c r="B39" s="102"/>
      <c r="C39" s="148"/>
      <c r="D39" s="102"/>
      <c r="E39" s="137"/>
      <c r="F39" s="137"/>
      <c r="G39" s="137"/>
      <c r="H39" s="478"/>
      <c r="I39" s="492"/>
      <c r="J39" s="137"/>
      <c r="K39" s="137"/>
      <c r="L39" s="101"/>
      <c r="M39" s="486"/>
      <c r="N39" s="101"/>
      <c r="O39" s="101"/>
      <c r="P39" s="492"/>
      <c r="Q39" s="101"/>
      <c r="R39" s="486"/>
      <c r="S39" s="101"/>
    </row>
    <row r="40" spans="1:19" s="1" customFormat="1" ht="12.75">
      <c r="A40" s="42" t="s">
        <v>65</v>
      </c>
      <c r="B40" s="102"/>
      <c r="C40" s="148"/>
      <c r="D40" s="102"/>
      <c r="E40" s="137"/>
      <c r="F40" s="137"/>
      <c r="G40" s="137"/>
      <c r="H40" s="478"/>
      <c r="I40" s="492"/>
      <c r="J40" s="137"/>
      <c r="K40" s="137"/>
      <c r="L40" s="101"/>
      <c r="M40" s="486"/>
      <c r="N40" s="101"/>
      <c r="O40" s="101"/>
      <c r="P40" s="492"/>
      <c r="Q40" s="101"/>
      <c r="R40" s="486"/>
      <c r="S40" s="101"/>
    </row>
    <row r="41" spans="1:19" s="1" customFormat="1" ht="12.75">
      <c r="A41" s="42" t="s">
        <v>66</v>
      </c>
      <c r="B41" s="102"/>
      <c r="C41" s="148"/>
      <c r="D41" s="102"/>
      <c r="E41" s="137"/>
      <c r="F41" s="137"/>
      <c r="G41" s="640"/>
      <c r="H41" s="478"/>
      <c r="I41" s="492"/>
      <c r="J41" s="137"/>
      <c r="K41" s="137"/>
      <c r="L41" s="101"/>
      <c r="M41" s="486"/>
      <c r="N41" s="101"/>
      <c r="O41" s="101"/>
      <c r="P41" s="492"/>
      <c r="Q41" s="101"/>
      <c r="R41" s="486"/>
      <c r="S41" s="101"/>
    </row>
    <row r="42" spans="1:19" s="1" customFormat="1" ht="12.75">
      <c r="A42" s="42" t="s">
        <v>868</v>
      </c>
      <c r="B42" s="102"/>
      <c r="C42" s="148"/>
      <c r="D42" s="102"/>
      <c r="E42" s="137"/>
      <c r="F42" s="137"/>
      <c r="G42" s="137"/>
      <c r="H42" s="478"/>
      <c r="I42" s="492"/>
      <c r="J42" s="137"/>
      <c r="K42" s="137"/>
      <c r="L42" s="101"/>
      <c r="M42" s="486"/>
      <c r="N42" s="101"/>
      <c r="O42" s="101"/>
      <c r="P42" s="492"/>
      <c r="Q42" s="101"/>
      <c r="R42" s="486"/>
      <c r="S42" s="101"/>
    </row>
    <row r="43" spans="1:19" s="1" customFormat="1" ht="12.75">
      <c r="A43" s="42" t="s">
        <v>500</v>
      </c>
      <c r="B43" s="102"/>
      <c r="C43" s="148"/>
      <c r="D43" s="102"/>
      <c r="E43" s="137"/>
      <c r="F43" s="137"/>
      <c r="G43" s="137"/>
      <c r="H43" s="478"/>
      <c r="I43" s="492"/>
      <c r="J43" s="137"/>
      <c r="K43" s="305"/>
      <c r="L43" s="101"/>
      <c r="M43" s="486"/>
      <c r="N43" s="101"/>
      <c r="O43" s="101"/>
      <c r="P43" s="492"/>
      <c r="Q43" s="101"/>
      <c r="R43" s="486"/>
      <c r="S43" s="101"/>
    </row>
    <row r="44" spans="1:19" s="33" customFormat="1" ht="14.25">
      <c r="A44" s="100" t="s">
        <v>98</v>
      </c>
      <c r="B44" s="99">
        <f>SUM(B45:B60)</f>
        <v>44647.076000000001</v>
      </c>
      <c r="C44" s="136">
        <f>SUM(C45:C60)</f>
        <v>1795465.4879999999</v>
      </c>
      <c r="D44" s="99">
        <f>SUM(D45:D59)</f>
        <v>0</v>
      </c>
      <c r="E44" s="136">
        <f>SUM(E45:E61)</f>
        <v>37900.036999999997</v>
      </c>
      <c r="F44" s="136">
        <f>SUM(F45:F59)</f>
        <v>1137630.993</v>
      </c>
      <c r="G44" s="136">
        <f t="shared" ref="G44:L44" si="6">SUM(G45:G59)</f>
        <v>0</v>
      </c>
      <c r="H44" s="477">
        <f t="shared" si="6"/>
        <v>136000</v>
      </c>
      <c r="I44" s="99">
        <f t="shared" si="6"/>
        <v>203298.84600000002</v>
      </c>
      <c r="J44" s="136">
        <f>SUM(J45:J60)</f>
        <v>9758.51</v>
      </c>
      <c r="K44" s="136">
        <f t="shared" si="6"/>
        <v>0</v>
      </c>
      <c r="L44" s="98">
        <f t="shared" si="6"/>
        <v>112000</v>
      </c>
      <c r="M44" s="358">
        <f>SUM(M45:M59)</f>
        <v>248029.166</v>
      </c>
      <c r="N44" s="98">
        <f t="shared" ref="N44:S44" si="7">SUM(N45:N61)</f>
        <v>2375</v>
      </c>
      <c r="O44" s="98">
        <f t="shared" si="7"/>
        <v>0</v>
      </c>
      <c r="P44" s="99">
        <f t="shared" si="7"/>
        <v>5000</v>
      </c>
      <c r="Q44" s="98">
        <f t="shared" si="7"/>
        <v>0</v>
      </c>
      <c r="R44" s="358">
        <f t="shared" si="7"/>
        <v>0</v>
      </c>
      <c r="S44" s="98">
        <f t="shared" si="7"/>
        <v>0</v>
      </c>
    </row>
    <row r="45" spans="1:19">
      <c r="A45" s="42" t="s">
        <v>97</v>
      </c>
      <c r="B45" s="541"/>
      <c r="C45" s="627">
        <v>30000</v>
      </c>
      <c r="D45" s="541"/>
      <c r="E45" s="167"/>
      <c r="F45" s="167">
        <v>100000</v>
      </c>
      <c r="G45" s="167"/>
      <c r="H45" s="540"/>
      <c r="I45" s="541">
        <v>25000</v>
      </c>
      <c r="J45" s="167"/>
      <c r="K45" s="167"/>
      <c r="L45" s="174"/>
      <c r="M45" s="487">
        <v>2000</v>
      </c>
      <c r="N45" s="174">
        <v>475</v>
      </c>
      <c r="O45" s="174"/>
      <c r="P45" s="95">
        <v>1000</v>
      </c>
      <c r="Q45" s="94"/>
      <c r="R45" s="488"/>
      <c r="S45" s="94"/>
    </row>
    <row r="46" spans="1:19">
      <c r="A46" s="42" t="s">
        <v>96</v>
      </c>
      <c r="B46" s="541"/>
      <c r="C46" s="627">
        <v>30000</v>
      </c>
      <c r="D46" s="541"/>
      <c r="E46" s="167"/>
      <c r="F46" s="167">
        <v>95000</v>
      </c>
      <c r="G46" s="167"/>
      <c r="H46" s="540"/>
      <c r="I46" s="541">
        <v>47000</v>
      </c>
      <c r="J46" s="167"/>
      <c r="K46" s="167"/>
      <c r="L46" s="174"/>
      <c r="M46" s="487">
        <v>8000</v>
      </c>
      <c r="N46" s="174">
        <v>1900</v>
      </c>
      <c r="O46" s="174"/>
      <c r="P46" s="95">
        <v>4000</v>
      </c>
      <c r="Q46" s="94"/>
      <c r="R46" s="488"/>
      <c r="S46" s="94"/>
    </row>
    <row r="47" spans="1:19">
      <c r="A47" s="42" t="s">
        <v>291</v>
      </c>
      <c r="B47" s="541"/>
      <c r="C47" s="627"/>
      <c r="D47" s="541"/>
      <c r="E47" s="167"/>
      <c r="F47" s="167"/>
      <c r="G47" s="167"/>
      <c r="H47" s="540"/>
      <c r="I47" s="541"/>
      <c r="J47" s="167"/>
      <c r="K47" s="167"/>
      <c r="L47" s="174"/>
      <c r="M47" s="487"/>
      <c r="N47" s="174"/>
      <c r="O47" s="174"/>
      <c r="P47" s="95"/>
      <c r="Q47" s="94"/>
      <c r="R47" s="488"/>
      <c r="S47" s="94"/>
    </row>
    <row r="48" spans="1:19">
      <c r="A48" s="42" t="s">
        <v>95</v>
      </c>
      <c r="B48" s="541"/>
      <c r="C48" s="627"/>
      <c r="D48" s="541"/>
      <c r="E48" s="167"/>
      <c r="F48" s="167">
        <v>110000</v>
      </c>
      <c r="G48" s="167"/>
      <c r="H48" s="540"/>
      <c r="I48" s="541">
        <v>30000</v>
      </c>
      <c r="J48" s="167"/>
      <c r="K48" s="167"/>
      <c r="L48" s="174"/>
      <c r="M48" s="487"/>
      <c r="N48" s="174"/>
      <c r="O48" s="174"/>
      <c r="P48" s="95"/>
      <c r="Q48" s="94"/>
      <c r="R48" s="488"/>
      <c r="S48" s="94"/>
    </row>
    <row r="49" spans="1:19">
      <c r="A49" s="42" t="s">
        <v>94</v>
      </c>
      <c r="B49" s="541">
        <v>4647.076</v>
      </c>
      <c r="C49" s="627">
        <v>5465.4880000000003</v>
      </c>
      <c r="D49" s="541"/>
      <c r="E49" s="167">
        <v>2900.0369999999998</v>
      </c>
      <c r="F49" s="167">
        <v>4830.9930000000004</v>
      </c>
      <c r="G49" s="167"/>
      <c r="H49" s="540"/>
      <c r="I49" s="541">
        <v>1298.846</v>
      </c>
      <c r="J49" s="167">
        <v>4758.51</v>
      </c>
      <c r="K49" s="167"/>
      <c r="L49" s="174"/>
      <c r="M49" s="487"/>
      <c r="N49" s="174"/>
      <c r="O49" s="174"/>
      <c r="P49" s="95"/>
      <c r="Q49" s="94"/>
      <c r="R49" s="488"/>
      <c r="S49" s="94"/>
    </row>
    <row r="50" spans="1:19">
      <c r="A50" s="42" t="s">
        <v>594</v>
      </c>
      <c r="B50" s="541"/>
      <c r="C50" s="627"/>
      <c r="D50" s="541"/>
      <c r="E50" s="628"/>
      <c r="F50" s="167">
        <f>150*1400*1.18</f>
        <v>247800</v>
      </c>
      <c r="G50" s="167"/>
      <c r="H50" s="540"/>
      <c r="I50" s="541"/>
      <c r="J50" s="167"/>
      <c r="K50" s="167"/>
      <c r="L50" s="174"/>
      <c r="M50" s="487"/>
      <c r="N50" s="174"/>
      <c r="O50" s="174"/>
      <c r="P50" s="95"/>
      <c r="Q50" s="94"/>
      <c r="R50" s="488"/>
      <c r="S50" s="94"/>
    </row>
    <row r="51" spans="1:19">
      <c r="A51" s="42" t="s">
        <v>93</v>
      </c>
      <c r="B51" s="541"/>
      <c r="C51" s="627">
        <v>50000</v>
      </c>
      <c r="D51" s="541"/>
      <c r="E51" s="167"/>
      <c r="F51" s="167"/>
      <c r="G51" s="167"/>
      <c r="H51" s="540"/>
      <c r="I51" s="541"/>
      <c r="J51" s="167"/>
      <c r="K51" s="167"/>
      <c r="L51" s="174"/>
      <c r="M51" s="487"/>
      <c r="N51" s="174"/>
      <c r="O51" s="174"/>
      <c r="P51" s="95"/>
      <c r="Q51" s="94"/>
      <c r="R51" s="488"/>
      <c r="S51" s="94"/>
    </row>
    <row r="52" spans="1:19" s="33" customFormat="1">
      <c r="A52" s="42" t="s">
        <v>46</v>
      </c>
      <c r="B52" s="541">
        <v>10000</v>
      </c>
      <c r="C52" s="627"/>
      <c r="D52" s="541"/>
      <c r="E52" s="304"/>
      <c r="F52" s="167"/>
      <c r="G52" s="167"/>
      <c r="H52" s="540"/>
      <c r="I52" s="541"/>
      <c r="J52" s="167"/>
      <c r="K52" s="167"/>
      <c r="L52" s="174"/>
      <c r="M52" s="487"/>
      <c r="N52" s="174"/>
      <c r="O52" s="174"/>
      <c r="P52" s="95"/>
      <c r="Q52" s="94"/>
      <c r="R52" s="488"/>
      <c r="S52" s="94"/>
    </row>
    <row r="53" spans="1:19" s="33" customFormat="1">
      <c r="A53" s="42" t="s">
        <v>92</v>
      </c>
      <c r="B53" s="541"/>
      <c r="C53" s="627">
        <v>100000</v>
      </c>
      <c r="D53" s="541"/>
      <c r="E53" s="167"/>
      <c r="F53" s="167"/>
      <c r="G53" s="167"/>
      <c r="H53" s="540"/>
      <c r="I53" s="541"/>
      <c r="J53" s="167"/>
      <c r="K53" s="167"/>
      <c r="L53" s="174"/>
      <c r="M53" s="487"/>
      <c r="N53" s="174"/>
      <c r="O53" s="174"/>
      <c r="P53" s="95"/>
      <c r="Q53" s="94"/>
      <c r="R53" s="488"/>
      <c r="S53" s="94"/>
    </row>
    <row r="54" spans="1:19">
      <c r="A54" s="42" t="s">
        <v>45</v>
      </c>
      <c r="B54" s="541">
        <v>30000</v>
      </c>
      <c r="C54" s="627">
        <v>1550000</v>
      </c>
      <c r="D54" s="541"/>
      <c r="E54" s="167"/>
      <c r="F54" s="167"/>
      <c r="G54" s="167"/>
      <c r="H54" s="540"/>
      <c r="I54" s="541"/>
      <c r="J54" s="167"/>
      <c r="K54" s="167"/>
      <c r="L54" s="174"/>
      <c r="M54" s="487"/>
      <c r="N54" s="174"/>
      <c r="O54" s="174"/>
      <c r="P54" s="95"/>
      <c r="Q54" s="94"/>
      <c r="R54" s="488"/>
      <c r="S54" s="94"/>
    </row>
    <row r="55" spans="1:19">
      <c r="A55" s="42" t="s">
        <v>294</v>
      </c>
      <c r="B55" s="541"/>
      <c r="C55" s="627"/>
      <c r="D55" s="541"/>
      <c r="E55" s="167"/>
      <c r="F55" s="304"/>
      <c r="G55" s="835"/>
      <c r="H55" s="740">
        <v>136000</v>
      </c>
      <c r="I55" s="622"/>
      <c r="J55" s="167"/>
      <c r="K55" s="438"/>
      <c r="L55" s="445">
        <v>112000</v>
      </c>
      <c r="M55" s="487"/>
      <c r="N55" s="174"/>
      <c r="O55" s="174"/>
      <c r="P55" s="95"/>
      <c r="Q55" s="94"/>
      <c r="R55" s="488"/>
      <c r="S55" s="94"/>
    </row>
    <row r="56" spans="1:19">
      <c r="A56" s="42" t="s">
        <v>130</v>
      </c>
      <c r="B56" s="541"/>
      <c r="C56" s="627"/>
      <c r="D56" s="541"/>
      <c r="E56" s="167">
        <v>15000</v>
      </c>
      <c r="F56" s="167"/>
      <c r="G56" s="167"/>
      <c r="H56" s="540"/>
      <c r="I56" s="541"/>
      <c r="J56" s="167"/>
      <c r="K56" s="167"/>
      <c r="L56" s="174"/>
      <c r="M56" s="487"/>
      <c r="N56" s="174"/>
      <c r="O56" s="174"/>
      <c r="P56" s="95"/>
      <c r="Q56" s="94"/>
      <c r="R56" s="488"/>
      <c r="S56" s="94"/>
    </row>
    <row r="57" spans="1:19">
      <c r="A57" s="42" t="s">
        <v>867</v>
      </c>
      <c r="B57" s="541"/>
      <c r="C57" s="627"/>
      <c r="D57" s="541"/>
      <c r="E57" s="167"/>
      <c r="F57" s="167"/>
      <c r="G57" s="167"/>
      <c r="H57" s="540"/>
      <c r="I57" s="541"/>
      <c r="J57" s="167"/>
      <c r="K57" s="167"/>
      <c r="L57" s="174"/>
      <c r="M57" s="487"/>
      <c r="N57" s="174"/>
      <c r="O57" s="174"/>
      <c r="P57" s="95"/>
      <c r="Q57" s="94"/>
      <c r="R57" s="488"/>
      <c r="S57" s="94"/>
    </row>
    <row r="58" spans="1:19">
      <c r="A58" s="42" t="s">
        <v>123</v>
      </c>
      <c r="B58" s="541"/>
      <c r="C58" s="627"/>
      <c r="D58" s="541"/>
      <c r="E58" s="628">
        <v>20000</v>
      </c>
      <c r="F58" s="167">
        <v>230000</v>
      </c>
      <c r="G58" s="167"/>
      <c r="H58" s="540"/>
      <c r="I58" s="541"/>
      <c r="J58" s="167"/>
      <c r="K58" s="167"/>
      <c r="L58" s="174"/>
      <c r="M58" s="487"/>
      <c r="N58" s="174"/>
      <c r="O58" s="174"/>
      <c r="P58" s="95"/>
      <c r="Q58" s="94"/>
      <c r="R58" s="488"/>
      <c r="S58" s="94"/>
    </row>
    <row r="59" spans="1:19">
      <c r="A59" s="42" t="s">
        <v>91</v>
      </c>
      <c r="B59" s="541"/>
      <c r="C59" s="627">
        <v>30000</v>
      </c>
      <c r="D59" s="541"/>
      <c r="E59" s="167"/>
      <c r="F59" s="167">
        <v>350000</v>
      </c>
      <c r="G59" s="167"/>
      <c r="H59" s="540"/>
      <c r="I59" s="541">
        <v>100000</v>
      </c>
      <c r="J59" s="167">
        <v>5000</v>
      </c>
      <c r="K59" s="167"/>
      <c r="L59" s="174"/>
      <c r="M59" s="487">
        <f>50000+75000+63029.166+50000</f>
        <v>238029.166</v>
      </c>
      <c r="N59" s="174"/>
      <c r="O59" s="174"/>
      <c r="P59" s="95"/>
      <c r="Q59" s="94"/>
      <c r="R59" s="488"/>
      <c r="S59" s="94"/>
    </row>
    <row r="60" spans="1:19">
      <c r="A60" s="42" t="s">
        <v>131</v>
      </c>
      <c r="B60" s="95"/>
      <c r="C60" s="149"/>
      <c r="D60" s="95"/>
      <c r="E60" s="138"/>
      <c r="F60" s="138"/>
      <c r="G60" s="138"/>
      <c r="H60" s="480"/>
      <c r="I60" s="95"/>
      <c r="J60" s="138"/>
      <c r="K60" s="138"/>
      <c r="L60" s="94"/>
      <c r="M60" s="488"/>
      <c r="N60" s="94"/>
      <c r="O60" s="94"/>
      <c r="P60" s="95"/>
      <c r="Q60" s="94"/>
      <c r="R60" s="488"/>
      <c r="S60" s="94"/>
    </row>
    <row r="61" spans="1:19">
      <c r="A61" s="42" t="s">
        <v>128</v>
      </c>
      <c r="B61" s="95"/>
      <c r="C61" s="149"/>
      <c r="D61" s="95"/>
      <c r="E61" s="138"/>
      <c r="F61" s="138"/>
      <c r="G61" s="138"/>
      <c r="H61" s="480"/>
      <c r="I61" s="95"/>
      <c r="J61" s="138"/>
      <c r="K61" s="138"/>
      <c r="L61" s="94"/>
      <c r="M61" s="488"/>
      <c r="N61" s="94"/>
      <c r="O61" s="94"/>
      <c r="P61" s="95"/>
      <c r="Q61" s="94"/>
      <c r="R61" s="488"/>
      <c r="S61" s="94"/>
    </row>
    <row r="62" spans="1:19" s="33" customFormat="1" ht="14.25">
      <c r="A62" s="43" t="s">
        <v>67</v>
      </c>
      <c r="B62" s="97">
        <f>SUM(B63:B64)</f>
        <v>0</v>
      </c>
      <c r="C62" s="135">
        <f>SUM(C63:C64)</f>
        <v>0</v>
      </c>
      <c r="D62" s="97">
        <f t="shared" ref="D62:S62" si="8">SUM(D63:D64)</f>
        <v>10907.227999999999</v>
      </c>
      <c r="E62" s="135">
        <f t="shared" si="8"/>
        <v>0</v>
      </c>
      <c r="F62" s="135">
        <f t="shared" si="8"/>
        <v>127381.4848888889</v>
      </c>
      <c r="G62" s="135">
        <f t="shared" si="8"/>
        <v>199857.91</v>
      </c>
      <c r="H62" s="472">
        <f t="shared" si="8"/>
        <v>0</v>
      </c>
      <c r="I62" s="97">
        <f t="shared" si="8"/>
        <v>49704.183000000005</v>
      </c>
      <c r="J62" s="135">
        <f t="shared" si="8"/>
        <v>0</v>
      </c>
      <c r="K62" s="135">
        <f t="shared" si="8"/>
        <v>0</v>
      </c>
      <c r="L62" s="96">
        <f t="shared" si="8"/>
        <v>0</v>
      </c>
      <c r="M62" s="484">
        <f t="shared" si="8"/>
        <v>0</v>
      </c>
      <c r="N62" s="96">
        <f t="shared" si="8"/>
        <v>0</v>
      </c>
      <c r="O62" s="96">
        <f t="shared" si="8"/>
        <v>0</v>
      </c>
      <c r="P62" s="97">
        <f t="shared" si="8"/>
        <v>0</v>
      </c>
      <c r="Q62" s="96"/>
      <c r="R62" s="484">
        <f t="shared" si="8"/>
        <v>0</v>
      </c>
      <c r="S62" s="96">
        <f t="shared" si="8"/>
        <v>0</v>
      </c>
    </row>
    <row r="63" spans="1:19">
      <c r="A63" s="42" t="s">
        <v>90</v>
      </c>
      <c r="B63" s="95"/>
      <c r="C63" s="149"/>
      <c r="D63" s="95">
        <f>+CMT!G68</f>
        <v>10907.227999999999</v>
      </c>
      <c r="E63" s="138"/>
      <c r="F63" s="138">
        <f>+CMT!G62+CMT!G63+CMT!G64+CMT!G65+CMT!G66+CMT!G67</f>
        <v>127381.4848888889</v>
      </c>
      <c r="G63" s="138"/>
      <c r="H63" s="480"/>
      <c r="I63" s="95">
        <f>+CMT!G17+CMT!G18</f>
        <v>49704.183000000005</v>
      </c>
      <c r="J63" s="138"/>
      <c r="K63" s="138"/>
      <c r="L63" s="94"/>
      <c r="M63" s="488"/>
      <c r="N63" s="94"/>
      <c r="O63" s="94"/>
      <c r="P63" s="95"/>
      <c r="Q63" s="94"/>
      <c r="R63" s="488"/>
      <c r="S63" s="94"/>
    </row>
    <row r="64" spans="1:19">
      <c r="A64" s="42" t="s">
        <v>590</v>
      </c>
      <c r="B64" s="95"/>
      <c r="C64" s="149"/>
      <c r="D64" s="95"/>
      <c r="E64" s="138"/>
      <c r="F64" s="138"/>
      <c r="G64" s="138">
        <f>+FED!C10</f>
        <v>199857.91</v>
      </c>
      <c r="H64" s="480"/>
      <c r="I64" s="95"/>
      <c r="J64" s="138"/>
      <c r="K64" s="138"/>
      <c r="L64" s="94"/>
      <c r="M64" s="488"/>
      <c r="N64" s="94"/>
      <c r="O64" s="94"/>
      <c r="P64" s="95"/>
      <c r="Q64" s="94"/>
      <c r="R64" s="488"/>
      <c r="S64" s="94"/>
    </row>
    <row r="65" spans="1:19" s="36" customFormat="1">
      <c r="A65" s="44" t="s">
        <v>887</v>
      </c>
      <c r="B65" s="139">
        <f t="shared" ref="B65:Q65" si="9">B3+B4+B8-B28</f>
        <v>7876.2900000000009</v>
      </c>
      <c r="C65" s="141">
        <f t="shared" si="9"/>
        <v>-222157.89299999992</v>
      </c>
      <c r="D65" s="139">
        <f t="shared" si="9"/>
        <v>22338.617999999999</v>
      </c>
      <c r="E65" s="141">
        <f>E3+E4+E8-E28</f>
        <v>570.55299999999988</v>
      </c>
      <c r="F65" s="141">
        <f t="shared" si="9"/>
        <v>-2800082.5134888887</v>
      </c>
      <c r="G65" s="141">
        <f t="shared" si="9"/>
        <v>132559.95999999996</v>
      </c>
      <c r="H65" s="468">
        <f t="shared" si="9"/>
        <v>436.01999999998952</v>
      </c>
      <c r="I65" s="139">
        <f t="shared" si="9"/>
        <v>-503853.87800000008</v>
      </c>
      <c r="J65" s="141">
        <f t="shared" si="9"/>
        <v>13343.387000000001</v>
      </c>
      <c r="K65" s="141">
        <f t="shared" si="9"/>
        <v>1025.8842372881481</v>
      </c>
      <c r="L65" s="140">
        <f t="shared" si="9"/>
        <v>556.90040000001318</v>
      </c>
      <c r="M65" s="489">
        <f t="shared" si="9"/>
        <v>4276.4470000000147</v>
      </c>
      <c r="N65" s="140">
        <f t="shared" si="9"/>
        <v>968.73300000000017</v>
      </c>
      <c r="O65" s="140">
        <f t="shared" si="9"/>
        <v>28847.456999999999</v>
      </c>
      <c r="P65" s="139">
        <f t="shared" si="9"/>
        <v>-2829.2820000000002</v>
      </c>
      <c r="Q65" s="140">
        <f t="shared" si="9"/>
        <v>5678.5499999999993</v>
      </c>
      <c r="R65" s="489">
        <f>Q3+Q4+R8-R28</f>
        <v>175678.55</v>
      </c>
      <c r="S65" s="140">
        <f>R3+R4+S8-S28</f>
        <v>4084.299</v>
      </c>
    </row>
    <row r="66" spans="1:19" s="36" customFormat="1" ht="15.75" thickBot="1">
      <c r="A66" s="45" t="s">
        <v>68</v>
      </c>
      <c r="B66" s="93">
        <v>0</v>
      </c>
      <c r="C66" s="142">
        <v>-200000</v>
      </c>
      <c r="D66" s="93">
        <v>0</v>
      </c>
      <c r="E66" s="142">
        <v>0</v>
      </c>
      <c r="F66" s="142">
        <v>-2000000</v>
      </c>
      <c r="G66" s="142">
        <v>0</v>
      </c>
      <c r="H66" s="481">
        <v>0</v>
      </c>
      <c r="I66" s="93">
        <v>-420000</v>
      </c>
      <c r="J66" s="142">
        <v>0</v>
      </c>
      <c r="K66" s="142">
        <v>0</v>
      </c>
      <c r="L66" s="92">
        <v>0</v>
      </c>
      <c r="M66" s="490">
        <v>0</v>
      </c>
      <c r="N66" s="92">
        <v>0</v>
      </c>
      <c r="O66" s="92">
        <v>0</v>
      </c>
      <c r="P66" s="93">
        <v>0</v>
      </c>
      <c r="Q66" s="92">
        <v>0</v>
      </c>
      <c r="R66" s="490">
        <v>0</v>
      </c>
      <c r="S66" s="92">
        <v>0</v>
      </c>
    </row>
    <row r="67" spans="1:19">
      <c r="A67" s="1"/>
    </row>
    <row r="68" spans="1:19" s="292" customFormat="1" ht="15.75">
      <c r="B68" s="293"/>
      <c r="C68" s="293"/>
      <c r="D68" s="293"/>
      <c r="E68" s="293"/>
      <c r="F68" s="293"/>
      <c r="G68" s="293"/>
      <c r="H68" s="293"/>
      <c r="I68" s="293"/>
      <c r="J68" s="293"/>
      <c r="K68" s="293"/>
      <c r="L68" s="293"/>
    </row>
    <row r="69" spans="1:19" s="292" customFormat="1" ht="15.75">
      <c r="B69" s="293"/>
      <c r="C69" s="293"/>
      <c r="D69" s="293"/>
      <c r="E69" s="293"/>
      <c r="F69" s="293"/>
      <c r="G69" s="293"/>
      <c r="H69" s="293"/>
      <c r="I69" s="293"/>
      <c r="J69" s="293"/>
      <c r="K69" s="293"/>
      <c r="L69" s="293"/>
    </row>
    <row r="70" spans="1:19" s="295" customFormat="1" ht="15.75">
      <c r="A70" s="4"/>
      <c r="B70" s="293"/>
      <c r="C70" s="296"/>
      <c r="D70" s="296"/>
      <c r="E70" s="296"/>
      <c r="F70" s="296"/>
      <c r="G70" s="294"/>
      <c r="H70" s="294"/>
      <c r="I70" s="294"/>
      <c r="J70" s="294"/>
      <c r="K70" s="294"/>
      <c r="L70" s="294"/>
    </row>
    <row r="71" spans="1:19">
      <c r="A71" s="1"/>
    </row>
  </sheetData>
  <mergeCells count="4">
    <mergeCell ref="B1:C1"/>
    <mergeCell ref="D1:H1"/>
    <mergeCell ref="I1:L1"/>
    <mergeCell ref="P1:Q1"/>
  </mergeCells>
  <pageMargins left="0" right="0" top="0" bottom="0" header="0" footer="0"/>
  <pageSetup paperSize="9" scale="62" orientation="landscape" horizontalDpi="180" verticalDpi="180" r:id="rId1"/>
  <ignoredErrors>
    <ignoredError sqref="E44 D8 J4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80"/>
  <sheetViews>
    <sheetView topLeftCell="A37" zoomScale="90" zoomScaleNormal="90" workbookViewId="0">
      <selection activeCell="C53" sqref="C53"/>
    </sheetView>
  </sheetViews>
  <sheetFormatPr baseColWidth="10" defaultRowHeight="12.75"/>
  <cols>
    <col min="1" max="1" width="17" style="47" bestFit="1" customWidth="1"/>
    <col min="2" max="2" width="10.28515625" style="47" bestFit="1" customWidth="1"/>
    <col min="3" max="3" width="13" style="47" bestFit="1" customWidth="1"/>
    <col min="4" max="4" width="12" style="363" bestFit="1" customWidth="1"/>
    <col min="5" max="5" width="15.42578125" style="47" bestFit="1" customWidth="1"/>
    <col min="6" max="6" width="11.42578125" style="47" bestFit="1" customWidth="1"/>
    <col min="7" max="7" width="6.140625" style="47" bestFit="1" customWidth="1"/>
    <col min="8" max="16384" width="11.42578125" style="47"/>
  </cols>
  <sheetData>
    <row r="1" spans="1:7">
      <c r="A1" s="46">
        <f ca="1">TODAY()</f>
        <v>43410</v>
      </c>
    </row>
    <row r="2" spans="1:7">
      <c r="A2" s="47" t="s">
        <v>69</v>
      </c>
      <c r="C2" s="46">
        <v>42735</v>
      </c>
      <c r="D2" s="363">
        <v>2.8247800000000001</v>
      </c>
    </row>
    <row r="3" spans="1:7">
      <c r="A3" s="47" t="s">
        <v>70</v>
      </c>
      <c r="C3" s="46">
        <v>42735</v>
      </c>
      <c r="D3" s="363">
        <v>2.40205</v>
      </c>
    </row>
    <row r="4" spans="1:7">
      <c r="A4" s="47" t="s">
        <v>71</v>
      </c>
      <c r="C4" s="46">
        <v>42735</v>
      </c>
      <c r="D4" s="363">
        <v>3.1321500000000002</v>
      </c>
    </row>
    <row r="5" spans="1:7" ht="13.5" thickBot="1">
      <c r="A5" s="47" t="s">
        <v>597</v>
      </c>
      <c r="C5" s="46">
        <v>42951</v>
      </c>
      <c r="D5" s="363">
        <v>0.38</v>
      </c>
    </row>
    <row r="6" spans="1:7" ht="13.5" thickBot="1">
      <c r="A6" s="877" t="s">
        <v>72</v>
      </c>
      <c r="B6" s="878"/>
      <c r="C6" s="878"/>
      <c r="D6" s="878"/>
      <c r="E6" s="878"/>
      <c r="F6" s="879"/>
    </row>
    <row r="7" spans="1:7" ht="13.5" thickBot="1">
      <c r="A7" s="394" t="s">
        <v>73</v>
      </c>
      <c r="B7" s="395" t="s">
        <v>74</v>
      </c>
      <c r="C7" s="395" t="s">
        <v>75</v>
      </c>
      <c r="D7" s="364" t="s">
        <v>76</v>
      </c>
      <c r="E7" s="395" t="s">
        <v>77</v>
      </c>
      <c r="F7" s="396" t="s">
        <v>13</v>
      </c>
    </row>
    <row r="8" spans="1:7" ht="13.5" thickBot="1">
      <c r="A8" s="746" t="s">
        <v>507</v>
      </c>
      <c r="B8" s="752" t="s">
        <v>16</v>
      </c>
      <c r="C8" s="753">
        <v>11926.4</v>
      </c>
      <c r="D8" s="749">
        <f t="shared" ref="D8" si="0">C8*$D$2</f>
        <v>33689.456191999998</v>
      </c>
      <c r="E8" s="754">
        <v>42908</v>
      </c>
      <c r="F8" s="755">
        <f t="shared" ref="F8" si="1">+E8+60</f>
        <v>42968</v>
      </c>
    </row>
    <row r="9" spans="1:7" ht="13.5" thickBot="1">
      <c r="A9" s="875" t="s">
        <v>78</v>
      </c>
      <c r="B9" s="876"/>
      <c r="C9" s="437">
        <f>SUM(C8:C8)</f>
        <v>11926.4</v>
      </c>
    </row>
    <row r="10" spans="1:7" s="361" customFormat="1" ht="13.5" thickBot="1">
      <c r="A10" s="370"/>
      <c r="B10" s="370"/>
      <c r="C10" s="371"/>
      <c r="D10" s="372"/>
    </row>
    <row r="11" spans="1:7" ht="13.5" thickBot="1">
      <c r="A11" s="746" t="s">
        <v>889</v>
      </c>
      <c r="B11" s="747" t="s">
        <v>16</v>
      </c>
      <c r="C11" s="748">
        <v>112000</v>
      </c>
      <c r="D11" s="749">
        <f>+C11*D2</f>
        <v>316375.36</v>
      </c>
      <c r="E11" s="750" t="s">
        <v>587</v>
      </c>
      <c r="F11" s="751"/>
      <c r="G11" s="373"/>
    </row>
    <row r="12" spans="1:7" ht="13.5" thickBot="1">
      <c r="A12" s="877" t="s">
        <v>78</v>
      </c>
      <c r="B12" s="878"/>
      <c r="C12" s="175">
        <f>SUM(C11:C11)</f>
        <v>112000</v>
      </c>
      <c r="D12" s="366"/>
      <c r="E12" s="48"/>
      <c r="F12" s="48"/>
    </row>
    <row r="13" spans="1:7" ht="13.5" thickBot="1"/>
    <row r="14" spans="1:7" ht="13.5" thickBot="1">
      <c r="A14" s="746"/>
      <c r="B14" s="747"/>
      <c r="C14" s="748"/>
      <c r="D14" s="749"/>
      <c r="E14" s="750"/>
      <c r="F14" s="751"/>
      <c r="G14" s="373"/>
    </row>
    <row r="15" spans="1:7" ht="13.5" thickBot="1">
      <c r="A15" s="877" t="s">
        <v>78</v>
      </c>
      <c r="B15" s="878"/>
      <c r="C15" s="175">
        <f>SUM(C14:C14)</f>
        <v>0</v>
      </c>
      <c r="D15" s="366"/>
      <c r="E15" s="48"/>
      <c r="F15" s="48"/>
    </row>
    <row r="16" spans="1:7" ht="13.5" thickBot="1"/>
    <row r="17" spans="1:7" ht="13.5" thickBot="1">
      <c r="A17" s="746"/>
      <c r="B17" s="747"/>
      <c r="C17" s="748"/>
      <c r="D17" s="749"/>
      <c r="E17" s="750"/>
      <c r="F17" s="751"/>
    </row>
    <row r="18" spans="1:7" ht="13.5" thickBot="1">
      <c r="A18" s="877" t="s">
        <v>78</v>
      </c>
      <c r="B18" s="878"/>
      <c r="C18" s="175">
        <f>SUM(C17:C17)</f>
        <v>0</v>
      </c>
      <c r="D18" s="366"/>
      <c r="E18" s="48"/>
      <c r="F18" s="48"/>
    </row>
    <row r="19" spans="1:7" ht="13.5" thickBot="1"/>
    <row r="20" spans="1:7" ht="13.5" thickBot="1">
      <c r="A20" s="877" t="s">
        <v>79</v>
      </c>
      <c r="B20" s="878"/>
      <c r="C20" s="878"/>
      <c r="D20" s="878"/>
      <c r="E20" s="878"/>
      <c r="F20" s="879"/>
    </row>
    <row r="21" spans="1:7" ht="13.5" thickBot="1">
      <c r="A21" s="394" t="s">
        <v>73</v>
      </c>
      <c r="B21" s="395" t="s">
        <v>74</v>
      </c>
      <c r="C21" s="395" t="s">
        <v>75</v>
      </c>
      <c r="D21" s="364" t="s">
        <v>76</v>
      </c>
      <c r="E21" s="395" t="s">
        <v>77</v>
      </c>
      <c r="F21" s="396" t="s">
        <v>13</v>
      </c>
    </row>
    <row r="22" spans="1:7">
      <c r="A22" s="430" t="s">
        <v>711</v>
      </c>
      <c r="B22" s="778" t="s">
        <v>16</v>
      </c>
      <c r="C22" s="779">
        <v>13737.63</v>
      </c>
      <c r="D22" s="431">
        <f t="shared" ref="D22:D26" si="2">C22*$D$2</f>
        <v>38805.782471400002</v>
      </c>
      <c r="E22" s="780">
        <v>42984</v>
      </c>
      <c r="F22" s="781">
        <f>E22+60</f>
        <v>43044</v>
      </c>
      <c r="G22" s="66"/>
    </row>
    <row r="23" spans="1:7">
      <c r="A23" s="430" t="s">
        <v>712</v>
      </c>
      <c r="B23" s="778" t="s">
        <v>16</v>
      </c>
      <c r="C23" s="779">
        <v>12299.3</v>
      </c>
      <c r="D23" s="431">
        <f t="shared" si="2"/>
        <v>34742.816654000002</v>
      </c>
      <c r="E23" s="780">
        <v>42986</v>
      </c>
      <c r="F23" s="781">
        <f t="shared" ref="F23:F26" si="3">E23+60</f>
        <v>43046</v>
      </c>
      <c r="G23" s="66"/>
    </row>
    <row r="24" spans="1:7" s="361" customFormat="1">
      <c r="A24" s="430" t="s">
        <v>713</v>
      </c>
      <c r="B24" s="778" t="s">
        <v>16</v>
      </c>
      <c r="C24" s="779">
        <v>12207.89</v>
      </c>
      <c r="D24" s="431">
        <f t="shared" si="2"/>
        <v>34484.603514199996</v>
      </c>
      <c r="E24" s="780">
        <v>42986</v>
      </c>
      <c r="F24" s="781">
        <f t="shared" si="3"/>
        <v>43046</v>
      </c>
      <c r="G24" s="66"/>
    </row>
    <row r="25" spans="1:7">
      <c r="A25" s="430" t="s">
        <v>714</v>
      </c>
      <c r="B25" s="778" t="s">
        <v>16</v>
      </c>
      <c r="C25" s="779">
        <v>13435.18</v>
      </c>
      <c r="D25" s="431">
        <f t="shared" si="2"/>
        <v>37951.427760400002</v>
      </c>
      <c r="E25" s="780">
        <v>42991</v>
      </c>
      <c r="F25" s="781">
        <f t="shared" si="3"/>
        <v>43051</v>
      </c>
      <c r="G25" s="373"/>
    </row>
    <row r="26" spans="1:7">
      <c r="A26" s="430" t="s">
        <v>715</v>
      </c>
      <c r="B26" s="778" t="s">
        <v>16</v>
      </c>
      <c r="C26" s="779">
        <v>17070.36</v>
      </c>
      <c r="D26" s="431">
        <f t="shared" si="2"/>
        <v>48220.011520800006</v>
      </c>
      <c r="E26" s="780">
        <v>42993</v>
      </c>
      <c r="F26" s="781">
        <f t="shared" si="3"/>
        <v>43053</v>
      </c>
    </row>
    <row r="27" spans="1:7" s="361" customFormat="1">
      <c r="A27" s="430" t="s">
        <v>721</v>
      </c>
      <c r="B27" s="778" t="s">
        <v>16</v>
      </c>
      <c r="C27" s="779">
        <v>16605.36</v>
      </c>
      <c r="D27" s="431">
        <f>C27*$D$2</f>
        <v>46906.488820800005</v>
      </c>
      <c r="E27" s="780">
        <v>43005</v>
      </c>
      <c r="F27" s="781">
        <f t="shared" ref="F27:F35" si="4">E27+60</f>
        <v>43065</v>
      </c>
      <c r="G27" s="47"/>
    </row>
    <row r="28" spans="1:7">
      <c r="A28" s="430" t="s">
        <v>722</v>
      </c>
      <c r="B28" s="778" t="s">
        <v>16</v>
      </c>
      <c r="C28" s="779">
        <v>13607.38</v>
      </c>
      <c r="D28" s="431">
        <f>C28*$D$2</f>
        <v>38437.854876400001</v>
      </c>
      <c r="E28" s="780">
        <v>43005</v>
      </c>
      <c r="F28" s="781">
        <f t="shared" si="4"/>
        <v>43065</v>
      </c>
      <c r="G28" s="361"/>
    </row>
    <row r="29" spans="1:7">
      <c r="A29" s="430" t="s">
        <v>723</v>
      </c>
      <c r="B29" s="778" t="s">
        <v>16</v>
      </c>
      <c r="C29" s="779">
        <v>8986.4699999999993</v>
      </c>
      <c r="D29" s="431">
        <f>C29*$D$2</f>
        <v>25384.800726599999</v>
      </c>
      <c r="E29" s="780">
        <v>43005</v>
      </c>
      <c r="F29" s="781">
        <f t="shared" si="4"/>
        <v>43065</v>
      </c>
    </row>
    <row r="30" spans="1:7" s="361" customFormat="1">
      <c r="A30" s="430" t="s">
        <v>724</v>
      </c>
      <c r="B30" s="778" t="s">
        <v>16</v>
      </c>
      <c r="C30" s="779">
        <v>17217.37</v>
      </c>
      <c r="D30" s="431">
        <f>C30*$D$2</f>
        <v>48635.282428599996</v>
      </c>
      <c r="E30" s="780">
        <v>43005</v>
      </c>
      <c r="F30" s="781">
        <f t="shared" si="4"/>
        <v>43065</v>
      </c>
      <c r="G30" s="47"/>
    </row>
    <row r="31" spans="1:7">
      <c r="A31" s="397" t="s">
        <v>830</v>
      </c>
      <c r="B31" s="398" t="s">
        <v>16</v>
      </c>
      <c r="C31" s="399">
        <v>13027.18</v>
      </c>
      <c r="D31" s="400">
        <f>C31*D2</f>
        <v>36798.917520399998</v>
      </c>
      <c r="E31" s="401">
        <v>43014</v>
      </c>
      <c r="F31" s="519">
        <f t="shared" si="4"/>
        <v>43074</v>
      </c>
      <c r="G31" s="361"/>
    </row>
    <row r="32" spans="1:7">
      <c r="A32" s="397" t="s">
        <v>831</v>
      </c>
      <c r="B32" s="398" t="s">
        <v>16</v>
      </c>
      <c r="C32" s="399">
        <v>10909.14</v>
      </c>
      <c r="D32" s="400">
        <f>C32*D2</f>
        <v>30815.920489199998</v>
      </c>
      <c r="E32" s="401">
        <v>43014</v>
      </c>
      <c r="F32" s="519">
        <f t="shared" si="4"/>
        <v>43074</v>
      </c>
      <c r="G32" s="361"/>
    </row>
    <row r="33" spans="1:7">
      <c r="A33" s="397" t="s">
        <v>869</v>
      </c>
      <c r="B33" s="398" t="s">
        <v>16</v>
      </c>
      <c r="C33" s="399">
        <v>11962.13</v>
      </c>
      <c r="D33" s="400">
        <f>+C33*D2</f>
        <v>33790.385581399998</v>
      </c>
      <c r="E33" s="401">
        <v>43020</v>
      </c>
      <c r="F33" s="519">
        <f t="shared" si="4"/>
        <v>43080</v>
      </c>
      <c r="G33" s="361"/>
    </row>
    <row r="34" spans="1:7">
      <c r="A34" s="397" t="s">
        <v>870</v>
      </c>
      <c r="B34" s="398" t="s">
        <v>16</v>
      </c>
      <c r="C34" s="399">
        <v>17967.63</v>
      </c>
      <c r="D34" s="400">
        <f>+C34*D2</f>
        <v>50754.601871400002</v>
      </c>
      <c r="E34" s="401">
        <v>43028</v>
      </c>
      <c r="F34" s="519">
        <f t="shared" si="4"/>
        <v>43088</v>
      </c>
      <c r="G34" s="361"/>
    </row>
    <row r="35" spans="1:7">
      <c r="A35" s="397" t="s">
        <v>871</v>
      </c>
      <c r="B35" s="398" t="s">
        <v>16</v>
      </c>
      <c r="C35" s="399">
        <v>15561.37</v>
      </c>
      <c r="D35" s="400">
        <f>+C35*D2</f>
        <v>43957.446748600007</v>
      </c>
      <c r="E35" s="401">
        <v>43031</v>
      </c>
      <c r="F35" s="519">
        <f t="shared" si="4"/>
        <v>43091</v>
      </c>
      <c r="G35" s="361"/>
    </row>
    <row r="36" spans="1:7">
      <c r="A36" s="397" t="s">
        <v>894</v>
      </c>
      <c r="B36" s="398" t="s">
        <v>16</v>
      </c>
      <c r="C36" s="399">
        <v>16138.24</v>
      </c>
      <c r="D36" s="400">
        <f>+C36*$D$2</f>
        <v>45586.977587200003</v>
      </c>
      <c r="E36" s="401">
        <v>43035</v>
      </c>
      <c r="F36" s="519">
        <f t="shared" ref="F36:F41" si="5">E36+60</f>
        <v>43095</v>
      </c>
      <c r="G36" s="361"/>
    </row>
    <row r="37" spans="1:7">
      <c r="A37" s="397" t="s">
        <v>1030</v>
      </c>
      <c r="B37" s="398" t="s">
        <v>16</v>
      </c>
      <c r="C37" s="399">
        <v>22136.18</v>
      </c>
      <c r="D37" s="400">
        <f t="shared" ref="D37:D41" si="6">+C37*$D$2</f>
        <v>62529.8385404</v>
      </c>
      <c r="E37" s="401">
        <v>43047</v>
      </c>
      <c r="F37" s="519">
        <f t="shared" si="5"/>
        <v>43107</v>
      </c>
      <c r="G37" s="361"/>
    </row>
    <row r="38" spans="1:7">
      <c r="A38" s="397" t="s">
        <v>1031</v>
      </c>
      <c r="B38" s="398" t="s">
        <v>16</v>
      </c>
      <c r="C38" s="399">
        <v>13272.49</v>
      </c>
      <c r="D38" s="400">
        <f t="shared" si="6"/>
        <v>37491.864302200003</v>
      </c>
      <c r="E38" s="401">
        <v>43047</v>
      </c>
      <c r="F38" s="519">
        <f t="shared" si="5"/>
        <v>43107</v>
      </c>
      <c r="G38" s="361"/>
    </row>
    <row r="39" spans="1:7">
      <c r="A39" s="397" t="s">
        <v>1032</v>
      </c>
      <c r="B39" s="398" t="s">
        <v>16</v>
      </c>
      <c r="C39" s="399">
        <v>15404.41</v>
      </c>
      <c r="D39" s="400">
        <f t="shared" si="6"/>
        <v>43514.069279800002</v>
      </c>
      <c r="E39" s="401">
        <v>43048</v>
      </c>
      <c r="F39" s="519">
        <f t="shared" si="5"/>
        <v>43108</v>
      </c>
      <c r="G39" s="361"/>
    </row>
    <row r="40" spans="1:7">
      <c r="A40" s="397" t="s">
        <v>1033</v>
      </c>
      <c r="B40" s="398" t="s">
        <v>16</v>
      </c>
      <c r="C40" s="399">
        <v>12240.28</v>
      </c>
      <c r="D40" s="400">
        <f t="shared" si="6"/>
        <v>34576.098138400004</v>
      </c>
      <c r="E40" s="401">
        <v>43054</v>
      </c>
      <c r="F40" s="519">
        <f t="shared" si="5"/>
        <v>43114</v>
      </c>
      <c r="G40" s="361"/>
    </row>
    <row r="41" spans="1:7">
      <c r="A41" s="397" t="s">
        <v>1034</v>
      </c>
      <c r="B41" s="398" t="s">
        <v>16</v>
      </c>
      <c r="C41" s="399">
        <v>13390.78</v>
      </c>
      <c r="D41" s="400">
        <f t="shared" si="6"/>
        <v>37826.007528400005</v>
      </c>
      <c r="E41" s="401">
        <v>43054</v>
      </c>
      <c r="F41" s="519">
        <f t="shared" si="5"/>
        <v>43114</v>
      </c>
      <c r="G41" s="361"/>
    </row>
    <row r="42" spans="1:7">
      <c r="A42" s="397"/>
      <c r="B42" s="398"/>
      <c r="C42" s="399"/>
      <c r="D42" s="400"/>
      <c r="E42" s="401"/>
      <c r="F42" s="519"/>
      <c r="G42" s="361"/>
    </row>
    <row r="43" spans="1:7" ht="13.5" thickBot="1">
      <c r="A43" s="211"/>
      <c r="B43" s="63"/>
      <c r="C43" s="64"/>
      <c r="D43" s="367"/>
      <c r="E43" s="210"/>
      <c r="F43" s="65"/>
    </row>
    <row r="44" spans="1:7" ht="13.5" thickBot="1">
      <c r="A44" s="877" t="s">
        <v>78</v>
      </c>
      <c r="B44" s="878"/>
      <c r="C44" s="175">
        <f>SUM(C22:C43)</f>
        <v>287176.77</v>
      </c>
      <c r="D44" s="366"/>
      <c r="E44" s="48"/>
      <c r="F44" s="48"/>
    </row>
    <row r="45" spans="1:7" ht="13.5" thickBot="1">
      <c r="A45" s="370"/>
      <c r="B45" s="370"/>
      <c r="C45" s="371"/>
      <c r="D45" s="368"/>
      <c r="E45" s="369"/>
      <c r="F45" s="369"/>
    </row>
    <row r="46" spans="1:7" s="76" customFormat="1" ht="13.5" thickBot="1">
      <c r="A46" s="829" t="s">
        <v>1037</v>
      </c>
      <c r="B46" s="830" t="s">
        <v>16</v>
      </c>
      <c r="C46" s="831">
        <v>47512.84</v>
      </c>
      <c r="D46" s="832">
        <f>+C46*D2</f>
        <v>134213.3201752</v>
      </c>
      <c r="E46" s="833">
        <v>43055</v>
      </c>
      <c r="F46" s="834">
        <f>+E46+90</f>
        <v>43145</v>
      </c>
    </row>
    <row r="47" spans="1:7" ht="13.5" thickBot="1">
      <c r="A47" s="877" t="s">
        <v>78</v>
      </c>
      <c r="B47" s="878"/>
      <c r="C47" s="175">
        <f>SUM(C46)</f>
        <v>47512.84</v>
      </c>
      <c r="D47" s="366"/>
      <c r="E47" s="48"/>
      <c r="F47" s="48"/>
    </row>
    <row r="48" spans="1:7" ht="13.5" thickBot="1">
      <c r="A48" s="370"/>
      <c r="B48" s="370"/>
      <c r="C48" s="371"/>
      <c r="D48" s="368"/>
      <c r="E48" s="369"/>
      <c r="F48" s="369"/>
    </row>
    <row r="49" spans="1:8" s="76" customFormat="1" ht="13.5" thickBot="1">
      <c r="A49" s="829" t="s">
        <v>1038</v>
      </c>
      <c r="B49" s="830" t="s">
        <v>716</v>
      </c>
      <c r="C49" s="831">
        <v>35667</v>
      </c>
      <c r="D49" s="832">
        <f>+C49*D4</f>
        <v>111714.39405</v>
      </c>
      <c r="E49" s="833"/>
      <c r="F49" s="834"/>
    </row>
    <row r="50" spans="1:8" ht="13.5" thickBot="1">
      <c r="A50" s="877" t="s">
        <v>78</v>
      </c>
      <c r="B50" s="878"/>
      <c r="C50" s="175">
        <f>SUM(C49)</f>
        <v>35667</v>
      </c>
      <c r="D50" s="366"/>
      <c r="E50" s="48"/>
      <c r="F50" s="48"/>
    </row>
    <row r="51" spans="1:8" ht="13.5" thickBot="1">
      <c r="A51" s="370"/>
      <c r="B51" s="370"/>
      <c r="C51" s="371"/>
      <c r="D51" s="368"/>
      <c r="E51" s="369"/>
      <c r="F51" s="369"/>
    </row>
    <row r="52" spans="1:8">
      <c r="A52" s="772" t="s">
        <v>1035</v>
      </c>
      <c r="B52" s="773" t="s">
        <v>16</v>
      </c>
      <c r="C52" s="774">
        <v>287</v>
      </c>
      <c r="D52" s="775">
        <f>+C52*D2</f>
        <v>810.71186</v>
      </c>
      <c r="E52" s="776"/>
      <c r="F52" s="777"/>
    </row>
    <row r="53" spans="1:8" ht="13.5" thickBot="1">
      <c r="A53" s="550" t="s">
        <v>1036</v>
      </c>
      <c r="B53" s="551" t="s">
        <v>16</v>
      </c>
      <c r="C53" s="552">
        <v>7261.25</v>
      </c>
      <c r="D53" s="553">
        <f>+C53*D2</f>
        <v>20511.433775000001</v>
      </c>
      <c r="E53" s="554"/>
      <c r="F53" s="555"/>
    </row>
    <row r="54" spans="1:8" ht="13.5" thickBot="1">
      <c r="A54" s="877" t="s">
        <v>78</v>
      </c>
      <c r="B54" s="878"/>
      <c r="C54" s="175">
        <f>SUM(C52:C53)</f>
        <v>7548.25</v>
      </c>
      <c r="D54" s="366"/>
      <c r="E54" s="48"/>
      <c r="F54" s="48"/>
    </row>
    <row r="55" spans="1:8" ht="13.5" thickBot="1">
      <c r="A55" s="370"/>
      <c r="B55" s="370"/>
      <c r="C55" s="371"/>
      <c r="D55" s="368"/>
      <c r="E55" s="369"/>
      <c r="F55" s="369"/>
    </row>
    <row r="56" spans="1:8">
      <c r="A56" s="772" t="s">
        <v>829</v>
      </c>
      <c r="B56" s="773" t="s">
        <v>16</v>
      </c>
      <c r="C56" s="843">
        <v>106242.28</v>
      </c>
      <c r="D56" s="775">
        <f>+C56*D4</f>
        <v>332766.75730200001</v>
      </c>
      <c r="E56" s="773" t="s">
        <v>587</v>
      </c>
      <c r="F56" s="844">
        <v>43009</v>
      </c>
      <c r="H56" s="672"/>
    </row>
    <row r="57" spans="1:8" ht="15" customHeight="1">
      <c r="A57" s="356" t="s">
        <v>888</v>
      </c>
      <c r="B57" s="387" t="s">
        <v>16</v>
      </c>
      <c r="C57" s="388">
        <v>168000</v>
      </c>
      <c r="D57" s="365"/>
      <c r="E57" s="387" t="s">
        <v>1039</v>
      </c>
      <c r="F57" s="880">
        <v>43040</v>
      </c>
      <c r="H57" s="672"/>
    </row>
    <row r="58" spans="1:8">
      <c r="A58" s="356" t="s">
        <v>890</v>
      </c>
      <c r="B58" s="387" t="s">
        <v>16</v>
      </c>
      <c r="C58" s="388">
        <v>56000</v>
      </c>
      <c r="D58" s="365"/>
      <c r="E58" s="387" t="s">
        <v>1040</v>
      </c>
      <c r="F58" s="880"/>
    </row>
    <row r="59" spans="1:8" ht="15" customHeight="1">
      <c r="A59" s="356" t="s">
        <v>891</v>
      </c>
      <c r="B59" s="387" t="s">
        <v>16</v>
      </c>
      <c r="C59" s="388">
        <v>168000</v>
      </c>
      <c r="D59" s="365"/>
      <c r="E59" s="387" t="s">
        <v>1039</v>
      </c>
      <c r="F59" s="880">
        <v>43070</v>
      </c>
    </row>
    <row r="60" spans="1:8">
      <c r="A60" s="839" t="s">
        <v>1059</v>
      </c>
      <c r="B60" s="840" t="s">
        <v>16</v>
      </c>
      <c r="C60" s="841">
        <v>168000</v>
      </c>
      <c r="D60" s="842"/>
      <c r="E60" s="840" t="s">
        <v>1039</v>
      </c>
      <c r="F60" s="880"/>
    </row>
    <row r="61" spans="1:8" ht="13.5" thickBot="1">
      <c r="A61" s="211"/>
      <c r="B61" s="301"/>
      <c r="C61" s="212"/>
      <c r="D61" s="367"/>
      <c r="E61" s="301"/>
      <c r="F61" s="362"/>
    </row>
    <row r="62" spans="1:8" ht="13.5" thickBot="1">
      <c r="A62" s="875" t="s">
        <v>78</v>
      </c>
      <c r="B62" s="876"/>
      <c r="C62" s="437">
        <f>SUM(C56:C61)</f>
        <v>666242.28</v>
      </c>
    </row>
    <row r="63" spans="1:8" ht="13.5" thickBot="1"/>
    <row r="64" spans="1:8">
      <c r="A64" s="516" t="s">
        <v>596</v>
      </c>
      <c r="B64" s="54" t="s">
        <v>598</v>
      </c>
      <c r="C64" s="517">
        <v>9671000</v>
      </c>
      <c r="D64" s="518">
        <f>+C64*D5</f>
        <v>3674980</v>
      </c>
      <c r="E64" s="568">
        <v>0.9</v>
      </c>
      <c r="F64" s="570">
        <v>43054</v>
      </c>
    </row>
    <row r="65" spans="1:9">
      <c r="A65" s="356"/>
      <c r="B65" s="387"/>
      <c r="C65" s="388"/>
      <c r="D65" s="365"/>
      <c r="E65" s="569">
        <v>0.1</v>
      </c>
      <c r="F65" s="571">
        <v>43221</v>
      </c>
    </row>
    <row r="66" spans="1:9" ht="13.5" thickBot="1">
      <c r="A66" s="211"/>
      <c r="B66" s="301"/>
      <c r="C66" s="212"/>
      <c r="D66" s="367"/>
      <c r="E66" s="301"/>
      <c r="F66" s="362"/>
    </row>
    <row r="67" spans="1:9" ht="13.5" thickBot="1">
      <c r="A67" s="875" t="s">
        <v>78</v>
      </c>
      <c r="B67" s="876"/>
      <c r="C67" s="437">
        <f>SUM(C64:C66)</f>
        <v>9671000</v>
      </c>
    </row>
    <row r="68" spans="1:9" ht="13.5" thickBot="1"/>
    <row r="69" spans="1:9">
      <c r="A69" s="516" t="s">
        <v>500</v>
      </c>
      <c r="B69" s="54" t="s">
        <v>16</v>
      </c>
      <c r="C69" s="517">
        <v>335000</v>
      </c>
      <c r="D69" s="518">
        <f>+C69*D2</f>
        <v>946301.3</v>
      </c>
      <c r="E69" s="54" t="s">
        <v>586</v>
      </c>
      <c r="F69" s="536">
        <v>40000</v>
      </c>
    </row>
    <row r="70" spans="1:9">
      <c r="A70" s="356" t="s">
        <v>500</v>
      </c>
      <c r="B70" s="387" t="s">
        <v>16</v>
      </c>
      <c r="C70" s="388">
        <f>65000</f>
        <v>65000</v>
      </c>
      <c r="D70" s="365"/>
      <c r="E70" s="743">
        <v>42895</v>
      </c>
      <c r="F70" s="537">
        <v>71000</v>
      </c>
    </row>
    <row r="71" spans="1:9">
      <c r="A71" s="397" t="s">
        <v>500</v>
      </c>
      <c r="B71" s="529" t="s">
        <v>16</v>
      </c>
      <c r="C71" s="530">
        <f>14477.06+837.73</f>
        <v>15314.789999999999</v>
      </c>
      <c r="D71" s="400"/>
      <c r="E71" s="744">
        <v>42998</v>
      </c>
      <c r="F71" s="639">
        <v>15000</v>
      </c>
    </row>
    <row r="72" spans="1:9">
      <c r="A72" s="397"/>
      <c r="B72" s="529"/>
      <c r="C72" s="530"/>
      <c r="D72" s="400"/>
      <c r="E72" s="744">
        <v>43010</v>
      </c>
      <c r="F72" s="639">
        <v>16000</v>
      </c>
    </row>
    <row r="73" spans="1:9">
      <c r="A73" s="397"/>
      <c r="B73" s="529"/>
      <c r="C73" s="530"/>
      <c r="D73" s="400"/>
      <c r="E73" s="744">
        <v>43017</v>
      </c>
      <c r="F73" s="639">
        <v>25000</v>
      </c>
    </row>
    <row r="74" spans="1:9">
      <c r="A74" s="397"/>
      <c r="B74" s="529"/>
      <c r="C74" s="530"/>
      <c r="D74" s="400"/>
      <c r="E74" s="529" t="s">
        <v>725</v>
      </c>
      <c r="F74" s="639">
        <f>EXPORT!B132</f>
        <v>204075.12</v>
      </c>
    </row>
    <row r="75" spans="1:9" ht="13.5" thickBot="1">
      <c r="A75" s="211"/>
      <c r="B75" s="301"/>
      <c r="C75" s="212"/>
      <c r="D75" s="367"/>
      <c r="E75" s="301"/>
      <c r="F75" s="362"/>
      <c r="H75" s="306"/>
      <c r="I75" s="306"/>
    </row>
    <row r="76" spans="1:9" ht="13.5" thickBot="1">
      <c r="A76" s="875" t="s">
        <v>78</v>
      </c>
      <c r="B76" s="876"/>
      <c r="C76" s="437">
        <f>SUM(C69:C75)</f>
        <v>415314.79</v>
      </c>
    </row>
    <row r="77" spans="1:9" ht="13.5" thickBot="1">
      <c r="F77" s="306"/>
    </row>
    <row r="78" spans="1:9">
      <c r="A78" s="516" t="s">
        <v>868</v>
      </c>
      <c r="B78" s="54" t="s">
        <v>16</v>
      </c>
      <c r="C78" s="517">
        <v>8316.86</v>
      </c>
      <c r="D78" s="518">
        <f>+C78*D2</f>
        <v>23493.299790800003</v>
      </c>
      <c r="E78" s="568"/>
      <c r="F78" s="570"/>
    </row>
    <row r="79" spans="1:9" ht="13.5" thickBot="1">
      <c r="A79" s="211"/>
      <c r="B79" s="301"/>
      <c r="C79" s="212"/>
      <c r="D79" s="367"/>
      <c r="E79" s="301"/>
      <c r="F79" s="362"/>
    </row>
    <row r="80" spans="1:9" ht="13.5" thickBot="1">
      <c r="A80" s="875" t="s">
        <v>78</v>
      </c>
      <c r="B80" s="876"/>
      <c r="C80" s="437">
        <f>SUM(C78:C79)</f>
        <v>8316.86</v>
      </c>
    </row>
  </sheetData>
  <mergeCells count="16">
    <mergeCell ref="A80:B80"/>
    <mergeCell ref="A18:B18"/>
    <mergeCell ref="A76:B76"/>
    <mergeCell ref="A67:B67"/>
    <mergeCell ref="A6:F6"/>
    <mergeCell ref="A20:F20"/>
    <mergeCell ref="A44:B44"/>
    <mergeCell ref="A9:B9"/>
    <mergeCell ref="A62:B62"/>
    <mergeCell ref="A47:B47"/>
    <mergeCell ref="A54:B54"/>
    <mergeCell ref="A12:B12"/>
    <mergeCell ref="A15:B15"/>
    <mergeCell ref="F57:F58"/>
    <mergeCell ref="F59:F60"/>
    <mergeCell ref="A50:B50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N71"/>
  <sheetViews>
    <sheetView topLeftCell="A4" zoomScale="85" zoomScaleNormal="85" workbookViewId="0">
      <selection activeCell="B13" sqref="B13:I13"/>
    </sheetView>
  </sheetViews>
  <sheetFormatPr baseColWidth="10" defaultColWidth="11.42578125" defaultRowHeight="15.75"/>
  <cols>
    <col min="1" max="1" width="11.42578125" style="308"/>
    <col min="2" max="3" width="15.5703125" style="308" customWidth="1"/>
    <col min="4" max="6" width="15.5703125" style="336" customWidth="1"/>
    <col min="7" max="9" width="15.5703125" style="307" customWidth="1"/>
    <col min="10" max="10" width="14" style="308" bestFit="1" customWidth="1"/>
    <col min="11" max="11" width="11.85546875" style="308" bestFit="1" customWidth="1"/>
    <col min="12" max="12" width="3.85546875" style="308" bestFit="1" customWidth="1"/>
    <col min="13" max="13" width="13.28515625" style="308" bestFit="1" customWidth="1"/>
    <col min="14" max="14" width="9" style="308" bestFit="1" customWidth="1"/>
    <col min="15" max="16384" width="11.42578125" style="308"/>
  </cols>
  <sheetData>
    <row r="1" spans="2:9">
      <c r="B1" s="885" t="s">
        <v>114</v>
      </c>
      <c r="C1" s="885"/>
      <c r="D1" s="885"/>
      <c r="E1" s="885"/>
      <c r="F1" s="885"/>
    </row>
    <row r="2" spans="2:9">
      <c r="B2" s="885" t="s">
        <v>351</v>
      </c>
      <c r="C2" s="885"/>
      <c r="D2" s="885"/>
      <c r="E2" s="885"/>
      <c r="F2" s="885"/>
    </row>
    <row r="3" spans="2:9" ht="16.5" thickBot="1">
      <c r="B3" s="309"/>
      <c r="C3" s="309"/>
      <c r="D3" s="310"/>
      <c r="E3" s="310"/>
      <c r="F3" s="310"/>
    </row>
    <row r="4" spans="2:9" s="315" customFormat="1" ht="16.5" thickBot="1">
      <c r="B4" s="891" t="s">
        <v>112</v>
      </c>
      <c r="C4" s="892"/>
      <c r="D4" s="311" t="s">
        <v>10</v>
      </c>
      <c r="E4" s="312" t="s">
        <v>111</v>
      </c>
      <c r="F4" s="312" t="s">
        <v>110</v>
      </c>
      <c r="G4" s="312" t="s">
        <v>109</v>
      </c>
      <c r="H4" s="313" t="s">
        <v>108</v>
      </c>
      <c r="I4" s="314" t="s">
        <v>107</v>
      </c>
    </row>
    <row r="5" spans="2:9" s="320" customFormat="1" ht="16.5" thickBot="1">
      <c r="B5" s="411" t="s">
        <v>102</v>
      </c>
      <c r="C5" s="412">
        <v>87200</v>
      </c>
      <c r="D5" s="544">
        <v>42916</v>
      </c>
      <c r="E5" s="414">
        <v>6228.5709999999999</v>
      </c>
      <c r="F5" s="414">
        <v>409.35599999999999</v>
      </c>
      <c r="G5" s="412">
        <f>SUM(E5:F5)</f>
        <v>6637.9269999999997</v>
      </c>
      <c r="H5" s="411"/>
      <c r="I5" s="416"/>
    </row>
    <row r="6" spans="2:9" s="320" customFormat="1" ht="16.5" thickBot="1">
      <c r="B6" s="881" t="s">
        <v>357</v>
      </c>
      <c r="C6" s="882"/>
      <c r="D6" s="883"/>
      <c r="E6" s="321">
        <f>SUM(E1:E5)</f>
        <v>6228.5709999999999</v>
      </c>
      <c r="F6" s="322">
        <f>SUM(F1:F5)</f>
        <v>409.35599999999999</v>
      </c>
      <c r="G6" s="323">
        <f t="shared" ref="G6" si="0">SUM(E6:F6)</f>
        <v>6637.9269999999997</v>
      </c>
      <c r="H6" s="324"/>
      <c r="I6" s="325"/>
    </row>
    <row r="7" spans="2:9" s="320" customFormat="1" ht="16.5" thickBot="1">
      <c r="B7" s="411" t="s">
        <v>103</v>
      </c>
      <c r="C7" s="412">
        <v>400000</v>
      </c>
      <c r="D7" s="544">
        <v>42947</v>
      </c>
      <c r="E7" s="612">
        <v>41341.207000000002</v>
      </c>
      <c r="F7" s="613">
        <v>823.44799999999998</v>
      </c>
      <c r="G7" s="412">
        <f>SUM(E7:F7)</f>
        <v>42164.654999999999</v>
      </c>
      <c r="H7" s="411"/>
      <c r="I7" s="416"/>
    </row>
    <row r="8" spans="2:9" s="320" customFormat="1" ht="16.5" thickBot="1">
      <c r="B8" s="881" t="s">
        <v>358</v>
      </c>
      <c r="C8" s="882"/>
      <c r="D8" s="883"/>
      <c r="E8" s="321">
        <f t="shared" ref="E8:G8" si="1">SUM(E7)</f>
        <v>41341.207000000002</v>
      </c>
      <c r="F8" s="322">
        <f t="shared" si="1"/>
        <v>823.44799999999998</v>
      </c>
      <c r="G8" s="323">
        <f t="shared" si="1"/>
        <v>42164.654999999999</v>
      </c>
      <c r="H8" s="324"/>
      <c r="I8" s="325"/>
    </row>
    <row r="9" spans="2:9" ht="16.5" thickBot="1">
      <c r="B9" s="411" t="s">
        <v>103</v>
      </c>
      <c r="C9" s="412">
        <v>400000</v>
      </c>
      <c r="D9" s="544">
        <v>42978</v>
      </c>
      <c r="E9" s="612">
        <v>41341.207000000002</v>
      </c>
      <c r="F9" s="613">
        <v>1047.3679999999999</v>
      </c>
      <c r="G9" s="412">
        <f>SUM(E9:F9)</f>
        <v>42388.575000000004</v>
      </c>
      <c r="H9" s="411"/>
      <c r="I9" s="416"/>
    </row>
    <row r="10" spans="2:9" ht="15.75" customHeight="1" thickBot="1">
      <c r="B10" s="881" t="s">
        <v>360</v>
      </c>
      <c r="C10" s="882"/>
      <c r="D10" s="883"/>
      <c r="E10" s="321">
        <f>SUM(E9:E9)</f>
        <v>41341.207000000002</v>
      </c>
      <c r="F10" s="321">
        <f t="shared" ref="F10:G10" si="2">SUM(F9:F9)</f>
        <v>1047.3679999999999</v>
      </c>
      <c r="G10" s="321">
        <f t="shared" si="2"/>
        <v>42388.575000000004</v>
      </c>
      <c r="H10" s="324"/>
      <c r="I10" s="325"/>
    </row>
    <row r="11" spans="2:9" ht="15.75" customHeight="1" thickBot="1">
      <c r="B11" s="411" t="s">
        <v>103</v>
      </c>
      <c r="C11" s="412">
        <v>400000</v>
      </c>
      <c r="D11" s="544">
        <v>43008</v>
      </c>
      <c r="E11" s="612">
        <v>41341.207000000002</v>
      </c>
      <c r="F11" s="613">
        <v>1264.0650000000001</v>
      </c>
      <c r="G11" s="412">
        <f>SUM(E11:F11)</f>
        <v>42605.272000000004</v>
      </c>
      <c r="H11" s="411"/>
      <c r="I11" s="416"/>
    </row>
    <row r="12" spans="2:9" ht="16.5" thickBot="1">
      <c r="B12" s="881" t="s">
        <v>361</v>
      </c>
      <c r="C12" s="882"/>
      <c r="D12" s="883"/>
      <c r="E12" s="321">
        <f>SUM(E11:E11)</f>
        <v>41341.207000000002</v>
      </c>
      <c r="F12" s="321">
        <f t="shared" ref="F12:G12" si="3">SUM(F11:F11)</f>
        <v>1264.0650000000001</v>
      </c>
      <c r="G12" s="321">
        <f t="shared" si="3"/>
        <v>42605.272000000004</v>
      </c>
      <c r="H12" s="324"/>
      <c r="I12" s="325"/>
    </row>
    <row r="13" spans="2:9" ht="16.5" thickBot="1">
      <c r="B13" s="411" t="s">
        <v>103</v>
      </c>
      <c r="C13" s="412">
        <v>400000</v>
      </c>
      <c r="D13" s="544">
        <v>43039</v>
      </c>
      <c r="E13" s="612">
        <v>41341.207000000002</v>
      </c>
      <c r="F13" s="613">
        <v>1487.9849999999999</v>
      </c>
      <c r="G13" s="412">
        <f>SUM(E13:F13)</f>
        <v>42829.192000000003</v>
      </c>
      <c r="H13" s="411"/>
      <c r="I13" s="416"/>
    </row>
    <row r="14" spans="2:9" ht="15.75" customHeight="1" thickBot="1">
      <c r="B14" s="881" t="s">
        <v>591</v>
      </c>
      <c r="C14" s="882"/>
      <c r="D14" s="883"/>
      <c r="E14" s="321">
        <f>SUM(E13:E13)</f>
        <v>41341.207000000002</v>
      </c>
      <c r="F14" s="321">
        <f t="shared" ref="F14:G14" si="4">SUM(F13:F13)</f>
        <v>1487.9849999999999</v>
      </c>
      <c r="G14" s="321">
        <f t="shared" si="4"/>
        <v>42829.192000000003</v>
      </c>
      <c r="H14" s="324"/>
      <c r="I14" s="325"/>
    </row>
    <row r="15" spans="2:9" ht="15.75" customHeight="1" thickBot="1">
      <c r="B15" s="316" t="s">
        <v>103</v>
      </c>
      <c r="C15" s="317">
        <v>400000</v>
      </c>
      <c r="D15" s="318">
        <v>43069</v>
      </c>
      <c r="E15" s="542">
        <v>41341.207000000002</v>
      </c>
      <c r="F15" s="543">
        <v>1704.682</v>
      </c>
      <c r="G15" s="317">
        <f>SUM(E15:F15)</f>
        <v>43045.889000000003</v>
      </c>
      <c r="H15" s="316"/>
      <c r="I15" s="319"/>
    </row>
    <row r="16" spans="2:9" ht="16.5" thickBot="1">
      <c r="B16" s="881" t="s">
        <v>592</v>
      </c>
      <c r="C16" s="882"/>
      <c r="D16" s="883"/>
      <c r="E16" s="321">
        <f>SUM(E15:E15)</f>
        <v>41341.207000000002</v>
      </c>
      <c r="F16" s="321">
        <f t="shared" ref="F16:G16" si="5">SUM(F15:F15)</f>
        <v>1704.682</v>
      </c>
      <c r="G16" s="321">
        <f t="shared" si="5"/>
        <v>43045.889000000003</v>
      </c>
      <c r="H16" s="324"/>
      <c r="I16" s="325"/>
    </row>
    <row r="17" spans="2:14">
      <c r="B17" s="337" t="s">
        <v>102</v>
      </c>
      <c r="C17" s="343">
        <v>87200</v>
      </c>
      <c r="D17" s="545">
        <v>43100</v>
      </c>
      <c r="E17" s="547">
        <v>6228.5709999999999</v>
      </c>
      <c r="F17" s="339">
        <v>205.803</v>
      </c>
      <c r="G17" s="338">
        <f>SUM(E17:F17)</f>
        <v>6434.3739999999998</v>
      </c>
      <c r="H17" s="893" t="s">
        <v>359</v>
      </c>
      <c r="I17" s="894"/>
    </row>
    <row r="18" spans="2:14" ht="16.5" thickBot="1">
      <c r="B18" s="341" t="s">
        <v>103</v>
      </c>
      <c r="C18" s="351">
        <v>400000</v>
      </c>
      <c r="D18" s="546">
        <v>43100</v>
      </c>
      <c r="E18" s="542">
        <v>41341.207000000002</v>
      </c>
      <c r="F18" s="543">
        <v>1928.6020000000001</v>
      </c>
      <c r="G18" s="342">
        <f>SUM(E18:F18)</f>
        <v>43269.809000000001</v>
      </c>
      <c r="H18" s="548"/>
      <c r="I18" s="549"/>
    </row>
    <row r="19" spans="2:14" ht="16.5" thickBot="1">
      <c r="B19" s="881" t="s">
        <v>362</v>
      </c>
      <c r="C19" s="882"/>
      <c r="D19" s="883"/>
      <c r="E19" s="326">
        <f>SUM(E17:E18)</f>
        <v>47569.778000000006</v>
      </c>
      <c r="F19" s="326">
        <f t="shared" ref="F19:G19" si="6">SUM(F17:F18)</f>
        <v>2134.4050000000002</v>
      </c>
      <c r="G19" s="326">
        <f t="shared" si="6"/>
        <v>49704.183000000005</v>
      </c>
      <c r="H19" s="329"/>
      <c r="I19" s="325"/>
    </row>
    <row r="20" spans="2:14" s="315" customFormat="1" ht="16.5" thickBot="1">
      <c r="B20" s="330"/>
      <c r="C20" s="331"/>
      <c r="D20" s="332"/>
      <c r="E20" s="332"/>
      <c r="F20" s="332"/>
      <c r="G20" s="330"/>
      <c r="H20" s="330"/>
      <c r="I20" s="330"/>
    </row>
    <row r="21" spans="2:14" ht="16.5" thickBot="1">
      <c r="B21" s="888" t="s">
        <v>352</v>
      </c>
      <c r="C21" s="889"/>
      <c r="D21" s="890"/>
      <c r="E21" s="333">
        <f>E6+E8+E10+E12+E14+E16+E19</f>
        <v>260504.38400000002</v>
      </c>
      <c r="F21" s="333">
        <f t="shared" ref="F21:G21" si="7">F6+F8+F10+F12+F14+F16+F19</f>
        <v>8871.3089999999993</v>
      </c>
      <c r="G21" s="333">
        <f t="shared" si="7"/>
        <v>269375.69300000003</v>
      </c>
      <c r="H21" s="334"/>
      <c r="I21" s="335"/>
    </row>
    <row r="22" spans="2:14">
      <c r="G22" s="308"/>
      <c r="H22" s="308"/>
      <c r="I22" s="308"/>
      <c r="M22" s="320"/>
    </row>
    <row r="23" spans="2:14" s="320" customFormat="1">
      <c r="B23" s="885" t="s">
        <v>113</v>
      </c>
      <c r="C23" s="885"/>
      <c r="D23" s="885"/>
      <c r="E23" s="885"/>
      <c r="F23" s="885"/>
      <c r="G23" s="307"/>
      <c r="H23" s="307"/>
      <c r="I23" s="307"/>
    </row>
    <row r="24" spans="2:14" s="320" customFormat="1">
      <c r="B24" s="885" t="s">
        <v>351</v>
      </c>
      <c r="C24" s="885"/>
      <c r="D24" s="885"/>
      <c r="E24" s="885"/>
      <c r="F24" s="885"/>
      <c r="G24" s="307"/>
      <c r="H24" s="307"/>
      <c r="I24" s="307"/>
      <c r="K24" s="308"/>
      <c r="L24" s="308"/>
      <c r="M24" s="308"/>
    </row>
    <row r="25" spans="2:14" ht="16.5" thickBot="1"/>
    <row r="26" spans="2:14" s="320" customFormat="1" ht="16.5" thickBot="1">
      <c r="B26" s="891" t="s">
        <v>112</v>
      </c>
      <c r="C26" s="892"/>
      <c r="D26" s="311" t="s">
        <v>10</v>
      </c>
      <c r="E26" s="312" t="s">
        <v>111</v>
      </c>
      <c r="F26" s="312" t="s">
        <v>110</v>
      </c>
      <c r="G26" s="312" t="s">
        <v>109</v>
      </c>
      <c r="H26" s="313" t="s">
        <v>108</v>
      </c>
      <c r="I26" s="314" t="s">
        <v>107</v>
      </c>
      <c r="K26" s="308"/>
      <c r="L26" s="308"/>
      <c r="M26" s="308"/>
    </row>
    <row r="27" spans="2:14" s="320" customFormat="1">
      <c r="B27" s="375" t="s">
        <v>124</v>
      </c>
      <c r="C27" s="376">
        <v>1488000</v>
      </c>
      <c r="D27" s="377">
        <v>42761</v>
      </c>
      <c r="E27" s="378">
        <v>106285.71400000001</v>
      </c>
      <c r="F27" s="378">
        <v>15618.094999999999</v>
      </c>
      <c r="G27" s="376">
        <f>SUM(E27:F27)</f>
        <v>121903.80900000001</v>
      </c>
      <c r="H27" s="379"/>
      <c r="I27" s="380"/>
      <c r="K27" s="308"/>
      <c r="L27" s="308"/>
      <c r="M27" s="308"/>
    </row>
    <row r="28" spans="2:14" s="320" customFormat="1" ht="16.5" thickBot="1">
      <c r="B28" s="381" t="s">
        <v>102</v>
      </c>
      <c r="C28" s="382">
        <v>2418000</v>
      </c>
      <c r="D28" s="383">
        <v>42761</v>
      </c>
      <c r="E28" s="384">
        <v>172714.28599999999</v>
      </c>
      <c r="F28" s="384">
        <v>24275.952000000001</v>
      </c>
      <c r="G28" s="382">
        <f>SUM(E28:F28)</f>
        <v>196990.23799999998</v>
      </c>
      <c r="H28" s="385"/>
      <c r="I28" s="386"/>
      <c r="K28" s="308"/>
      <c r="L28" s="308"/>
      <c r="M28" s="308"/>
    </row>
    <row r="29" spans="2:14" ht="16.5" thickBot="1">
      <c r="B29" s="881" t="s">
        <v>353</v>
      </c>
      <c r="C29" s="882"/>
      <c r="D29" s="883"/>
      <c r="E29" s="321">
        <f>SUM(E27:E28)</f>
        <v>279000</v>
      </c>
      <c r="F29" s="322">
        <f>SUM(F27:F28)</f>
        <v>39894.046999999999</v>
      </c>
      <c r="G29" s="323">
        <f t="shared" ref="G29" si="8">SUM(E29:F29)</f>
        <v>318894.04700000002</v>
      </c>
      <c r="H29" s="324"/>
      <c r="I29" s="325"/>
    </row>
    <row r="30" spans="2:14" s="320" customFormat="1" ht="16.5" thickBot="1">
      <c r="B30" s="411" t="s">
        <v>105</v>
      </c>
      <c r="C30" s="412">
        <v>800000</v>
      </c>
      <c r="D30" s="413">
        <v>42791</v>
      </c>
      <c r="E30" s="414">
        <v>28571.429</v>
      </c>
      <c r="F30" s="414">
        <v>1665</v>
      </c>
      <c r="G30" s="412">
        <f>SUM(E30:F30)</f>
        <v>30236.429</v>
      </c>
      <c r="H30" s="415"/>
      <c r="I30" s="416"/>
      <c r="K30" s="308"/>
      <c r="L30" s="308"/>
      <c r="M30" s="308"/>
    </row>
    <row r="31" spans="2:14" s="320" customFormat="1" ht="16.5" thickBot="1">
      <c r="B31" s="881" t="s">
        <v>354</v>
      </c>
      <c r="C31" s="882"/>
      <c r="D31" s="883"/>
      <c r="E31" s="321">
        <f>SUM(E30)</f>
        <v>28571.429</v>
      </c>
      <c r="F31" s="322">
        <f>SUM(F30)</f>
        <v>1665</v>
      </c>
      <c r="G31" s="323">
        <f t="shared" ref="G31" si="9">SUM(E31:F31)</f>
        <v>30236.429</v>
      </c>
      <c r="H31" s="324"/>
      <c r="I31" s="325"/>
      <c r="K31" s="402"/>
      <c r="L31" s="403"/>
      <c r="M31" s="404"/>
      <c r="N31" s="404"/>
    </row>
    <row r="32" spans="2:14">
      <c r="B32" s="375" t="s">
        <v>102</v>
      </c>
      <c r="C32" s="417">
        <v>500000</v>
      </c>
      <c r="D32" s="418">
        <v>42825</v>
      </c>
      <c r="E32" s="378"/>
      <c r="F32" s="378">
        <v>8100</v>
      </c>
      <c r="G32" s="376">
        <f>SUM(E32:F32)</f>
        <v>8100</v>
      </c>
      <c r="H32" s="379"/>
      <c r="I32" s="380"/>
      <c r="J32" s="352"/>
      <c r="K32" s="402"/>
      <c r="L32" s="403"/>
      <c r="M32" s="404"/>
      <c r="N32" s="404"/>
    </row>
    <row r="33" spans="2:14" s="320" customFormat="1">
      <c r="B33" s="419" t="s">
        <v>102</v>
      </c>
      <c r="C33" s="420">
        <v>1150000</v>
      </c>
      <c r="D33" s="421">
        <v>42825</v>
      </c>
      <c r="E33" s="422"/>
      <c r="F33" s="422">
        <v>18658.75</v>
      </c>
      <c r="G33" s="423">
        <f>SUM(E33:F33)</f>
        <v>18658.75</v>
      </c>
      <c r="H33" s="424"/>
      <c r="I33" s="425"/>
      <c r="J33" s="352"/>
      <c r="K33" s="406"/>
      <c r="L33" s="407"/>
      <c r="M33" s="405"/>
      <c r="N33" s="404"/>
    </row>
    <row r="34" spans="2:14" s="320" customFormat="1">
      <c r="B34" s="419" t="s">
        <v>102</v>
      </c>
      <c r="C34" s="420">
        <v>1000000</v>
      </c>
      <c r="D34" s="421">
        <v>42825</v>
      </c>
      <c r="E34" s="422"/>
      <c r="F34" s="422">
        <v>16175</v>
      </c>
      <c r="G34" s="423">
        <f t="shared" ref="G34:G37" si="10">SUM(E34:F34)</f>
        <v>16175</v>
      </c>
      <c r="H34" s="424"/>
      <c r="I34" s="425"/>
      <c r="J34" s="352"/>
      <c r="K34" s="402"/>
      <c r="L34" s="403"/>
      <c r="M34" s="404"/>
      <c r="N34" s="404"/>
    </row>
    <row r="35" spans="2:14" s="320" customFormat="1">
      <c r="B35" s="419" t="s">
        <v>102</v>
      </c>
      <c r="C35" s="420">
        <v>1000000</v>
      </c>
      <c r="D35" s="421">
        <v>42825</v>
      </c>
      <c r="E35" s="422">
        <v>0</v>
      </c>
      <c r="F35" s="422">
        <v>3755.357</v>
      </c>
      <c r="G35" s="423">
        <f t="shared" si="10"/>
        <v>3755.357</v>
      </c>
      <c r="H35" s="424"/>
      <c r="I35" s="425"/>
      <c r="J35" s="352"/>
      <c r="K35" s="308"/>
      <c r="L35" s="308"/>
      <c r="M35" s="308"/>
    </row>
    <row r="36" spans="2:14">
      <c r="B36" s="419" t="s">
        <v>102</v>
      </c>
      <c r="C36" s="426">
        <v>350000</v>
      </c>
      <c r="D36" s="421">
        <v>42825</v>
      </c>
      <c r="E36" s="427"/>
      <c r="F36" s="427">
        <v>1907.5</v>
      </c>
      <c r="G36" s="423">
        <f t="shared" si="10"/>
        <v>1907.5</v>
      </c>
      <c r="H36" s="428"/>
      <c r="I36" s="429"/>
      <c r="J36" s="352"/>
    </row>
    <row r="37" spans="2:14" s="320" customFormat="1" ht="16.5" thickBot="1">
      <c r="B37" s="381" t="s">
        <v>124</v>
      </c>
      <c r="C37" s="467">
        <v>300000</v>
      </c>
      <c r="D37" s="383">
        <v>42825</v>
      </c>
      <c r="E37" s="384">
        <v>10714</v>
      </c>
      <c r="F37" s="384">
        <v>724.40099999999995</v>
      </c>
      <c r="G37" s="423">
        <f t="shared" si="10"/>
        <v>11438.401</v>
      </c>
      <c r="H37" s="385"/>
      <c r="I37" s="386"/>
      <c r="J37" s="352"/>
      <c r="K37" s="354"/>
      <c r="L37" s="308"/>
      <c r="M37" s="308"/>
      <c r="N37" s="308"/>
    </row>
    <row r="38" spans="2:14" s="320" customFormat="1" ht="16.5" thickBot="1">
      <c r="B38" s="881" t="s">
        <v>355</v>
      </c>
      <c r="C38" s="882"/>
      <c r="D38" s="884"/>
      <c r="E38" s="326">
        <f>SUM(E32:E37)</f>
        <v>10714</v>
      </c>
      <c r="F38" s="327">
        <f>SUM(F32:F37)</f>
        <v>49321.008000000002</v>
      </c>
      <c r="G38" s="328">
        <f t="shared" ref="G38" si="11">SUM(E38:F38)</f>
        <v>60035.008000000002</v>
      </c>
      <c r="H38" s="329"/>
      <c r="I38" s="325"/>
      <c r="J38" s="352"/>
      <c r="K38" s="308"/>
      <c r="L38" s="308"/>
      <c r="M38" s="308"/>
      <c r="N38" s="308"/>
    </row>
    <row r="39" spans="2:14" ht="16.5" thickBot="1">
      <c r="B39" s="411" t="s">
        <v>105</v>
      </c>
      <c r="C39" s="412">
        <v>800000</v>
      </c>
      <c r="D39" s="413">
        <v>42880</v>
      </c>
      <c r="E39" s="414">
        <v>28571.429</v>
      </c>
      <c r="F39" s="414">
        <v>1110</v>
      </c>
      <c r="G39" s="412">
        <f>SUM(E39:F39)</f>
        <v>29681.429</v>
      </c>
      <c r="H39" s="415"/>
      <c r="I39" s="416"/>
      <c r="J39" s="352"/>
    </row>
    <row r="40" spans="2:14" ht="16.5" thickBot="1">
      <c r="B40" s="881" t="s">
        <v>356</v>
      </c>
      <c r="C40" s="882"/>
      <c r="D40" s="883"/>
      <c r="E40" s="326">
        <f>SUM(E39)</f>
        <v>28571.429</v>
      </c>
      <c r="F40" s="327">
        <f>SUM(F39)</f>
        <v>1110</v>
      </c>
      <c r="G40" s="328">
        <f t="shared" ref="G40" si="12">SUM(E40:F40)</f>
        <v>29681.429</v>
      </c>
      <c r="H40" s="353"/>
      <c r="I40" s="325"/>
      <c r="J40" s="352"/>
    </row>
    <row r="41" spans="2:14" s="320" customFormat="1">
      <c r="B41" s="494" t="s">
        <v>102</v>
      </c>
      <c r="C41" s="495">
        <v>500000</v>
      </c>
      <c r="D41" s="418">
        <v>42916</v>
      </c>
      <c r="E41" s="378">
        <v>0</v>
      </c>
      <c r="F41" s="378">
        <v>8190</v>
      </c>
      <c r="G41" s="496">
        <f t="shared" ref="G41:G47" si="13">SUM(E41:F41)</f>
        <v>8190</v>
      </c>
      <c r="H41" s="497"/>
      <c r="I41" s="498"/>
      <c r="J41" s="352"/>
      <c r="K41" s="308"/>
      <c r="L41" s="308"/>
      <c r="M41" s="308"/>
      <c r="N41" s="308"/>
    </row>
    <row r="42" spans="2:14" s="320" customFormat="1">
      <c r="B42" s="499" t="s">
        <v>102</v>
      </c>
      <c r="C42" s="500">
        <v>1150000</v>
      </c>
      <c r="D42" s="421">
        <v>42916</v>
      </c>
      <c r="E42" s="422">
        <v>0</v>
      </c>
      <c r="F42" s="422">
        <v>18866.069444444442</v>
      </c>
      <c r="G42" s="501">
        <f t="shared" si="13"/>
        <v>18866.069444444442</v>
      </c>
      <c r="H42" s="502"/>
      <c r="I42" s="503"/>
      <c r="J42" s="308"/>
      <c r="K42" s="308"/>
      <c r="L42" s="308"/>
      <c r="M42" s="308"/>
      <c r="N42" s="308"/>
    </row>
    <row r="43" spans="2:14">
      <c r="B43" s="499" t="s">
        <v>102</v>
      </c>
      <c r="C43" s="500">
        <v>1000000</v>
      </c>
      <c r="D43" s="421">
        <v>42916</v>
      </c>
      <c r="E43" s="422">
        <v>0</v>
      </c>
      <c r="F43" s="422">
        <v>16354.722222222223</v>
      </c>
      <c r="G43" s="501">
        <f t="shared" si="13"/>
        <v>16354.722222222223</v>
      </c>
      <c r="H43" s="502"/>
      <c r="I43" s="503"/>
    </row>
    <row r="44" spans="2:14" s="320" customFormat="1">
      <c r="B44" s="499" t="s">
        <v>102</v>
      </c>
      <c r="C44" s="500">
        <v>1000000</v>
      </c>
      <c r="D44" s="421">
        <v>42916</v>
      </c>
      <c r="E44" s="422">
        <v>71428.570999999996</v>
      </c>
      <c r="F44" s="422">
        <v>3797.0830000000001</v>
      </c>
      <c r="G44" s="501">
        <f t="shared" si="13"/>
        <v>75225.653999999995</v>
      </c>
      <c r="H44" s="502"/>
      <c r="I44" s="503"/>
      <c r="J44" s="308"/>
      <c r="K44" s="308"/>
      <c r="L44" s="308"/>
      <c r="M44" s="308"/>
      <c r="N44" s="308"/>
    </row>
    <row r="45" spans="2:14">
      <c r="B45" s="499" t="s">
        <v>102</v>
      </c>
      <c r="C45" s="504">
        <v>350000</v>
      </c>
      <c r="D45" s="421">
        <v>42916</v>
      </c>
      <c r="E45" s="427">
        <v>0</v>
      </c>
      <c r="F45" s="427">
        <v>5786.0829999999996</v>
      </c>
      <c r="G45" s="501">
        <f t="shared" si="13"/>
        <v>5786.0829999999996</v>
      </c>
      <c r="H45" s="505"/>
      <c r="I45" s="506"/>
    </row>
    <row r="46" spans="2:14" s="320" customFormat="1">
      <c r="B46" s="507" t="s">
        <v>102</v>
      </c>
      <c r="C46" s="504">
        <v>500000</v>
      </c>
      <c r="D46" s="508">
        <v>42916</v>
      </c>
      <c r="E46" s="427">
        <v>0</v>
      </c>
      <c r="F46" s="427">
        <v>4995</v>
      </c>
      <c r="G46" s="509">
        <f t="shared" si="13"/>
        <v>4995</v>
      </c>
      <c r="H46" s="505"/>
      <c r="I46" s="506"/>
      <c r="J46" s="308"/>
      <c r="K46" s="308"/>
      <c r="L46" s="308"/>
      <c r="M46" s="308"/>
      <c r="N46" s="308"/>
    </row>
    <row r="47" spans="2:14" s="320" customFormat="1" ht="16.5" thickBot="1">
      <c r="B47" s="510" t="s">
        <v>124</v>
      </c>
      <c r="C47" s="511">
        <v>300000</v>
      </c>
      <c r="D47" s="512">
        <v>42916</v>
      </c>
      <c r="E47" s="384">
        <v>10714</v>
      </c>
      <c r="F47" s="384">
        <v>549.37199999999996</v>
      </c>
      <c r="G47" s="513">
        <f t="shared" si="13"/>
        <v>11263.371999999999</v>
      </c>
      <c r="H47" s="514"/>
      <c r="I47" s="515"/>
      <c r="J47" s="308"/>
      <c r="K47" s="308"/>
      <c r="L47" s="308"/>
      <c r="M47" s="308"/>
      <c r="N47" s="308"/>
    </row>
    <row r="48" spans="2:14" ht="16.5" thickBot="1">
      <c r="B48" s="881" t="s">
        <v>357</v>
      </c>
      <c r="C48" s="882"/>
      <c r="D48" s="884"/>
      <c r="E48" s="326">
        <f>SUM(E41:E47)</f>
        <v>82142.570999999996</v>
      </c>
      <c r="F48" s="327">
        <f>SUM(F41:F47)</f>
        <v>58538.329666666665</v>
      </c>
      <c r="G48" s="328">
        <f>SUM(E48:F48)</f>
        <v>140680.90066666665</v>
      </c>
      <c r="H48" s="329"/>
      <c r="I48" s="325"/>
    </row>
    <row r="49" spans="2:14" s="320" customFormat="1">
      <c r="B49" s="375" t="s">
        <v>124</v>
      </c>
      <c r="C49" s="376">
        <v>1488000</v>
      </c>
      <c r="D49" s="377">
        <v>42942</v>
      </c>
      <c r="E49" s="378">
        <v>106285.71400000001</v>
      </c>
      <c r="F49" s="378">
        <v>12290.762000000001</v>
      </c>
      <c r="G49" s="376">
        <f>SUM(E49:F49)</f>
        <v>118576.47600000001</v>
      </c>
      <c r="H49" s="379"/>
      <c r="I49" s="380"/>
      <c r="J49" s="308"/>
      <c r="K49" s="308"/>
      <c r="L49" s="308"/>
      <c r="M49" s="308"/>
      <c r="N49" s="308"/>
    </row>
    <row r="50" spans="2:14" ht="16.5" thickBot="1">
      <c r="B50" s="381" t="s">
        <v>102</v>
      </c>
      <c r="C50" s="382">
        <v>2418000</v>
      </c>
      <c r="D50" s="383">
        <v>42942</v>
      </c>
      <c r="E50" s="384">
        <v>172714.28599999999</v>
      </c>
      <c r="F50" s="384">
        <v>19104.118999999999</v>
      </c>
      <c r="G50" s="382">
        <f>SUM(E50:F50)</f>
        <v>191818.405</v>
      </c>
      <c r="H50" s="385"/>
      <c r="I50" s="386"/>
    </row>
    <row r="51" spans="2:14" ht="16.5" thickBot="1">
      <c r="B51" s="881" t="s">
        <v>358</v>
      </c>
      <c r="C51" s="882"/>
      <c r="D51" s="883"/>
      <c r="E51" s="326">
        <f>SUM(E49:E50)</f>
        <v>279000</v>
      </c>
      <c r="F51" s="327">
        <f>SUM(F49:F50)</f>
        <v>31394.881000000001</v>
      </c>
      <c r="G51" s="328">
        <f t="shared" ref="G51" si="14">SUM(E51:F51)</f>
        <v>310394.88099999999</v>
      </c>
      <c r="H51" s="353"/>
      <c r="I51" s="325"/>
    </row>
    <row r="52" spans="2:14" ht="16.5" thickBot="1">
      <c r="B52" s="592" t="s">
        <v>105</v>
      </c>
      <c r="C52" s="593">
        <v>800000</v>
      </c>
      <c r="D52" s="594">
        <v>42972</v>
      </c>
      <c r="E52" s="414">
        <v>28571.417000000001</v>
      </c>
      <c r="F52" s="414">
        <v>555</v>
      </c>
      <c r="G52" s="595">
        <f>SUM(E52:F52)</f>
        <v>29126.417000000001</v>
      </c>
      <c r="H52" s="895" t="s">
        <v>359</v>
      </c>
      <c r="I52" s="896"/>
    </row>
    <row r="53" spans="2:14" ht="16.5" thickBot="1">
      <c r="B53" s="881" t="s">
        <v>360</v>
      </c>
      <c r="C53" s="882"/>
      <c r="D53" s="883"/>
      <c r="E53" s="326">
        <f>SUM(E52)</f>
        <v>28571.417000000001</v>
      </c>
      <c r="F53" s="327">
        <f>SUM(F52)</f>
        <v>555</v>
      </c>
      <c r="G53" s="328">
        <f t="shared" ref="G53" si="15">SUM(E53:F53)</f>
        <v>29126.417000000001</v>
      </c>
      <c r="H53" s="353"/>
      <c r="I53" s="325"/>
    </row>
    <row r="54" spans="2:14">
      <c r="B54" s="375" t="s">
        <v>102</v>
      </c>
      <c r="C54" s="417">
        <v>500000</v>
      </c>
      <c r="D54" s="377">
        <v>43008</v>
      </c>
      <c r="E54" s="378">
        <v>41666.667000000001</v>
      </c>
      <c r="F54" s="378">
        <v>8280</v>
      </c>
      <c r="G54" s="376">
        <f>SUM(E54:F54)</f>
        <v>49946.667000000001</v>
      </c>
      <c r="H54" s="379"/>
      <c r="I54" s="380"/>
    </row>
    <row r="55" spans="2:14">
      <c r="B55" s="419" t="s">
        <v>102</v>
      </c>
      <c r="C55" s="420">
        <v>1150000</v>
      </c>
      <c r="D55" s="677">
        <v>43008</v>
      </c>
      <c r="E55" s="422">
        <v>95833.333333333328</v>
      </c>
      <c r="F55" s="422">
        <v>19073.388888888887</v>
      </c>
      <c r="G55" s="423">
        <f>SUM(E55:F55)</f>
        <v>114906.72222222222</v>
      </c>
      <c r="H55" s="424"/>
      <c r="I55" s="425"/>
    </row>
    <row r="56" spans="2:14">
      <c r="B56" s="419" t="s">
        <v>102</v>
      </c>
      <c r="C56" s="420">
        <v>1000000</v>
      </c>
      <c r="D56" s="677">
        <v>43008</v>
      </c>
      <c r="E56" s="422">
        <v>83333.333333333328</v>
      </c>
      <c r="F56" s="422">
        <v>16534.444444444445</v>
      </c>
      <c r="G56" s="423">
        <f t="shared" ref="G56:G57" si="16">SUM(E56:F56)</f>
        <v>99867.777777777781</v>
      </c>
      <c r="H56" s="424"/>
      <c r="I56" s="425"/>
    </row>
    <row r="57" spans="2:14">
      <c r="B57" s="419" t="s">
        <v>102</v>
      </c>
      <c r="C57" s="420">
        <v>1000000</v>
      </c>
      <c r="D57" s="421">
        <v>43008</v>
      </c>
      <c r="E57" s="422">
        <v>0</v>
      </c>
      <c r="F57" s="422">
        <v>2559.2060000000001</v>
      </c>
      <c r="G57" s="423">
        <f t="shared" si="16"/>
        <v>2559.2060000000001</v>
      </c>
      <c r="H57" s="424"/>
      <c r="I57" s="425"/>
    </row>
    <row r="58" spans="2:14">
      <c r="B58" s="419" t="s">
        <v>102</v>
      </c>
      <c r="C58" s="426">
        <v>350000</v>
      </c>
      <c r="D58" s="421">
        <v>43008</v>
      </c>
      <c r="E58" s="427">
        <v>29166.667000000001</v>
      </c>
      <c r="F58" s="427">
        <v>5849.6670000000004</v>
      </c>
      <c r="G58" s="678">
        <f t="shared" ref="G58:G63" si="17">SUM(E58:F58)</f>
        <v>35016.334000000003</v>
      </c>
      <c r="H58" s="428"/>
      <c r="I58" s="429"/>
    </row>
    <row r="59" spans="2:14">
      <c r="B59" s="679" t="s">
        <v>102</v>
      </c>
      <c r="C59" s="426">
        <v>500000</v>
      </c>
      <c r="D59" s="508">
        <v>43008</v>
      </c>
      <c r="E59" s="427">
        <v>41666.667000000001</v>
      </c>
      <c r="F59" s="427">
        <v>8510</v>
      </c>
      <c r="G59" s="678">
        <f t="shared" si="17"/>
        <v>50176.667000000001</v>
      </c>
      <c r="H59" s="428"/>
      <c r="I59" s="429"/>
    </row>
    <row r="60" spans="2:14" ht="16.5" thickBot="1">
      <c r="B60" s="381" t="s">
        <v>124</v>
      </c>
      <c r="C60" s="467">
        <v>300000</v>
      </c>
      <c r="D60" s="383">
        <v>43008</v>
      </c>
      <c r="E60" s="384">
        <v>10714</v>
      </c>
      <c r="F60" s="384">
        <v>370.31799999999998</v>
      </c>
      <c r="G60" s="382">
        <f t="shared" si="17"/>
        <v>11084.317999999999</v>
      </c>
      <c r="H60" s="385"/>
      <c r="I60" s="386"/>
    </row>
    <row r="61" spans="2:14" ht="16.5" thickBot="1">
      <c r="B61" s="881" t="s">
        <v>361</v>
      </c>
      <c r="C61" s="882"/>
      <c r="D61" s="884"/>
      <c r="E61" s="326">
        <f>SUM(E54:E60)</f>
        <v>302380.66766666668</v>
      </c>
      <c r="F61" s="327">
        <f>SUM(F54:F60)</f>
        <v>61177.024333333327</v>
      </c>
      <c r="G61" s="328">
        <f t="shared" si="17"/>
        <v>363557.69199999998</v>
      </c>
      <c r="H61" s="353"/>
      <c r="I61" s="325"/>
    </row>
    <row r="62" spans="2:14">
      <c r="B62" s="337" t="s">
        <v>102</v>
      </c>
      <c r="C62" s="343">
        <v>500000</v>
      </c>
      <c r="D62" s="344">
        <v>43100</v>
      </c>
      <c r="E62" s="339">
        <v>0</v>
      </c>
      <c r="F62" s="339">
        <v>7590</v>
      </c>
      <c r="G62" s="338">
        <f t="shared" si="17"/>
        <v>7590</v>
      </c>
      <c r="H62" s="337"/>
      <c r="I62" s="340"/>
    </row>
    <row r="63" spans="2:14">
      <c r="B63" s="345" t="s">
        <v>102</v>
      </c>
      <c r="C63" s="346">
        <v>1150000</v>
      </c>
      <c r="D63" s="347">
        <v>43100</v>
      </c>
      <c r="E63" s="348">
        <v>0</v>
      </c>
      <c r="F63" s="348">
        <v>17483.939814814814</v>
      </c>
      <c r="G63" s="349">
        <f t="shared" si="17"/>
        <v>17483.939814814814</v>
      </c>
      <c r="H63" s="345"/>
      <c r="I63" s="350"/>
    </row>
    <row r="64" spans="2:14">
      <c r="B64" s="345" t="s">
        <v>102</v>
      </c>
      <c r="C64" s="346">
        <v>1000000</v>
      </c>
      <c r="D64" s="347">
        <v>43100</v>
      </c>
      <c r="E64" s="348">
        <v>0</v>
      </c>
      <c r="F64" s="348">
        <v>15156.574074074073</v>
      </c>
      <c r="G64" s="349">
        <f t="shared" ref="G64:G67" si="18">SUM(E64:F64)</f>
        <v>15156.574074074073</v>
      </c>
      <c r="H64" s="345"/>
      <c r="I64" s="350"/>
    </row>
    <row r="65" spans="2:9">
      <c r="B65" s="345" t="s">
        <v>102</v>
      </c>
      <c r="C65" s="346">
        <v>1000000</v>
      </c>
      <c r="D65" s="347">
        <v>43100</v>
      </c>
      <c r="E65" s="348">
        <v>71428.570999999996</v>
      </c>
      <c r="F65" s="348">
        <v>2559.2060000000001</v>
      </c>
      <c r="G65" s="349">
        <f t="shared" si="18"/>
        <v>73987.777000000002</v>
      </c>
      <c r="H65" s="345"/>
      <c r="I65" s="350"/>
    </row>
    <row r="66" spans="2:9">
      <c r="B66" s="345" t="s">
        <v>102</v>
      </c>
      <c r="C66" s="408">
        <v>350000</v>
      </c>
      <c r="D66" s="347">
        <v>43100</v>
      </c>
      <c r="E66" s="409">
        <v>0</v>
      </c>
      <c r="F66" s="409">
        <v>5362.1940000000004</v>
      </c>
      <c r="G66" s="349">
        <f t="shared" si="18"/>
        <v>5362.1940000000004</v>
      </c>
      <c r="H66" s="345"/>
      <c r="I66" s="350"/>
    </row>
    <row r="67" spans="2:9">
      <c r="B67" s="465" t="s">
        <v>102</v>
      </c>
      <c r="C67" s="408">
        <v>500000</v>
      </c>
      <c r="D67" s="466">
        <v>43100</v>
      </c>
      <c r="E67" s="409">
        <v>0</v>
      </c>
      <c r="F67" s="409">
        <v>7801</v>
      </c>
      <c r="G67" s="410">
        <f t="shared" si="18"/>
        <v>7801</v>
      </c>
      <c r="H67" s="345"/>
      <c r="I67" s="350"/>
    </row>
    <row r="68" spans="2:9" ht="16.5" thickBot="1">
      <c r="B68" s="381" t="s">
        <v>124</v>
      </c>
      <c r="C68" s="467">
        <v>300000</v>
      </c>
      <c r="D68" s="596">
        <v>43100</v>
      </c>
      <c r="E68" s="597">
        <v>10722</v>
      </c>
      <c r="F68" s="597">
        <v>185.22800000000001</v>
      </c>
      <c r="G68" s="382">
        <f>SUM(E68:F68)</f>
        <v>10907.227999999999</v>
      </c>
      <c r="H68" s="886" t="s">
        <v>359</v>
      </c>
      <c r="I68" s="887"/>
    </row>
    <row r="69" spans="2:9" ht="16.5" thickBot="1">
      <c r="B69" s="881" t="s">
        <v>362</v>
      </c>
      <c r="C69" s="882"/>
      <c r="D69" s="883"/>
      <c r="E69" s="326">
        <f>SUM(E62:E68)</f>
        <v>82150.570999999996</v>
      </c>
      <c r="F69" s="327">
        <f>SUM(F62:F68)</f>
        <v>56138.141888888895</v>
      </c>
      <c r="G69" s="328">
        <f t="shared" ref="G69" si="19">SUM(E69:F69)</f>
        <v>138288.7128888889</v>
      </c>
      <c r="H69" s="329"/>
      <c r="I69" s="325"/>
    </row>
    <row r="70" spans="2:9" ht="16.5" thickBot="1">
      <c r="B70" s="330"/>
      <c r="C70" s="331"/>
      <c r="D70" s="332"/>
      <c r="E70" s="332"/>
      <c r="F70" s="332"/>
      <c r="G70" s="330"/>
      <c r="H70" s="330"/>
      <c r="I70" s="330"/>
    </row>
    <row r="71" spans="2:9" ht="16.5" thickBot="1">
      <c r="B71" s="888" t="s">
        <v>352</v>
      </c>
      <c r="C71" s="889"/>
      <c r="D71" s="890"/>
      <c r="E71" s="333">
        <f>+E69+E61+E53+E51+E48+E40+E38+E31+E29</f>
        <v>1121102.0846666666</v>
      </c>
      <c r="F71" s="333">
        <f>+F69+F61+F53+F51+F48+F40+F38+F31+F29</f>
        <v>299793.43188888888</v>
      </c>
      <c r="G71" s="333">
        <f>+G69+G61+G53+G51+G48+G40+G38+G31+G29</f>
        <v>1420895.5165555554</v>
      </c>
      <c r="H71" s="334"/>
      <c r="I71" s="335"/>
    </row>
  </sheetData>
  <mergeCells count="27">
    <mergeCell ref="H68:I68"/>
    <mergeCell ref="B69:D69"/>
    <mergeCell ref="B71:D71"/>
    <mergeCell ref="B4:C4"/>
    <mergeCell ref="B6:D6"/>
    <mergeCell ref="H17:I17"/>
    <mergeCell ref="B19:D19"/>
    <mergeCell ref="B21:D21"/>
    <mergeCell ref="B61:D61"/>
    <mergeCell ref="B48:D48"/>
    <mergeCell ref="B51:D51"/>
    <mergeCell ref="H52:I52"/>
    <mergeCell ref="B53:D53"/>
    <mergeCell ref="B23:F23"/>
    <mergeCell ref="B24:F24"/>
    <mergeCell ref="B26:C26"/>
    <mergeCell ref="B29:D29"/>
    <mergeCell ref="B31:D31"/>
    <mergeCell ref="B38:D38"/>
    <mergeCell ref="B40:D40"/>
    <mergeCell ref="B1:F1"/>
    <mergeCell ref="B2:F2"/>
    <mergeCell ref="B8:D8"/>
    <mergeCell ref="B10:D10"/>
    <mergeCell ref="B12:D12"/>
    <mergeCell ref="B14:D14"/>
    <mergeCell ref="B16:D16"/>
  </mergeCells>
  <pageMargins left="0.70866141732283472" right="0.70866141732283472" top="0.31496062992125984" bottom="0.74803149606299213" header="0.31496062992125984" footer="0.31496062992125984"/>
  <pageSetup paperSize="9" scale="71" orientation="portrait" horizontalDpi="180" verticalDpi="180" r:id="rId1"/>
  <ignoredErrors>
    <ignoredError sqref="G22:G47 G62:G68 G49:G60 G5:G6 G17 G20 G7:G16 G18:G19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Q142"/>
  <sheetViews>
    <sheetView topLeftCell="A61" workbookViewId="0">
      <selection activeCell="R87" sqref="R87"/>
    </sheetView>
  </sheetViews>
  <sheetFormatPr baseColWidth="10" defaultRowHeight="12.75"/>
  <cols>
    <col min="1" max="1" width="14.42578125" style="1" bestFit="1" customWidth="1"/>
    <col min="2" max="2" width="11.28515625" style="1" bestFit="1" customWidth="1"/>
    <col min="3" max="3" width="12.28515625" style="1" bestFit="1" customWidth="1"/>
    <col min="4" max="4" width="4.7109375" style="1" bestFit="1" customWidth="1"/>
    <col min="5" max="5" width="10.140625" style="2" bestFit="1" customWidth="1"/>
    <col min="6" max="6" width="11.7109375" style="3" customWidth="1"/>
    <col min="7" max="7" width="10.140625" style="1" bestFit="1" customWidth="1"/>
    <col min="8" max="8" width="10.85546875" style="3" bestFit="1" customWidth="1"/>
    <col min="9" max="9" width="9.85546875" style="1" bestFit="1" customWidth="1"/>
    <col min="10" max="10" width="10.42578125" style="1" bestFit="1" customWidth="1"/>
    <col min="11" max="11" width="10.7109375" style="2" customWidth="1"/>
    <col min="12" max="12" width="11.85546875" style="1" customWidth="1"/>
    <col min="13" max="13" width="11.7109375" style="1" bestFit="1" customWidth="1"/>
    <col min="14" max="14" width="10.140625" style="440" bestFit="1" customWidth="1"/>
    <col min="15" max="15" width="13.7109375" style="7" bestFit="1" customWidth="1"/>
    <col min="16" max="16" width="12.5703125" style="1" bestFit="1" customWidth="1"/>
    <col min="17" max="17" width="17.5703125" style="1" bestFit="1" customWidth="1"/>
    <col min="18" max="256" width="11.42578125" style="1"/>
    <col min="257" max="257" width="8.85546875" style="1" bestFit="1" customWidth="1"/>
    <col min="258" max="258" width="10.140625" style="1" bestFit="1" customWidth="1"/>
    <col min="259" max="259" width="12.140625" style="1" bestFit="1" customWidth="1"/>
    <col min="260" max="260" width="4.5703125" style="1" bestFit="1" customWidth="1"/>
    <col min="261" max="261" width="11.28515625" style="1" bestFit="1" customWidth="1"/>
    <col min="262" max="262" width="13.28515625" style="1" bestFit="1" customWidth="1"/>
    <col min="263" max="263" width="12.140625" style="1" bestFit="1" customWidth="1"/>
    <col min="264" max="264" width="14.5703125" style="1" customWidth="1"/>
    <col min="265" max="266" width="12.140625" style="1" bestFit="1" customWidth="1"/>
    <col min="267" max="267" width="11.85546875" style="1" bestFit="1" customWidth="1"/>
    <col min="268" max="268" width="12.140625" style="1" bestFit="1" customWidth="1"/>
    <col min="269" max="269" width="12" style="1" bestFit="1" customWidth="1"/>
    <col min="270" max="270" width="18.7109375" style="1" bestFit="1" customWidth="1"/>
    <col min="271" max="512" width="11.42578125" style="1"/>
    <col min="513" max="513" width="8.85546875" style="1" bestFit="1" customWidth="1"/>
    <col min="514" max="514" width="10.140625" style="1" bestFit="1" customWidth="1"/>
    <col min="515" max="515" width="12.140625" style="1" bestFit="1" customWidth="1"/>
    <col min="516" max="516" width="4.5703125" style="1" bestFit="1" customWidth="1"/>
    <col min="517" max="517" width="11.28515625" style="1" bestFit="1" customWidth="1"/>
    <col min="518" max="518" width="13.28515625" style="1" bestFit="1" customWidth="1"/>
    <col min="519" max="519" width="12.140625" style="1" bestFit="1" customWidth="1"/>
    <col min="520" max="520" width="14.5703125" style="1" customWidth="1"/>
    <col min="521" max="522" width="12.140625" style="1" bestFit="1" customWidth="1"/>
    <col min="523" max="523" width="11.85546875" style="1" bestFit="1" customWidth="1"/>
    <col min="524" max="524" width="12.140625" style="1" bestFit="1" customWidth="1"/>
    <col min="525" max="525" width="12" style="1" bestFit="1" customWidth="1"/>
    <col min="526" max="526" width="18.7109375" style="1" bestFit="1" customWidth="1"/>
    <col min="527" max="768" width="11.42578125" style="1"/>
    <col min="769" max="769" width="8.85546875" style="1" bestFit="1" customWidth="1"/>
    <col min="770" max="770" width="10.140625" style="1" bestFit="1" customWidth="1"/>
    <col min="771" max="771" width="12.140625" style="1" bestFit="1" customWidth="1"/>
    <col min="772" max="772" width="4.5703125" style="1" bestFit="1" customWidth="1"/>
    <col min="773" max="773" width="11.28515625" style="1" bestFit="1" customWidth="1"/>
    <col min="774" max="774" width="13.28515625" style="1" bestFit="1" customWidth="1"/>
    <col min="775" max="775" width="12.140625" style="1" bestFit="1" customWidth="1"/>
    <col min="776" max="776" width="14.5703125" style="1" customWidth="1"/>
    <col min="777" max="778" width="12.140625" style="1" bestFit="1" customWidth="1"/>
    <col min="779" max="779" width="11.85546875" style="1" bestFit="1" customWidth="1"/>
    <col min="780" max="780" width="12.140625" style="1" bestFit="1" customWidth="1"/>
    <col min="781" max="781" width="12" style="1" bestFit="1" customWidth="1"/>
    <col min="782" max="782" width="18.7109375" style="1" bestFit="1" customWidth="1"/>
    <col min="783" max="1024" width="11.42578125" style="1"/>
    <col min="1025" max="1025" width="8.85546875" style="1" bestFit="1" customWidth="1"/>
    <col min="1026" max="1026" width="10.140625" style="1" bestFit="1" customWidth="1"/>
    <col min="1027" max="1027" width="12.140625" style="1" bestFit="1" customWidth="1"/>
    <col min="1028" max="1028" width="4.5703125" style="1" bestFit="1" customWidth="1"/>
    <col min="1029" max="1029" width="11.28515625" style="1" bestFit="1" customWidth="1"/>
    <col min="1030" max="1030" width="13.28515625" style="1" bestFit="1" customWidth="1"/>
    <col min="1031" max="1031" width="12.140625" style="1" bestFit="1" customWidth="1"/>
    <col min="1032" max="1032" width="14.5703125" style="1" customWidth="1"/>
    <col min="1033" max="1034" width="12.140625" style="1" bestFit="1" customWidth="1"/>
    <col min="1035" max="1035" width="11.85546875" style="1" bestFit="1" customWidth="1"/>
    <col min="1036" max="1036" width="12.140625" style="1" bestFit="1" customWidth="1"/>
    <col min="1037" max="1037" width="12" style="1" bestFit="1" customWidth="1"/>
    <col min="1038" max="1038" width="18.7109375" style="1" bestFit="1" customWidth="1"/>
    <col min="1039" max="1280" width="11.42578125" style="1"/>
    <col min="1281" max="1281" width="8.85546875" style="1" bestFit="1" customWidth="1"/>
    <col min="1282" max="1282" width="10.140625" style="1" bestFit="1" customWidth="1"/>
    <col min="1283" max="1283" width="12.140625" style="1" bestFit="1" customWidth="1"/>
    <col min="1284" max="1284" width="4.5703125" style="1" bestFit="1" customWidth="1"/>
    <col min="1285" max="1285" width="11.28515625" style="1" bestFit="1" customWidth="1"/>
    <col min="1286" max="1286" width="13.28515625" style="1" bestFit="1" customWidth="1"/>
    <col min="1287" max="1287" width="12.140625" style="1" bestFit="1" customWidth="1"/>
    <col min="1288" max="1288" width="14.5703125" style="1" customWidth="1"/>
    <col min="1289" max="1290" width="12.140625" style="1" bestFit="1" customWidth="1"/>
    <col min="1291" max="1291" width="11.85546875" style="1" bestFit="1" customWidth="1"/>
    <col min="1292" max="1292" width="12.140625" style="1" bestFit="1" customWidth="1"/>
    <col min="1293" max="1293" width="12" style="1" bestFit="1" customWidth="1"/>
    <col min="1294" max="1294" width="18.7109375" style="1" bestFit="1" customWidth="1"/>
    <col min="1295" max="1536" width="11.42578125" style="1"/>
    <col min="1537" max="1537" width="8.85546875" style="1" bestFit="1" customWidth="1"/>
    <col min="1538" max="1538" width="10.140625" style="1" bestFit="1" customWidth="1"/>
    <col min="1539" max="1539" width="12.140625" style="1" bestFit="1" customWidth="1"/>
    <col min="1540" max="1540" width="4.5703125" style="1" bestFit="1" customWidth="1"/>
    <col min="1541" max="1541" width="11.28515625" style="1" bestFit="1" customWidth="1"/>
    <col min="1542" max="1542" width="13.28515625" style="1" bestFit="1" customWidth="1"/>
    <col min="1543" max="1543" width="12.140625" style="1" bestFit="1" customWidth="1"/>
    <col min="1544" max="1544" width="14.5703125" style="1" customWidth="1"/>
    <col min="1545" max="1546" width="12.140625" style="1" bestFit="1" customWidth="1"/>
    <col min="1547" max="1547" width="11.85546875" style="1" bestFit="1" customWidth="1"/>
    <col min="1548" max="1548" width="12.140625" style="1" bestFit="1" customWidth="1"/>
    <col min="1549" max="1549" width="12" style="1" bestFit="1" customWidth="1"/>
    <col min="1550" max="1550" width="18.7109375" style="1" bestFit="1" customWidth="1"/>
    <col min="1551" max="1792" width="11.42578125" style="1"/>
    <col min="1793" max="1793" width="8.85546875" style="1" bestFit="1" customWidth="1"/>
    <col min="1794" max="1794" width="10.140625" style="1" bestFit="1" customWidth="1"/>
    <col min="1795" max="1795" width="12.140625" style="1" bestFit="1" customWidth="1"/>
    <col min="1796" max="1796" width="4.5703125" style="1" bestFit="1" customWidth="1"/>
    <col min="1797" max="1797" width="11.28515625" style="1" bestFit="1" customWidth="1"/>
    <col min="1798" max="1798" width="13.28515625" style="1" bestFit="1" customWidth="1"/>
    <col min="1799" max="1799" width="12.140625" style="1" bestFit="1" customWidth="1"/>
    <col min="1800" max="1800" width="14.5703125" style="1" customWidth="1"/>
    <col min="1801" max="1802" width="12.140625" style="1" bestFit="1" customWidth="1"/>
    <col min="1803" max="1803" width="11.85546875" style="1" bestFit="1" customWidth="1"/>
    <col min="1804" max="1804" width="12.140625" style="1" bestFit="1" customWidth="1"/>
    <col min="1805" max="1805" width="12" style="1" bestFit="1" customWidth="1"/>
    <col min="1806" max="1806" width="18.7109375" style="1" bestFit="1" customWidth="1"/>
    <col min="1807" max="2048" width="11.42578125" style="1"/>
    <col min="2049" max="2049" width="8.85546875" style="1" bestFit="1" customWidth="1"/>
    <col min="2050" max="2050" width="10.140625" style="1" bestFit="1" customWidth="1"/>
    <col min="2051" max="2051" width="12.140625" style="1" bestFit="1" customWidth="1"/>
    <col min="2052" max="2052" width="4.5703125" style="1" bestFit="1" customWidth="1"/>
    <col min="2053" max="2053" width="11.28515625" style="1" bestFit="1" customWidth="1"/>
    <col min="2054" max="2054" width="13.28515625" style="1" bestFit="1" customWidth="1"/>
    <col min="2055" max="2055" width="12.140625" style="1" bestFit="1" customWidth="1"/>
    <col min="2056" max="2056" width="14.5703125" style="1" customWidth="1"/>
    <col min="2057" max="2058" width="12.140625" style="1" bestFit="1" customWidth="1"/>
    <col min="2059" max="2059" width="11.85546875" style="1" bestFit="1" customWidth="1"/>
    <col min="2060" max="2060" width="12.140625" style="1" bestFit="1" customWidth="1"/>
    <col min="2061" max="2061" width="12" style="1" bestFit="1" customWidth="1"/>
    <col min="2062" max="2062" width="18.7109375" style="1" bestFit="1" customWidth="1"/>
    <col min="2063" max="2304" width="11.42578125" style="1"/>
    <col min="2305" max="2305" width="8.85546875" style="1" bestFit="1" customWidth="1"/>
    <col min="2306" max="2306" width="10.140625" style="1" bestFit="1" customWidth="1"/>
    <col min="2307" max="2307" width="12.140625" style="1" bestFit="1" customWidth="1"/>
    <col min="2308" max="2308" width="4.5703125" style="1" bestFit="1" customWidth="1"/>
    <col min="2309" max="2309" width="11.28515625" style="1" bestFit="1" customWidth="1"/>
    <col min="2310" max="2310" width="13.28515625" style="1" bestFit="1" customWidth="1"/>
    <col min="2311" max="2311" width="12.140625" style="1" bestFit="1" customWidth="1"/>
    <col min="2312" max="2312" width="14.5703125" style="1" customWidth="1"/>
    <col min="2313" max="2314" width="12.140625" style="1" bestFit="1" customWidth="1"/>
    <col min="2315" max="2315" width="11.85546875" style="1" bestFit="1" customWidth="1"/>
    <col min="2316" max="2316" width="12.140625" style="1" bestFit="1" customWidth="1"/>
    <col min="2317" max="2317" width="12" style="1" bestFit="1" customWidth="1"/>
    <col min="2318" max="2318" width="18.7109375" style="1" bestFit="1" customWidth="1"/>
    <col min="2319" max="2560" width="11.42578125" style="1"/>
    <col min="2561" max="2561" width="8.85546875" style="1" bestFit="1" customWidth="1"/>
    <col min="2562" max="2562" width="10.140625" style="1" bestFit="1" customWidth="1"/>
    <col min="2563" max="2563" width="12.140625" style="1" bestFit="1" customWidth="1"/>
    <col min="2564" max="2564" width="4.5703125" style="1" bestFit="1" customWidth="1"/>
    <col min="2565" max="2565" width="11.28515625" style="1" bestFit="1" customWidth="1"/>
    <col min="2566" max="2566" width="13.28515625" style="1" bestFit="1" customWidth="1"/>
    <col min="2567" max="2567" width="12.140625" style="1" bestFit="1" customWidth="1"/>
    <col min="2568" max="2568" width="14.5703125" style="1" customWidth="1"/>
    <col min="2569" max="2570" width="12.140625" style="1" bestFit="1" customWidth="1"/>
    <col min="2571" max="2571" width="11.85546875" style="1" bestFit="1" customWidth="1"/>
    <col min="2572" max="2572" width="12.140625" style="1" bestFit="1" customWidth="1"/>
    <col min="2573" max="2573" width="12" style="1" bestFit="1" customWidth="1"/>
    <col min="2574" max="2574" width="18.7109375" style="1" bestFit="1" customWidth="1"/>
    <col min="2575" max="2816" width="11.42578125" style="1"/>
    <col min="2817" max="2817" width="8.85546875" style="1" bestFit="1" customWidth="1"/>
    <col min="2818" max="2818" width="10.140625" style="1" bestFit="1" customWidth="1"/>
    <col min="2819" max="2819" width="12.140625" style="1" bestFit="1" customWidth="1"/>
    <col min="2820" max="2820" width="4.5703125" style="1" bestFit="1" customWidth="1"/>
    <col min="2821" max="2821" width="11.28515625" style="1" bestFit="1" customWidth="1"/>
    <col min="2822" max="2822" width="13.28515625" style="1" bestFit="1" customWidth="1"/>
    <col min="2823" max="2823" width="12.140625" style="1" bestFit="1" customWidth="1"/>
    <col min="2824" max="2824" width="14.5703125" style="1" customWidth="1"/>
    <col min="2825" max="2826" width="12.140625" style="1" bestFit="1" customWidth="1"/>
    <col min="2827" max="2827" width="11.85546875" style="1" bestFit="1" customWidth="1"/>
    <col min="2828" max="2828" width="12.140625" style="1" bestFit="1" customWidth="1"/>
    <col min="2829" max="2829" width="12" style="1" bestFit="1" customWidth="1"/>
    <col min="2830" max="2830" width="18.7109375" style="1" bestFit="1" customWidth="1"/>
    <col min="2831" max="3072" width="11.42578125" style="1"/>
    <col min="3073" max="3073" width="8.85546875" style="1" bestFit="1" customWidth="1"/>
    <col min="3074" max="3074" width="10.140625" style="1" bestFit="1" customWidth="1"/>
    <col min="3075" max="3075" width="12.140625" style="1" bestFit="1" customWidth="1"/>
    <col min="3076" max="3076" width="4.5703125" style="1" bestFit="1" customWidth="1"/>
    <col min="3077" max="3077" width="11.28515625" style="1" bestFit="1" customWidth="1"/>
    <col min="3078" max="3078" width="13.28515625" style="1" bestFit="1" customWidth="1"/>
    <col min="3079" max="3079" width="12.140625" style="1" bestFit="1" customWidth="1"/>
    <col min="3080" max="3080" width="14.5703125" style="1" customWidth="1"/>
    <col min="3081" max="3082" width="12.140625" style="1" bestFit="1" customWidth="1"/>
    <col min="3083" max="3083" width="11.85546875" style="1" bestFit="1" customWidth="1"/>
    <col min="3084" max="3084" width="12.140625" style="1" bestFit="1" customWidth="1"/>
    <col min="3085" max="3085" width="12" style="1" bestFit="1" customWidth="1"/>
    <col min="3086" max="3086" width="18.7109375" style="1" bestFit="1" customWidth="1"/>
    <col min="3087" max="3328" width="11.42578125" style="1"/>
    <col min="3329" max="3329" width="8.85546875" style="1" bestFit="1" customWidth="1"/>
    <col min="3330" max="3330" width="10.140625" style="1" bestFit="1" customWidth="1"/>
    <col min="3331" max="3331" width="12.140625" style="1" bestFit="1" customWidth="1"/>
    <col min="3332" max="3332" width="4.5703125" style="1" bestFit="1" customWidth="1"/>
    <col min="3333" max="3333" width="11.28515625" style="1" bestFit="1" customWidth="1"/>
    <col min="3334" max="3334" width="13.28515625" style="1" bestFit="1" customWidth="1"/>
    <col min="3335" max="3335" width="12.140625" style="1" bestFit="1" customWidth="1"/>
    <col min="3336" max="3336" width="14.5703125" style="1" customWidth="1"/>
    <col min="3337" max="3338" width="12.140625" style="1" bestFit="1" customWidth="1"/>
    <col min="3339" max="3339" width="11.85546875" style="1" bestFit="1" customWidth="1"/>
    <col min="3340" max="3340" width="12.140625" style="1" bestFit="1" customWidth="1"/>
    <col min="3341" max="3341" width="12" style="1" bestFit="1" customWidth="1"/>
    <col min="3342" max="3342" width="18.7109375" style="1" bestFit="1" customWidth="1"/>
    <col min="3343" max="3584" width="11.42578125" style="1"/>
    <col min="3585" max="3585" width="8.85546875" style="1" bestFit="1" customWidth="1"/>
    <col min="3586" max="3586" width="10.140625" style="1" bestFit="1" customWidth="1"/>
    <col min="3587" max="3587" width="12.140625" style="1" bestFit="1" customWidth="1"/>
    <col min="3588" max="3588" width="4.5703125" style="1" bestFit="1" customWidth="1"/>
    <col min="3589" max="3589" width="11.28515625" style="1" bestFit="1" customWidth="1"/>
    <col min="3590" max="3590" width="13.28515625" style="1" bestFit="1" customWidth="1"/>
    <col min="3591" max="3591" width="12.140625" style="1" bestFit="1" customWidth="1"/>
    <col min="3592" max="3592" width="14.5703125" style="1" customWidth="1"/>
    <col min="3593" max="3594" width="12.140625" style="1" bestFit="1" customWidth="1"/>
    <col min="3595" max="3595" width="11.85546875" style="1" bestFit="1" customWidth="1"/>
    <col min="3596" max="3596" width="12.140625" style="1" bestFit="1" customWidth="1"/>
    <col min="3597" max="3597" width="12" style="1" bestFit="1" customWidth="1"/>
    <col min="3598" max="3598" width="18.7109375" style="1" bestFit="1" customWidth="1"/>
    <col min="3599" max="3840" width="11.42578125" style="1"/>
    <col min="3841" max="3841" width="8.85546875" style="1" bestFit="1" customWidth="1"/>
    <col min="3842" max="3842" width="10.140625" style="1" bestFit="1" customWidth="1"/>
    <col min="3843" max="3843" width="12.140625" style="1" bestFit="1" customWidth="1"/>
    <col min="3844" max="3844" width="4.5703125" style="1" bestFit="1" customWidth="1"/>
    <col min="3845" max="3845" width="11.28515625" style="1" bestFit="1" customWidth="1"/>
    <col min="3846" max="3846" width="13.28515625" style="1" bestFit="1" customWidth="1"/>
    <col min="3847" max="3847" width="12.140625" style="1" bestFit="1" customWidth="1"/>
    <col min="3848" max="3848" width="14.5703125" style="1" customWidth="1"/>
    <col min="3849" max="3850" width="12.140625" style="1" bestFit="1" customWidth="1"/>
    <col min="3851" max="3851" width="11.85546875" style="1" bestFit="1" customWidth="1"/>
    <col min="3852" max="3852" width="12.140625" style="1" bestFit="1" customWidth="1"/>
    <col min="3853" max="3853" width="12" style="1" bestFit="1" customWidth="1"/>
    <col min="3854" max="3854" width="18.7109375" style="1" bestFit="1" customWidth="1"/>
    <col min="3855" max="4096" width="11.42578125" style="1"/>
    <col min="4097" max="4097" width="8.85546875" style="1" bestFit="1" customWidth="1"/>
    <col min="4098" max="4098" width="10.140625" style="1" bestFit="1" customWidth="1"/>
    <col min="4099" max="4099" width="12.140625" style="1" bestFit="1" customWidth="1"/>
    <col min="4100" max="4100" width="4.5703125" style="1" bestFit="1" customWidth="1"/>
    <col min="4101" max="4101" width="11.28515625" style="1" bestFit="1" customWidth="1"/>
    <col min="4102" max="4102" width="13.28515625" style="1" bestFit="1" customWidth="1"/>
    <col min="4103" max="4103" width="12.140625" style="1" bestFit="1" customWidth="1"/>
    <col min="4104" max="4104" width="14.5703125" style="1" customWidth="1"/>
    <col min="4105" max="4106" width="12.140625" style="1" bestFit="1" customWidth="1"/>
    <col min="4107" max="4107" width="11.85546875" style="1" bestFit="1" customWidth="1"/>
    <col min="4108" max="4108" width="12.140625" style="1" bestFit="1" customWidth="1"/>
    <col min="4109" max="4109" width="12" style="1" bestFit="1" customWidth="1"/>
    <col min="4110" max="4110" width="18.7109375" style="1" bestFit="1" customWidth="1"/>
    <col min="4111" max="4352" width="11.42578125" style="1"/>
    <col min="4353" max="4353" width="8.85546875" style="1" bestFit="1" customWidth="1"/>
    <col min="4354" max="4354" width="10.140625" style="1" bestFit="1" customWidth="1"/>
    <col min="4355" max="4355" width="12.140625" style="1" bestFit="1" customWidth="1"/>
    <col min="4356" max="4356" width="4.5703125" style="1" bestFit="1" customWidth="1"/>
    <col min="4357" max="4357" width="11.28515625" style="1" bestFit="1" customWidth="1"/>
    <col min="4358" max="4358" width="13.28515625" style="1" bestFit="1" customWidth="1"/>
    <col min="4359" max="4359" width="12.140625" style="1" bestFit="1" customWidth="1"/>
    <col min="4360" max="4360" width="14.5703125" style="1" customWidth="1"/>
    <col min="4361" max="4362" width="12.140625" style="1" bestFit="1" customWidth="1"/>
    <col min="4363" max="4363" width="11.85546875" style="1" bestFit="1" customWidth="1"/>
    <col min="4364" max="4364" width="12.140625" style="1" bestFit="1" customWidth="1"/>
    <col min="4365" max="4365" width="12" style="1" bestFit="1" customWidth="1"/>
    <col min="4366" max="4366" width="18.7109375" style="1" bestFit="1" customWidth="1"/>
    <col min="4367" max="4608" width="11.42578125" style="1"/>
    <col min="4609" max="4609" width="8.85546875" style="1" bestFit="1" customWidth="1"/>
    <col min="4610" max="4610" width="10.140625" style="1" bestFit="1" customWidth="1"/>
    <col min="4611" max="4611" width="12.140625" style="1" bestFit="1" customWidth="1"/>
    <col min="4612" max="4612" width="4.5703125" style="1" bestFit="1" customWidth="1"/>
    <col min="4613" max="4613" width="11.28515625" style="1" bestFit="1" customWidth="1"/>
    <col min="4614" max="4614" width="13.28515625" style="1" bestFit="1" customWidth="1"/>
    <col min="4615" max="4615" width="12.140625" style="1" bestFit="1" customWidth="1"/>
    <col min="4616" max="4616" width="14.5703125" style="1" customWidth="1"/>
    <col min="4617" max="4618" width="12.140625" style="1" bestFit="1" customWidth="1"/>
    <col min="4619" max="4619" width="11.85546875" style="1" bestFit="1" customWidth="1"/>
    <col min="4620" max="4620" width="12.140625" style="1" bestFit="1" customWidth="1"/>
    <col min="4621" max="4621" width="12" style="1" bestFit="1" customWidth="1"/>
    <col min="4622" max="4622" width="18.7109375" style="1" bestFit="1" customWidth="1"/>
    <col min="4623" max="4864" width="11.42578125" style="1"/>
    <col min="4865" max="4865" width="8.85546875" style="1" bestFit="1" customWidth="1"/>
    <col min="4866" max="4866" width="10.140625" style="1" bestFit="1" customWidth="1"/>
    <col min="4867" max="4867" width="12.140625" style="1" bestFit="1" customWidth="1"/>
    <col min="4868" max="4868" width="4.5703125" style="1" bestFit="1" customWidth="1"/>
    <col min="4869" max="4869" width="11.28515625" style="1" bestFit="1" customWidth="1"/>
    <col min="4870" max="4870" width="13.28515625" style="1" bestFit="1" customWidth="1"/>
    <col min="4871" max="4871" width="12.140625" style="1" bestFit="1" customWidth="1"/>
    <col min="4872" max="4872" width="14.5703125" style="1" customWidth="1"/>
    <col min="4873" max="4874" width="12.140625" style="1" bestFit="1" customWidth="1"/>
    <col min="4875" max="4875" width="11.85546875" style="1" bestFit="1" customWidth="1"/>
    <col min="4876" max="4876" width="12.140625" style="1" bestFit="1" customWidth="1"/>
    <col min="4877" max="4877" width="12" style="1" bestFit="1" customWidth="1"/>
    <col min="4878" max="4878" width="18.7109375" style="1" bestFit="1" customWidth="1"/>
    <col min="4879" max="5120" width="11.42578125" style="1"/>
    <col min="5121" max="5121" width="8.85546875" style="1" bestFit="1" customWidth="1"/>
    <col min="5122" max="5122" width="10.140625" style="1" bestFit="1" customWidth="1"/>
    <col min="5123" max="5123" width="12.140625" style="1" bestFit="1" customWidth="1"/>
    <col min="5124" max="5124" width="4.5703125" style="1" bestFit="1" customWidth="1"/>
    <col min="5125" max="5125" width="11.28515625" style="1" bestFit="1" customWidth="1"/>
    <col min="5126" max="5126" width="13.28515625" style="1" bestFit="1" customWidth="1"/>
    <col min="5127" max="5127" width="12.140625" style="1" bestFit="1" customWidth="1"/>
    <col min="5128" max="5128" width="14.5703125" style="1" customWidth="1"/>
    <col min="5129" max="5130" width="12.140625" style="1" bestFit="1" customWidth="1"/>
    <col min="5131" max="5131" width="11.85546875" style="1" bestFit="1" customWidth="1"/>
    <col min="5132" max="5132" width="12.140625" style="1" bestFit="1" customWidth="1"/>
    <col min="5133" max="5133" width="12" style="1" bestFit="1" customWidth="1"/>
    <col min="5134" max="5134" width="18.7109375" style="1" bestFit="1" customWidth="1"/>
    <col min="5135" max="5376" width="11.42578125" style="1"/>
    <col min="5377" max="5377" width="8.85546875" style="1" bestFit="1" customWidth="1"/>
    <col min="5378" max="5378" width="10.140625" style="1" bestFit="1" customWidth="1"/>
    <col min="5379" max="5379" width="12.140625" style="1" bestFit="1" customWidth="1"/>
    <col min="5380" max="5380" width="4.5703125" style="1" bestFit="1" customWidth="1"/>
    <col min="5381" max="5381" width="11.28515625" style="1" bestFit="1" customWidth="1"/>
    <col min="5382" max="5382" width="13.28515625" style="1" bestFit="1" customWidth="1"/>
    <col min="5383" max="5383" width="12.140625" style="1" bestFit="1" customWidth="1"/>
    <col min="5384" max="5384" width="14.5703125" style="1" customWidth="1"/>
    <col min="5385" max="5386" width="12.140625" style="1" bestFit="1" customWidth="1"/>
    <col min="5387" max="5387" width="11.85546875" style="1" bestFit="1" customWidth="1"/>
    <col min="5388" max="5388" width="12.140625" style="1" bestFit="1" customWidth="1"/>
    <col min="5389" max="5389" width="12" style="1" bestFit="1" customWidth="1"/>
    <col min="5390" max="5390" width="18.7109375" style="1" bestFit="1" customWidth="1"/>
    <col min="5391" max="5632" width="11.42578125" style="1"/>
    <col min="5633" max="5633" width="8.85546875" style="1" bestFit="1" customWidth="1"/>
    <col min="5634" max="5634" width="10.140625" style="1" bestFit="1" customWidth="1"/>
    <col min="5635" max="5635" width="12.140625" style="1" bestFit="1" customWidth="1"/>
    <col min="5636" max="5636" width="4.5703125" style="1" bestFit="1" customWidth="1"/>
    <col min="5637" max="5637" width="11.28515625" style="1" bestFit="1" customWidth="1"/>
    <col min="5638" max="5638" width="13.28515625" style="1" bestFit="1" customWidth="1"/>
    <col min="5639" max="5639" width="12.140625" style="1" bestFit="1" customWidth="1"/>
    <col min="5640" max="5640" width="14.5703125" style="1" customWidth="1"/>
    <col min="5641" max="5642" width="12.140625" style="1" bestFit="1" customWidth="1"/>
    <col min="5643" max="5643" width="11.85546875" style="1" bestFit="1" customWidth="1"/>
    <col min="5644" max="5644" width="12.140625" style="1" bestFit="1" customWidth="1"/>
    <col min="5645" max="5645" width="12" style="1" bestFit="1" customWidth="1"/>
    <col min="5646" max="5646" width="18.7109375" style="1" bestFit="1" customWidth="1"/>
    <col min="5647" max="5888" width="11.42578125" style="1"/>
    <col min="5889" max="5889" width="8.85546875" style="1" bestFit="1" customWidth="1"/>
    <col min="5890" max="5890" width="10.140625" style="1" bestFit="1" customWidth="1"/>
    <col min="5891" max="5891" width="12.140625" style="1" bestFit="1" customWidth="1"/>
    <col min="5892" max="5892" width="4.5703125" style="1" bestFit="1" customWidth="1"/>
    <col min="5893" max="5893" width="11.28515625" style="1" bestFit="1" customWidth="1"/>
    <col min="5894" max="5894" width="13.28515625" style="1" bestFit="1" customWidth="1"/>
    <col min="5895" max="5895" width="12.140625" style="1" bestFit="1" customWidth="1"/>
    <col min="5896" max="5896" width="14.5703125" style="1" customWidth="1"/>
    <col min="5897" max="5898" width="12.140625" style="1" bestFit="1" customWidth="1"/>
    <col min="5899" max="5899" width="11.85546875" style="1" bestFit="1" customWidth="1"/>
    <col min="5900" max="5900" width="12.140625" style="1" bestFit="1" customWidth="1"/>
    <col min="5901" max="5901" width="12" style="1" bestFit="1" customWidth="1"/>
    <col min="5902" max="5902" width="18.7109375" style="1" bestFit="1" customWidth="1"/>
    <col min="5903" max="6144" width="11.42578125" style="1"/>
    <col min="6145" max="6145" width="8.85546875" style="1" bestFit="1" customWidth="1"/>
    <col min="6146" max="6146" width="10.140625" style="1" bestFit="1" customWidth="1"/>
    <col min="6147" max="6147" width="12.140625" style="1" bestFit="1" customWidth="1"/>
    <col min="6148" max="6148" width="4.5703125" style="1" bestFit="1" customWidth="1"/>
    <col min="6149" max="6149" width="11.28515625" style="1" bestFit="1" customWidth="1"/>
    <col min="6150" max="6150" width="13.28515625" style="1" bestFit="1" customWidth="1"/>
    <col min="6151" max="6151" width="12.140625" style="1" bestFit="1" customWidth="1"/>
    <col min="6152" max="6152" width="14.5703125" style="1" customWidth="1"/>
    <col min="6153" max="6154" width="12.140625" style="1" bestFit="1" customWidth="1"/>
    <col min="6155" max="6155" width="11.85546875" style="1" bestFit="1" customWidth="1"/>
    <col min="6156" max="6156" width="12.140625" style="1" bestFit="1" customWidth="1"/>
    <col min="6157" max="6157" width="12" style="1" bestFit="1" customWidth="1"/>
    <col min="6158" max="6158" width="18.7109375" style="1" bestFit="1" customWidth="1"/>
    <col min="6159" max="6400" width="11.42578125" style="1"/>
    <col min="6401" max="6401" width="8.85546875" style="1" bestFit="1" customWidth="1"/>
    <col min="6402" max="6402" width="10.140625" style="1" bestFit="1" customWidth="1"/>
    <col min="6403" max="6403" width="12.140625" style="1" bestFit="1" customWidth="1"/>
    <col min="6404" max="6404" width="4.5703125" style="1" bestFit="1" customWidth="1"/>
    <col min="6405" max="6405" width="11.28515625" style="1" bestFit="1" customWidth="1"/>
    <col min="6406" max="6406" width="13.28515625" style="1" bestFit="1" customWidth="1"/>
    <col min="6407" max="6407" width="12.140625" style="1" bestFit="1" customWidth="1"/>
    <col min="6408" max="6408" width="14.5703125" style="1" customWidth="1"/>
    <col min="6409" max="6410" width="12.140625" style="1" bestFit="1" customWidth="1"/>
    <col min="6411" max="6411" width="11.85546875" style="1" bestFit="1" customWidth="1"/>
    <col min="6412" max="6412" width="12.140625" style="1" bestFit="1" customWidth="1"/>
    <col min="6413" max="6413" width="12" style="1" bestFit="1" customWidth="1"/>
    <col min="6414" max="6414" width="18.7109375" style="1" bestFit="1" customWidth="1"/>
    <col min="6415" max="6656" width="11.42578125" style="1"/>
    <col min="6657" max="6657" width="8.85546875" style="1" bestFit="1" customWidth="1"/>
    <col min="6658" max="6658" width="10.140625" style="1" bestFit="1" customWidth="1"/>
    <col min="6659" max="6659" width="12.140625" style="1" bestFit="1" customWidth="1"/>
    <col min="6660" max="6660" width="4.5703125" style="1" bestFit="1" customWidth="1"/>
    <col min="6661" max="6661" width="11.28515625" style="1" bestFit="1" customWidth="1"/>
    <col min="6662" max="6662" width="13.28515625" style="1" bestFit="1" customWidth="1"/>
    <col min="6663" max="6663" width="12.140625" style="1" bestFit="1" customWidth="1"/>
    <col min="6664" max="6664" width="14.5703125" style="1" customWidth="1"/>
    <col min="6665" max="6666" width="12.140625" style="1" bestFit="1" customWidth="1"/>
    <col min="6667" max="6667" width="11.85546875" style="1" bestFit="1" customWidth="1"/>
    <col min="6668" max="6668" width="12.140625" style="1" bestFit="1" customWidth="1"/>
    <col min="6669" max="6669" width="12" style="1" bestFit="1" customWidth="1"/>
    <col min="6670" max="6670" width="18.7109375" style="1" bestFit="1" customWidth="1"/>
    <col min="6671" max="6912" width="11.42578125" style="1"/>
    <col min="6913" max="6913" width="8.85546875" style="1" bestFit="1" customWidth="1"/>
    <col min="6914" max="6914" width="10.140625" style="1" bestFit="1" customWidth="1"/>
    <col min="6915" max="6915" width="12.140625" style="1" bestFit="1" customWidth="1"/>
    <col min="6916" max="6916" width="4.5703125" style="1" bestFit="1" customWidth="1"/>
    <col min="6917" max="6917" width="11.28515625" style="1" bestFit="1" customWidth="1"/>
    <col min="6918" max="6918" width="13.28515625" style="1" bestFit="1" customWidth="1"/>
    <col min="6919" max="6919" width="12.140625" style="1" bestFit="1" customWidth="1"/>
    <col min="6920" max="6920" width="14.5703125" style="1" customWidth="1"/>
    <col min="6921" max="6922" width="12.140625" style="1" bestFit="1" customWidth="1"/>
    <col min="6923" max="6923" width="11.85546875" style="1" bestFit="1" customWidth="1"/>
    <col min="6924" max="6924" width="12.140625" style="1" bestFit="1" customWidth="1"/>
    <col min="6925" max="6925" width="12" style="1" bestFit="1" customWidth="1"/>
    <col min="6926" max="6926" width="18.7109375" style="1" bestFit="1" customWidth="1"/>
    <col min="6927" max="7168" width="11.42578125" style="1"/>
    <col min="7169" max="7169" width="8.85546875" style="1" bestFit="1" customWidth="1"/>
    <col min="7170" max="7170" width="10.140625" style="1" bestFit="1" customWidth="1"/>
    <col min="7171" max="7171" width="12.140625" style="1" bestFit="1" customWidth="1"/>
    <col min="7172" max="7172" width="4.5703125" style="1" bestFit="1" customWidth="1"/>
    <col min="7173" max="7173" width="11.28515625" style="1" bestFit="1" customWidth="1"/>
    <col min="7174" max="7174" width="13.28515625" style="1" bestFit="1" customWidth="1"/>
    <col min="7175" max="7175" width="12.140625" style="1" bestFit="1" customWidth="1"/>
    <col min="7176" max="7176" width="14.5703125" style="1" customWidth="1"/>
    <col min="7177" max="7178" width="12.140625" style="1" bestFit="1" customWidth="1"/>
    <col min="7179" max="7179" width="11.85546875" style="1" bestFit="1" customWidth="1"/>
    <col min="7180" max="7180" width="12.140625" style="1" bestFit="1" customWidth="1"/>
    <col min="7181" max="7181" width="12" style="1" bestFit="1" customWidth="1"/>
    <col min="7182" max="7182" width="18.7109375" style="1" bestFit="1" customWidth="1"/>
    <col min="7183" max="7424" width="11.42578125" style="1"/>
    <col min="7425" max="7425" width="8.85546875" style="1" bestFit="1" customWidth="1"/>
    <col min="7426" max="7426" width="10.140625" style="1" bestFit="1" customWidth="1"/>
    <col min="7427" max="7427" width="12.140625" style="1" bestFit="1" customWidth="1"/>
    <col min="7428" max="7428" width="4.5703125" style="1" bestFit="1" customWidth="1"/>
    <col min="7429" max="7429" width="11.28515625" style="1" bestFit="1" customWidth="1"/>
    <col min="7430" max="7430" width="13.28515625" style="1" bestFit="1" customWidth="1"/>
    <col min="7431" max="7431" width="12.140625" style="1" bestFit="1" customWidth="1"/>
    <col min="7432" max="7432" width="14.5703125" style="1" customWidth="1"/>
    <col min="7433" max="7434" width="12.140625" style="1" bestFit="1" customWidth="1"/>
    <col min="7435" max="7435" width="11.85546875" style="1" bestFit="1" customWidth="1"/>
    <col min="7436" max="7436" width="12.140625" style="1" bestFit="1" customWidth="1"/>
    <col min="7437" max="7437" width="12" style="1" bestFit="1" customWidth="1"/>
    <col min="7438" max="7438" width="18.7109375" style="1" bestFit="1" customWidth="1"/>
    <col min="7439" max="7680" width="11.42578125" style="1"/>
    <col min="7681" max="7681" width="8.85546875" style="1" bestFit="1" customWidth="1"/>
    <col min="7682" max="7682" width="10.140625" style="1" bestFit="1" customWidth="1"/>
    <col min="7683" max="7683" width="12.140625" style="1" bestFit="1" customWidth="1"/>
    <col min="7684" max="7684" width="4.5703125" style="1" bestFit="1" customWidth="1"/>
    <col min="7685" max="7685" width="11.28515625" style="1" bestFit="1" customWidth="1"/>
    <col min="7686" max="7686" width="13.28515625" style="1" bestFit="1" customWidth="1"/>
    <col min="7687" max="7687" width="12.140625" style="1" bestFit="1" customWidth="1"/>
    <col min="7688" max="7688" width="14.5703125" style="1" customWidth="1"/>
    <col min="7689" max="7690" width="12.140625" style="1" bestFit="1" customWidth="1"/>
    <col min="7691" max="7691" width="11.85546875" style="1" bestFit="1" customWidth="1"/>
    <col min="7692" max="7692" width="12.140625" style="1" bestFit="1" customWidth="1"/>
    <col min="7693" max="7693" width="12" style="1" bestFit="1" customWidth="1"/>
    <col min="7694" max="7694" width="18.7109375" style="1" bestFit="1" customWidth="1"/>
    <col min="7695" max="7936" width="11.42578125" style="1"/>
    <col min="7937" max="7937" width="8.85546875" style="1" bestFit="1" customWidth="1"/>
    <col min="7938" max="7938" width="10.140625" style="1" bestFit="1" customWidth="1"/>
    <col min="7939" max="7939" width="12.140625" style="1" bestFit="1" customWidth="1"/>
    <col min="7940" max="7940" width="4.5703125" style="1" bestFit="1" customWidth="1"/>
    <col min="7941" max="7941" width="11.28515625" style="1" bestFit="1" customWidth="1"/>
    <col min="7942" max="7942" width="13.28515625" style="1" bestFit="1" customWidth="1"/>
    <col min="7943" max="7943" width="12.140625" style="1" bestFit="1" customWidth="1"/>
    <col min="7944" max="7944" width="14.5703125" style="1" customWidth="1"/>
    <col min="7945" max="7946" width="12.140625" style="1" bestFit="1" customWidth="1"/>
    <col min="7947" max="7947" width="11.85546875" style="1" bestFit="1" customWidth="1"/>
    <col min="7948" max="7948" width="12.140625" style="1" bestFit="1" customWidth="1"/>
    <col min="7949" max="7949" width="12" style="1" bestFit="1" customWidth="1"/>
    <col min="7950" max="7950" width="18.7109375" style="1" bestFit="1" customWidth="1"/>
    <col min="7951" max="8192" width="11.42578125" style="1"/>
    <col min="8193" max="8193" width="8.85546875" style="1" bestFit="1" customWidth="1"/>
    <col min="8194" max="8194" width="10.140625" style="1" bestFit="1" customWidth="1"/>
    <col min="8195" max="8195" width="12.140625" style="1" bestFit="1" customWidth="1"/>
    <col min="8196" max="8196" width="4.5703125" style="1" bestFit="1" customWidth="1"/>
    <col min="8197" max="8197" width="11.28515625" style="1" bestFit="1" customWidth="1"/>
    <col min="8198" max="8198" width="13.28515625" style="1" bestFit="1" customWidth="1"/>
    <col min="8199" max="8199" width="12.140625" style="1" bestFit="1" customWidth="1"/>
    <col min="8200" max="8200" width="14.5703125" style="1" customWidth="1"/>
    <col min="8201" max="8202" width="12.140625" style="1" bestFit="1" customWidth="1"/>
    <col min="8203" max="8203" width="11.85546875" style="1" bestFit="1" customWidth="1"/>
    <col min="8204" max="8204" width="12.140625" style="1" bestFit="1" customWidth="1"/>
    <col min="8205" max="8205" width="12" style="1" bestFit="1" customWidth="1"/>
    <col min="8206" max="8206" width="18.7109375" style="1" bestFit="1" customWidth="1"/>
    <col min="8207" max="8448" width="11.42578125" style="1"/>
    <col min="8449" max="8449" width="8.85546875" style="1" bestFit="1" customWidth="1"/>
    <col min="8450" max="8450" width="10.140625" style="1" bestFit="1" customWidth="1"/>
    <col min="8451" max="8451" width="12.140625" style="1" bestFit="1" customWidth="1"/>
    <col min="8452" max="8452" width="4.5703125" style="1" bestFit="1" customWidth="1"/>
    <col min="8453" max="8453" width="11.28515625" style="1" bestFit="1" customWidth="1"/>
    <col min="8454" max="8454" width="13.28515625" style="1" bestFit="1" customWidth="1"/>
    <col min="8455" max="8455" width="12.140625" style="1" bestFit="1" customWidth="1"/>
    <col min="8456" max="8456" width="14.5703125" style="1" customWidth="1"/>
    <col min="8457" max="8458" width="12.140625" style="1" bestFit="1" customWidth="1"/>
    <col min="8459" max="8459" width="11.85546875" style="1" bestFit="1" customWidth="1"/>
    <col min="8460" max="8460" width="12.140625" style="1" bestFit="1" customWidth="1"/>
    <col min="8461" max="8461" width="12" style="1" bestFit="1" customWidth="1"/>
    <col min="8462" max="8462" width="18.7109375" style="1" bestFit="1" customWidth="1"/>
    <col min="8463" max="8704" width="11.42578125" style="1"/>
    <col min="8705" max="8705" width="8.85546875" style="1" bestFit="1" customWidth="1"/>
    <col min="8706" max="8706" width="10.140625" style="1" bestFit="1" customWidth="1"/>
    <col min="8707" max="8707" width="12.140625" style="1" bestFit="1" customWidth="1"/>
    <col min="8708" max="8708" width="4.5703125" style="1" bestFit="1" customWidth="1"/>
    <col min="8709" max="8709" width="11.28515625" style="1" bestFit="1" customWidth="1"/>
    <col min="8710" max="8710" width="13.28515625" style="1" bestFit="1" customWidth="1"/>
    <col min="8711" max="8711" width="12.140625" style="1" bestFit="1" customWidth="1"/>
    <col min="8712" max="8712" width="14.5703125" style="1" customWidth="1"/>
    <col min="8713" max="8714" width="12.140625" style="1" bestFit="1" customWidth="1"/>
    <col min="8715" max="8715" width="11.85546875" style="1" bestFit="1" customWidth="1"/>
    <col min="8716" max="8716" width="12.140625" style="1" bestFit="1" customWidth="1"/>
    <col min="8717" max="8717" width="12" style="1" bestFit="1" customWidth="1"/>
    <col min="8718" max="8718" width="18.7109375" style="1" bestFit="1" customWidth="1"/>
    <col min="8719" max="8960" width="11.42578125" style="1"/>
    <col min="8961" max="8961" width="8.85546875" style="1" bestFit="1" customWidth="1"/>
    <col min="8962" max="8962" width="10.140625" style="1" bestFit="1" customWidth="1"/>
    <col min="8963" max="8963" width="12.140625" style="1" bestFit="1" customWidth="1"/>
    <col min="8964" max="8964" width="4.5703125" style="1" bestFit="1" customWidth="1"/>
    <col min="8965" max="8965" width="11.28515625" style="1" bestFit="1" customWidth="1"/>
    <col min="8966" max="8966" width="13.28515625" style="1" bestFit="1" customWidth="1"/>
    <col min="8967" max="8967" width="12.140625" style="1" bestFit="1" customWidth="1"/>
    <col min="8968" max="8968" width="14.5703125" style="1" customWidth="1"/>
    <col min="8969" max="8970" width="12.140625" style="1" bestFit="1" customWidth="1"/>
    <col min="8971" max="8971" width="11.85546875" style="1" bestFit="1" customWidth="1"/>
    <col min="8972" max="8972" width="12.140625" style="1" bestFit="1" customWidth="1"/>
    <col min="8973" max="8973" width="12" style="1" bestFit="1" customWidth="1"/>
    <col min="8974" max="8974" width="18.7109375" style="1" bestFit="1" customWidth="1"/>
    <col min="8975" max="9216" width="11.42578125" style="1"/>
    <col min="9217" max="9217" width="8.85546875" style="1" bestFit="1" customWidth="1"/>
    <col min="9218" max="9218" width="10.140625" style="1" bestFit="1" customWidth="1"/>
    <col min="9219" max="9219" width="12.140625" style="1" bestFit="1" customWidth="1"/>
    <col min="9220" max="9220" width="4.5703125" style="1" bestFit="1" customWidth="1"/>
    <col min="9221" max="9221" width="11.28515625" style="1" bestFit="1" customWidth="1"/>
    <col min="9222" max="9222" width="13.28515625" style="1" bestFit="1" customWidth="1"/>
    <col min="9223" max="9223" width="12.140625" style="1" bestFit="1" customWidth="1"/>
    <col min="9224" max="9224" width="14.5703125" style="1" customWidth="1"/>
    <col min="9225" max="9226" width="12.140625" style="1" bestFit="1" customWidth="1"/>
    <col min="9227" max="9227" width="11.85546875" style="1" bestFit="1" customWidth="1"/>
    <col min="9228" max="9228" width="12.140625" style="1" bestFit="1" customWidth="1"/>
    <col min="9229" max="9229" width="12" style="1" bestFit="1" customWidth="1"/>
    <col min="9230" max="9230" width="18.7109375" style="1" bestFit="1" customWidth="1"/>
    <col min="9231" max="9472" width="11.42578125" style="1"/>
    <col min="9473" max="9473" width="8.85546875" style="1" bestFit="1" customWidth="1"/>
    <col min="9474" max="9474" width="10.140625" style="1" bestFit="1" customWidth="1"/>
    <col min="9475" max="9475" width="12.140625" style="1" bestFit="1" customWidth="1"/>
    <col min="9476" max="9476" width="4.5703125" style="1" bestFit="1" customWidth="1"/>
    <col min="9477" max="9477" width="11.28515625" style="1" bestFit="1" customWidth="1"/>
    <col min="9478" max="9478" width="13.28515625" style="1" bestFit="1" customWidth="1"/>
    <col min="9479" max="9479" width="12.140625" style="1" bestFit="1" customWidth="1"/>
    <col min="9480" max="9480" width="14.5703125" style="1" customWidth="1"/>
    <col min="9481" max="9482" width="12.140625" style="1" bestFit="1" customWidth="1"/>
    <col min="9483" max="9483" width="11.85546875" style="1" bestFit="1" customWidth="1"/>
    <col min="9484" max="9484" width="12.140625" style="1" bestFit="1" customWidth="1"/>
    <col min="9485" max="9485" width="12" style="1" bestFit="1" customWidth="1"/>
    <col min="9486" max="9486" width="18.7109375" style="1" bestFit="1" customWidth="1"/>
    <col min="9487" max="9728" width="11.42578125" style="1"/>
    <col min="9729" max="9729" width="8.85546875" style="1" bestFit="1" customWidth="1"/>
    <col min="9730" max="9730" width="10.140625" style="1" bestFit="1" customWidth="1"/>
    <col min="9731" max="9731" width="12.140625" style="1" bestFit="1" customWidth="1"/>
    <col min="9732" max="9732" width="4.5703125" style="1" bestFit="1" customWidth="1"/>
    <col min="9733" max="9733" width="11.28515625" style="1" bestFit="1" customWidth="1"/>
    <col min="9734" max="9734" width="13.28515625" style="1" bestFit="1" customWidth="1"/>
    <col min="9735" max="9735" width="12.140625" style="1" bestFit="1" customWidth="1"/>
    <col min="9736" max="9736" width="14.5703125" style="1" customWidth="1"/>
    <col min="9737" max="9738" width="12.140625" style="1" bestFit="1" customWidth="1"/>
    <col min="9739" max="9739" width="11.85546875" style="1" bestFit="1" customWidth="1"/>
    <col min="9740" max="9740" width="12.140625" style="1" bestFit="1" customWidth="1"/>
    <col min="9741" max="9741" width="12" style="1" bestFit="1" customWidth="1"/>
    <col min="9742" max="9742" width="18.7109375" style="1" bestFit="1" customWidth="1"/>
    <col min="9743" max="9984" width="11.42578125" style="1"/>
    <col min="9985" max="9985" width="8.85546875" style="1" bestFit="1" customWidth="1"/>
    <col min="9986" max="9986" width="10.140625" style="1" bestFit="1" customWidth="1"/>
    <col min="9987" max="9987" width="12.140625" style="1" bestFit="1" customWidth="1"/>
    <col min="9988" max="9988" width="4.5703125" style="1" bestFit="1" customWidth="1"/>
    <col min="9989" max="9989" width="11.28515625" style="1" bestFit="1" customWidth="1"/>
    <col min="9990" max="9990" width="13.28515625" style="1" bestFit="1" customWidth="1"/>
    <col min="9991" max="9991" width="12.140625" style="1" bestFit="1" customWidth="1"/>
    <col min="9992" max="9992" width="14.5703125" style="1" customWidth="1"/>
    <col min="9993" max="9994" width="12.140625" style="1" bestFit="1" customWidth="1"/>
    <col min="9995" max="9995" width="11.85546875" style="1" bestFit="1" customWidth="1"/>
    <col min="9996" max="9996" width="12.140625" style="1" bestFit="1" customWidth="1"/>
    <col min="9997" max="9997" width="12" style="1" bestFit="1" customWidth="1"/>
    <col min="9998" max="9998" width="18.7109375" style="1" bestFit="1" customWidth="1"/>
    <col min="9999" max="10240" width="11.42578125" style="1"/>
    <col min="10241" max="10241" width="8.85546875" style="1" bestFit="1" customWidth="1"/>
    <col min="10242" max="10242" width="10.140625" style="1" bestFit="1" customWidth="1"/>
    <col min="10243" max="10243" width="12.140625" style="1" bestFit="1" customWidth="1"/>
    <col min="10244" max="10244" width="4.5703125" style="1" bestFit="1" customWidth="1"/>
    <col min="10245" max="10245" width="11.28515625" style="1" bestFit="1" customWidth="1"/>
    <col min="10246" max="10246" width="13.28515625" style="1" bestFit="1" customWidth="1"/>
    <col min="10247" max="10247" width="12.140625" style="1" bestFit="1" customWidth="1"/>
    <col min="10248" max="10248" width="14.5703125" style="1" customWidth="1"/>
    <col min="10249" max="10250" width="12.140625" style="1" bestFit="1" customWidth="1"/>
    <col min="10251" max="10251" width="11.85546875" style="1" bestFit="1" customWidth="1"/>
    <col min="10252" max="10252" width="12.140625" style="1" bestFit="1" customWidth="1"/>
    <col min="10253" max="10253" width="12" style="1" bestFit="1" customWidth="1"/>
    <col min="10254" max="10254" width="18.7109375" style="1" bestFit="1" customWidth="1"/>
    <col min="10255" max="10496" width="11.42578125" style="1"/>
    <col min="10497" max="10497" width="8.85546875" style="1" bestFit="1" customWidth="1"/>
    <col min="10498" max="10498" width="10.140625" style="1" bestFit="1" customWidth="1"/>
    <col min="10499" max="10499" width="12.140625" style="1" bestFit="1" customWidth="1"/>
    <col min="10500" max="10500" width="4.5703125" style="1" bestFit="1" customWidth="1"/>
    <col min="10501" max="10501" width="11.28515625" style="1" bestFit="1" customWidth="1"/>
    <col min="10502" max="10502" width="13.28515625" style="1" bestFit="1" customWidth="1"/>
    <col min="10503" max="10503" width="12.140625" style="1" bestFit="1" customWidth="1"/>
    <col min="10504" max="10504" width="14.5703125" style="1" customWidth="1"/>
    <col min="10505" max="10506" width="12.140625" style="1" bestFit="1" customWidth="1"/>
    <col min="10507" max="10507" width="11.85546875" style="1" bestFit="1" customWidth="1"/>
    <col min="10508" max="10508" width="12.140625" style="1" bestFit="1" customWidth="1"/>
    <col min="10509" max="10509" width="12" style="1" bestFit="1" customWidth="1"/>
    <col min="10510" max="10510" width="18.7109375" style="1" bestFit="1" customWidth="1"/>
    <col min="10511" max="10752" width="11.42578125" style="1"/>
    <col min="10753" max="10753" width="8.85546875" style="1" bestFit="1" customWidth="1"/>
    <col min="10754" max="10754" width="10.140625" style="1" bestFit="1" customWidth="1"/>
    <col min="10755" max="10755" width="12.140625" style="1" bestFit="1" customWidth="1"/>
    <col min="10756" max="10756" width="4.5703125" style="1" bestFit="1" customWidth="1"/>
    <col min="10757" max="10757" width="11.28515625" style="1" bestFit="1" customWidth="1"/>
    <col min="10758" max="10758" width="13.28515625" style="1" bestFit="1" customWidth="1"/>
    <col min="10759" max="10759" width="12.140625" style="1" bestFit="1" customWidth="1"/>
    <col min="10760" max="10760" width="14.5703125" style="1" customWidth="1"/>
    <col min="10761" max="10762" width="12.140625" style="1" bestFit="1" customWidth="1"/>
    <col min="10763" max="10763" width="11.85546875" style="1" bestFit="1" customWidth="1"/>
    <col min="10764" max="10764" width="12.140625" style="1" bestFit="1" customWidth="1"/>
    <col min="10765" max="10765" width="12" style="1" bestFit="1" customWidth="1"/>
    <col min="10766" max="10766" width="18.7109375" style="1" bestFit="1" customWidth="1"/>
    <col min="10767" max="11008" width="11.42578125" style="1"/>
    <col min="11009" max="11009" width="8.85546875" style="1" bestFit="1" customWidth="1"/>
    <col min="11010" max="11010" width="10.140625" style="1" bestFit="1" customWidth="1"/>
    <col min="11011" max="11011" width="12.140625" style="1" bestFit="1" customWidth="1"/>
    <col min="11012" max="11012" width="4.5703125" style="1" bestFit="1" customWidth="1"/>
    <col min="11013" max="11013" width="11.28515625" style="1" bestFit="1" customWidth="1"/>
    <col min="11014" max="11014" width="13.28515625" style="1" bestFit="1" customWidth="1"/>
    <col min="11015" max="11015" width="12.140625" style="1" bestFit="1" customWidth="1"/>
    <col min="11016" max="11016" width="14.5703125" style="1" customWidth="1"/>
    <col min="11017" max="11018" width="12.140625" style="1" bestFit="1" customWidth="1"/>
    <col min="11019" max="11019" width="11.85546875" style="1" bestFit="1" customWidth="1"/>
    <col min="11020" max="11020" width="12.140625" style="1" bestFit="1" customWidth="1"/>
    <col min="11021" max="11021" width="12" style="1" bestFit="1" customWidth="1"/>
    <col min="11022" max="11022" width="18.7109375" style="1" bestFit="1" customWidth="1"/>
    <col min="11023" max="11264" width="11.42578125" style="1"/>
    <col min="11265" max="11265" width="8.85546875" style="1" bestFit="1" customWidth="1"/>
    <col min="11266" max="11266" width="10.140625" style="1" bestFit="1" customWidth="1"/>
    <col min="11267" max="11267" width="12.140625" style="1" bestFit="1" customWidth="1"/>
    <col min="11268" max="11268" width="4.5703125" style="1" bestFit="1" customWidth="1"/>
    <col min="11269" max="11269" width="11.28515625" style="1" bestFit="1" customWidth="1"/>
    <col min="11270" max="11270" width="13.28515625" style="1" bestFit="1" customWidth="1"/>
    <col min="11271" max="11271" width="12.140625" style="1" bestFit="1" customWidth="1"/>
    <col min="11272" max="11272" width="14.5703125" style="1" customWidth="1"/>
    <col min="11273" max="11274" width="12.140625" style="1" bestFit="1" customWidth="1"/>
    <col min="11275" max="11275" width="11.85546875" style="1" bestFit="1" customWidth="1"/>
    <col min="11276" max="11276" width="12.140625" style="1" bestFit="1" customWidth="1"/>
    <col min="11277" max="11277" width="12" style="1" bestFit="1" customWidth="1"/>
    <col min="11278" max="11278" width="18.7109375" style="1" bestFit="1" customWidth="1"/>
    <col min="11279" max="11520" width="11.42578125" style="1"/>
    <col min="11521" max="11521" width="8.85546875" style="1" bestFit="1" customWidth="1"/>
    <col min="11522" max="11522" width="10.140625" style="1" bestFit="1" customWidth="1"/>
    <col min="11523" max="11523" width="12.140625" style="1" bestFit="1" customWidth="1"/>
    <col min="11524" max="11524" width="4.5703125" style="1" bestFit="1" customWidth="1"/>
    <col min="11525" max="11525" width="11.28515625" style="1" bestFit="1" customWidth="1"/>
    <col min="11526" max="11526" width="13.28515625" style="1" bestFit="1" customWidth="1"/>
    <col min="11527" max="11527" width="12.140625" style="1" bestFit="1" customWidth="1"/>
    <col min="11528" max="11528" width="14.5703125" style="1" customWidth="1"/>
    <col min="11529" max="11530" width="12.140625" style="1" bestFit="1" customWidth="1"/>
    <col min="11531" max="11531" width="11.85546875" style="1" bestFit="1" customWidth="1"/>
    <col min="11532" max="11532" width="12.140625" style="1" bestFit="1" customWidth="1"/>
    <col min="11533" max="11533" width="12" style="1" bestFit="1" customWidth="1"/>
    <col min="11534" max="11534" width="18.7109375" style="1" bestFit="1" customWidth="1"/>
    <col min="11535" max="11776" width="11.42578125" style="1"/>
    <col min="11777" max="11777" width="8.85546875" style="1" bestFit="1" customWidth="1"/>
    <col min="11778" max="11778" width="10.140625" style="1" bestFit="1" customWidth="1"/>
    <col min="11779" max="11779" width="12.140625" style="1" bestFit="1" customWidth="1"/>
    <col min="11780" max="11780" width="4.5703125" style="1" bestFit="1" customWidth="1"/>
    <col min="11781" max="11781" width="11.28515625" style="1" bestFit="1" customWidth="1"/>
    <col min="11782" max="11782" width="13.28515625" style="1" bestFit="1" customWidth="1"/>
    <col min="11783" max="11783" width="12.140625" style="1" bestFit="1" customWidth="1"/>
    <col min="11784" max="11784" width="14.5703125" style="1" customWidth="1"/>
    <col min="11785" max="11786" width="12.140625" style="1" bestFit="1" customWidth="1"/>
    <col min="11787" max="11787" width="11.85546875" style="1" bestFit="1" customWidth="1"/>
    <col min="11788" max="11788" width="12.140625" style="1" bestFit="1" customWidth="1"/>
    <col min="11789" max="11789" width="12" style="1" bestFit="1" customWidth="1"/>
    <col min="11790" max="11790" width="18.7109375" style="1" bestFit="1" customWidth="1"/>
    <col min="11791" max="12032" width="11.42578125" style="1"/>
    <col min="12033" max="12033" width="8.85546875" style="1" bestFit="1" customWidth="1"/>
    <col min="12034" max="12034" width="10.140625" style="1" bestFit="1" customWidth="1"/>
    <col min="12035" max="12035" width="12.140625" style="1" bestFit="1" customWidth="1"/>
    <col min="12036" max="12036" width="4.5703125" style="1" bestFit="1" customWidth="1"/>
    <col min="12037" max="12037" width="11.28515625" style="1" bestFit="1" customWidth="1"/>
    <col min="12038" max="12038" width="13.28515625" style="1" bestFit="1" customWidth="1"/>
    <col min="12039" max="12039" width="12.140625" style="1" bestFit="1" customWidth="1"/>
    <col min="12040" max="12040" width="14.5703125" style="1" customWidth="1"/>
    <col min="12041" max="12042" width="12.140625" style="1" bestFit="1" customWidth="1"/>
    <col min="12043" max="12043" width="11.85546875" style="1" bestFit="1" customWidth="1"/>
    <col min="12044" max="12044" width="12.140625" style="1" bestFit="1" customWidth="1"/>
    <col min="12045" max="12045" width="12" style="1" bestFit="1" customWidth="1"/>
    <col min="12046" max="12046" width="18.7109375" style="1" bestFit="1" customWidth="1"/>
    <col min="12047" max="12288" width="11.42578125" style="1"/>
    <col min="12289" max="12289" width="8.85546875" style="1" bestFit="1" customWidth="1"/>
    <col min="12290" max="12290" width="10.140625" style="1" bestFit="1" customWidth="1"/>
    <col min="12291" max="12291" width="12.140625" style="1" bestFit="1" customWidth="1"/>
    <col min="12292" max="12292" width="4.5703125" style="1" bestFit="1" customWidth="1"/>
    <col min="12293" max="12293" width="11.28515625" style="1" bestFit="1" customWidth="1"/>
    <col min="12294" max="12294" width="13.28515625" style="1" bestFit="1" customWidth="1"/>
    <col min="12295" max="12295" width="12.140625" style="1" bestFit="1" customWidth="1"/>
    <col min="12296" max="12296" width="14.5703125" style="1" customWidth="1"/>
    <col min="12297" max="12298" width="12.140625" style="1" bestFit="1" customWidth="1"/>
    <col min="12299" max="12299" width="11.85546875" style="1" bestFit="1" customWidth="1"/>
    <col min="12300" max="12300" width="12.140625" style="1" bestFit="1" customWidth="1"/>
    <col min="12301" max="12301" width="12" style="1" bestFit="1" customWidth="1"/>
    <col min="12302" max="12302" width="18.7109375" style="1" bestFit="1" customWidth="1"/>
    <col min="12303" max="12544" width="11.42578125" style="1"/>
    <col min="12545" max="12545" width="8.85546875" style="1" bestFit="1" customWidth="1"/>
    <col min="12546" max="12546" width="10.140625" style="1" bestFit="1" customWidth="1"/>
    <col min="12547" max="12547" width="12.140625" style="1" bestFit="1" customWidth="1"/>
    <col min="12548" max="12548" width="4.5703125" style="1" bestFit="1" customWidth="1"/>
    <col min="12549" max="12549" width="11.28515625" style="1" bestFit="1" customWidth="1"/>
    <col min="12550" max="12550" width="13.28515625" style="1" bestFit="1" customWidth="1"/>
    <col min="12551" max="12551" width="12.140625" style="1" bestFit="1" customWidth="1"/>
    <col min="12552" max="12552" width="14.5703125" style="1" customWidth="1"/>
    <col min="12553" max="12554" width="12.140625" style="1" bestFit="1" customWidth="1"/>
    <col min="12555" max="12555" width="11.85546875" style="1" bestFit="1" customWidth="1"/>
    <col min="12556" max="12556" width="12.140625" style="1" bestFit="1" customWidth="1"/>
    <col min="12557" max="12557" width="12" style="1" bestFit="1" customWidth="1"/>
    <col min="12558" max="12558" width="18.7109375" style="1" bestFit="1" customWidth="1"/>
    <col min="12559" max="12800" width="11.42578125" style="1"/>
    <col min="12801" max="12801" width="8.85546875" style="1" bestFit="1" customWidth="1"/>
    <col min="12802" max="12802" width="10.140625" style="1" bestFit="1" customWidth="1"/>
    <col min="12803" max="12803" width="12.140625" style="1" bestFit="1" customWidth="1"/>
    <col min="12804" max="12804" width="4.5703125" style="1" bestFit="1" customWidth="1"/>
    <col min="12805" max="12805" width="11.28515625" style="1" bestFit="1" customWidth="1"/>
    <col min="12806" max="12806" width="13.28515625" style="1" bestFit="1" customWidth="1"/>
    <col min="12807" max="12807" width="12.140625" style="1" bestFit="1" customWidth="1"/>
    <col min="12808" max="12808" width="14.5703125" style="1" customWidth="1"/>
    <col min="12809" max="12810" width="12.140625" style="1" bestFit="1" customWidth="1"/>
    <col min="12811" max="12811" width="11.85546875" style="1" bestFit="1" customWidth="1"/>
    <col min="12812" max="12812" width="12.140625" style="1" bestFit="1" customWidth="1"/>
    <col min="12813" max="12813" width="12" style="1" bestFit="1" customWidth="1"/>
    <col min="12814" max="12814" width="18.7109375" style="1" bestFit="1" customWidth="1"/>
    <col min="12815" max="13056" width="11.42578125" style="1"/>
    <col min="13057" max="13057" width="8.85546875" style="1" bestFit="1" customWidth="1"/>
    <col min="13058" max="13058" width="10.140625" style="1" bestFit="1" customWidth="1"/>
    <col min="13059" max="13059" width="12.140625" style="1" bestFit="1" customWidth="1"/>
    <col min="13060" max="13060" width="4.5703125" style="1" bestFit="1" customWidth="1"/>
    <col min="13061" max="13061" width="11.28515625" style="1" bestFit="1" customWidth="1"/>
    <col min="13062" max="13062" width="13.28515625" style="1" bestFit="1" customWidth="1"/>
    <col min="13063" max="13063" width="12.140625" style="1" bestFit="1" customWidth="1"/>
    <col min="13064" max="13064" width="14.5703125" style="1" customWidth="1"/>
    <col min="13065" max="13066" width="12.140625" style="1" bestFit="1" customWidth="1"/>
    <col min="13067" max="13067" width="11.85546875" style="1" bestFit="1" customWidth="1"/>
    <col min="13068" max="13068" width="12.140625" style="1" bestFit="1" customWidth="1"/>
    <col min="13069" max="13069" width="12" style="1" bestFit="1" customWidth="1"/>
    <col min="13070" max="13070" width="18.7109375" style="1" bestFit="1" customWidth="1"/>
    <col min="13071" max="13312" width="11.42578125" style="1"/>
    <col min="13313" max="13313" width="8.85546875" style="1" bestFit="1" customWidth="1"/>
    <col min="13314" max="13314" width="10.140625" style="1" bestFit="1" customWidth="1"/>
    <col min="13315" max="13315" width="12.140625" style="1" bestFit="1" customWidth="1"/>
    <col min="13316" max="13316" width="4.5703125" style="1" bestFit="1" customWidth="1"/>
    <col min="13317" max="13317" width="11.28515625" style="1" bestFit="1" customWidth="1"/>
    <col min="13318" max="13318" width="13.28515625" style="1" bestFit="1" customWidth="1"/>
    <col min="13319" max="13319" width="12.140625" style="1" bestFit="1" customWidth="1"/>
    <col min="13320" max="13320" width="14.5703125" style="1" customWidth="1"/>
    <col min="13321" max="13322" width="12.140625" style="1" bestFit="1" customWidth="1"/>
    <col min="13323" max="13323" width="11.85546875" style="1" bestFit="1" customWidth="1"/>
    <col min="13324" max="13324" width="12.140625" style="1" bestFit="1" customWidth="1"/>
    <col min="13325" max="13325" width="12" style="1" bestFit="1" customWidth="1"/>
    <col min="13326" max="13326" width="18.7109375" style="1" bestFit="1" customWidth="1"/>
    <col min="13327" max="13568" width="11.42578125" style="1"/>
    <col min="13569" max="13569" width="8.85546875" style="1" bestFit="1" customWidth="1"/>
    <col min="13570" max="13570" width="10.140625" style="1" bestFit="1" customWidth="1"/>
    <col min="13571" max="13571" width="12.140625" style="1" bestFit="1" customWidth="1"/>
    <col min="13572" max="13572" width="4.5703125" style="1" bestFit="1" customWidth="1"/>
    <col min="13573" max="13573" width="11.28515625" style="1" bestFit="1" customWidth="1"/>
    <col min="13574" max="13574" width="13.28515625" style="1" bestFit="1" customWidth="1"/>
    <col min="13575" max="13575" width="12.140625" style="1" bestFit="1" customWidth="1"/>
    <col min="13576" max="13576" width="14.5703125" style="1" customWidth="1"/>
    <col min="13577" max="13578" width="12.140625" style="1" bestFit="1" customWidth="1"/>
    <col min="13579" max="13579" width="11.85546875" style="1" bestFit="1" customWidth="1"/>
    <col min="13580" max="13580" width="12.140625" style="1" bestFit="1" customWidth="1"/>
    <col min="13581" max="13581" width="12" style="1" bestFit="1" customWidth="1"/>
    <col min="13582" max="13582" width="18.7109375" style="1" bestFit="1" customWidth="1"/>
    <col min="13583" max="13824" width="11.42578125" style="1"/>
    <col min="13825" max="13825" width="8.85546875" style="1" bestFit="1" customWidth="1"/>
    <col min="13826" max="13826" width="10.140625" style="1" bestFit="1" customWidth="1"/>
    <col min="13827" max="13827" width="12.140625" style="1" bestFit="1" customWidth="1"/>
    <col min="13828" max="13828" width="4.5703125" style="1" bestFit="1" customWidth="1"/>
    <col min="13829" max="13829" width="11.28515625" style="1" bestFit="1" customWidth="1"/>
    <col min="13830" max="13830" width="13.28515625" style="1" bestFit="1" customWidth="1"/>
    <col min="13831" max="13831" width="12.140625" style="1" bestFit="1" customWidth="1"/>
    <col min="13832" max="13832" width="14.5703125" style="1" customWidth="1"/>
    <col min="13833" max="13834" width="12.140625" style="1" bestFit="1" customWidth="1"/>
    <col min="13835" max="13835" width="11.85546875" style="1" bestFit="1" customWidth="1"/>
    <col min="13836" max="13836" width="12.140625" style="1" bestFit="1" customWidth="1"/>
    <col min="13837" max="13837" width="12" style="1" bestFit="1" customWidth="1"/>
    <col min="13838" max="13838" width="18.7109375" style="1" bestFit="1" customWidth="1"/>
    <col min="13839" max="14080" width="11.42578125" style="1"/>
    <col min="14081" max="14081" width="8.85546875" style="1" bestFit="1" customWidth="1"/>
    <col min="14082" max="14082" width="10.140625" style="1" bestFit="1" customWidth="1"/>
    <col min="14083" max="14083" width="12.140625" style="1" bestFit="1" customWidth="1"/>
    <col min="14084" max="14084" width="4.5703125" style="1" bestFit="1" customWidth="1"/>
    <col min="14085" max="14085" width="11.28515625" style="1" bestFit="1" customWidth="1"/>
    <col min="14086" max="14086" width="13.28515625" style="1" bestFit="1" customWidth="1"/>
    <col min="14087" max="14087" width="12.140625" style="1" bestFit="1" customWidth="1"/>
    <col min="14088" max="14088" width="14.5703125" style="1" customWidth="1"/>
    <col min="14089" max="14090" width="12.140625" style="1" bestFit="1" customWidth="1"/>
    <col min="14091" max="14091" width="11.85546875" style="1" bestFit="1" customWidth="1"/>
    <col min="14092" max="14092" width="12.140625" style="1" bestFit="1" customWidth="1"/>
    <col min="14093" max="14093" width="12" style="1" bestFit="1" customWidth="1"/>
    <col min="14094" max="14094" width="18.7109375" style="1" bestFit="1" customWidth="1"/>
    <col min="14095" max="14336" width="11.42578125" style="1"/>
    <col min="14337" max="14337" width="8.85546875" style="1" bestFit="1" customWidth="1"/>
    <col min="14338" max="14338" width="10.140625" style="1" bestFit="1" customWidth="1"/>
    <col min="14339" max="14339" width="12.140625" style="1" bestFit="1" customWidth="1"/>
    <col min="14340" max="14340" width="4.5703125" style="1" bestFit="1" customWidth="1"/>
    <col min="14341" max="14341" width="11.28515625" style="1" bestFit="1" customWidth="1"/>
    <col min="14342" max="14342" width="13.28515625" style="1" bestFit="1" customWidth="1"/>
    <col min="14343" max="14343" width="12.140625" style="1" bestFit="1" customWidth="1"/>
    <col min="14344" max="14344" width="14.5703125" style="1" customWidth="1"/>
    <col min="14345" max="14346" width="12.140625" style="1" bestFit="1" customWidth="1"/>
    <col min="14347" max="14347" width="11.85546875" style="1" bestFit="1" customWidth="1"/>
    <col min="14348" max="14348" width="12.140625" style="1" bestFit="1" customWidth="1"/>
    <col min="14349" max="14349" width="12" style="1" bestFit="1" customWidth="1"/>
    <col min="14350" max="14350" width="18.7109375" style="1" bestFit="1" customWidth="1"/>
    <col min="14351" max="14592" width="11.42578125" style="1"/>
    <col min="14593" max="14593" width="8.85546875" style="1" bestFit="1" customWidth="1"/>
    <col min="14594" max="14594" width="10.140625" style="1" bestFit="1" customWidth="1"/>
    <col min="14595" max="14595" width="12.140625" style="1" bestFit="1" customWidth="1"/>
    <col min="14596" max="14596" width="4.5703125" style="1" bestFit="1" customWidth="1"/>
    <col min="14597" max="14597" width="11.28515625" style="1" bestFit="1" customWidth="1"/>
    <col min="14598" max="14598" width="13.28515625" style="1" bestFit="1" customWidth="1"/>
    <col min="14599" max="14599" width="12.140625" style="1" bestFit="1" customWidth="1"/>
    <col min="14600" max="14600" width="14.5703125" style="1" customWidth="1"/>
    <col min="14601" max="14602" width="12.140625" style="1" bestFit="1" customWidth="1"/>
    <col min="14603" max="14603" width="11.85546875" style="1" bestFit="1" customWidth="1"/>
    <col min="14604" max="14604" width="12.140625" style="1" bestFit="1" customWidth="1"/>
    <col min="14605" max="14605" width="12" style="1" bestFit="1" customWidth="1"/>
    <col min="14606" max="14606" width="18.7109375" style="1" bestFit="1" customWidth="1"/>
    <col min="14607" max="14848" width="11.42578125" style="1"/>
    <col min="14849" max="14849" width="8.85546875" style="1" bestFit="1" customWidth="1"/>
    <col min="14850" max="14850" width="10.140625" style="1" bestFit="1" customWidth="1"/>
    <col min="14851" max="14851" width="12.140625" style="1" bestFit="1" customWidth="1"/>
    <col min="14852" max="14852" width="4.5703125" style="1" bestFit="1" customWidth="1"/>
    <col min="14853" max="14853" width="11.28515625" style="1" bestFit="1" customWidth="1"/>
    <col min="14854" max="14854" width="13.28515625" style="1" bestFit="1" customWidth="1"/>
    <col min="14855" max="14855" width="12.140625" style="1" bestFit="1" customWidth="1"/>
    <col min="14856" max="14856" width="14.5703125" style="1" customWidth="1"/>
    <col min="14857" max="14858" width="12.140625" style="1" bestFit="1" customWidth="1"/>
    <col min="14859" max="14859" width="11.85546875" style="1" bestFit="1" customWidth="1"/>
    <col min="14860" max="14860" width="12.140625" style="1" bestFit="1" customWidth="1"/>
    <col min="14861" max="14861" width="12" style="1" bestFit="1" customWidth="1"/>
    <col min="14862" max="14862" width="18.7109375" style="1" bestFit="1" customWidth="1"/>
    <col min="14863" max="15104" width="11.42578125" style="1"/>
    <col min="15105" max="15105" width="8.85546875" style="1" bestFit="1" customWidth="1"/>
    <col min="15106" max="15106" width="10.140625" style="1" bestFit="1" customWidth="1"/>
    <col min="15107" max="15107" width="12.140625" style="1" bestFit="1" customWidth="1"/>
    <col min="15108" max="15108" width="4.5703125" style="1" bestFit="1" customWidth="1"/>
    <col min="15109" max="15109" width="11.28515625" style="1" bestFit="1" customWidth="1"/>
    <col min="15110" max="15110" width="13.28515625" style="1" bestFit="1" customWidth="1"/>
    <col min="15111" max="15111" width="12.140625" style="1" bestFit="1" customWidth="1"/>
    <col min="15112" max="15112" width="14.5703125" style="1" customWidth="1"/>
    <col min="15113" max="15114" width="12.140625" style="1" bestFit="1" customWidth="1"/>
    <col min="15115" max="15115" width="11.85546875" style="1" bestFit="1" customWidth="1"/>
    <col min="15116" max="15116" width="12.140625" style="1" bestFit="1" customWidth="1"/>
    <col min="15117" max="15117" width="12" style="1" bestFit="1" customWidth="1"/>
    <col min="15118" max="15118" width="18.7109375" style="1" bestFit="1" customWidth="1"/>
    <col min="15119" max="15360" width="11.42578125" style="1"/>
    <col min="15361" max="15361" width="8.85546875" style="1" bestFit="1" customWidth="1"/>
    <col min="15362" max="15362" width="10.140625" style="1" bestFit="1" customWidth="1"/>
    <col min="15363" max="15363" width="12.140625" style="1" bestFit="1" customWidth="1"/>
    <col min="15364" max="15364" width="4.5703125" style="1" bestFit="1" customWidth="1"/>
    <col min="15365" max="15365" width="11.28515625" style="1" bestFit="1" customWidth="1"/>
    <col min="15366" max="15366" width="13.28515625" style="1" bestFit="1" customWidth="1"/>
    <col min="15367" max="15367" width="12.140625" style="1" bestFit="1" customWidth="1"/>
    <col min="15368" max="15368" width="14.5703125" style="1" customWidth="1"/>
    <col min="15369" max="15370" width="12.140625" style="1" bestFit="1" customWidth="1"/>
    <col min="15371" max="15371" width="11.85546875" style="1" bestFit="1" customWidth="1"/>
    <col min="15372" max="15372" width="12.140625" style="1" bestFit="1" customWidth="1"/>
    <col min="15373" max="15373" width="12" style="1" bestFit="1" customWidth="1"/>
    <col min="15374" max="15374" width="18.7109375" style="1" bestFit="1" customWidth="1"/>
    <col min="15375" max="15616" width="11.42578125" style="1"/>
    <col min="15617" max="15617" width="8.85546875" style="1" bestFit="1" customWidth="1"/>
    <col min="15618" max="15618" width="10.140625" style="1" bestFit="1" customWidth="1"/>
    <col min="15619" max="15619" width="12.140625" style="1" bestFit="1" customWidth="1"/>
    <col min="15620" max="15620" width="4.5703125" style="1" bestFit="1" customWidth="1"/>
    <col min="15621" max="15621" width="11.28515625" style="1" bestFit="1" customWidth="1"/>
    <col min="15622" max="15622" width="13.28515625" style="1" bestFit="1" customWidth="1"/>
    <col min="15623" max="15623" width="12.140625" style="1" bestFit="1" customWidth="1"/>
    <col min="15624" max="15624" width="14.5703125" style="1" customWidth="1"/>
    <col min="15625" max="15626" width="12.140625" style="1" bestFit="1" customWidth="1"/>
    <col min="15627" max="15627" width="11.85546875" style="1" bestFit="1" customWidth="1"/>
    <col min="15628" max="15628" width="12.140625" style="1" bestFit="1" customWidth="1"/>
    <col min="15629" max="15629" width="12" style="1" bestFit="1" customWidth="1"/>
    <col min="15630" max="15630" width="18.7109375" style="1" bestFit="1" customWidth="1"/>
    <col min="15631" max="15872" width="11.42578125" style="1"/>
    <col min="15873" max="15873" width="8.85546875" style="1" bestFit="1" customWidth="1"/>
    <col min="15874" max="15874" width="10.140625" style="1" bestFit="1" customWidth="1"/>
    <col min="15875" max="15875" width="12.140625" style="1" bestFit="1" customWidth="1"/>
    <col min="15876" max="15876" width="4.5703125" style="1" bestFit="1" customWidth="1"/>
    <col min="15877" max="15877" width="11.28515625" style="1" bestFit="1" customWidth="1"/>
    <col min="15878" max="15878" width="13.28515625" style="1" bestFit="1" customWidth="1"/>
    <col min="15879" max="15879" width="12.140625" style="1" bestFit="1" customWidth="1"/>
    <col min="15880" max="15880" width="14.5703125" style="1" customWidth="1"/>
    <col min="15881" max="15882" width="12.140625" style="1" bestFit="1" customWidth="1"/>
    <col min="15883" max="15883" width="11.85546875" style="1" bestFit="1" customWidth="1"/>
    <col min="15884" max="15884" width="12.140625" style="1" bestFit="1" customWidth="1"/>
    <col min="15885" max="15885" width="12" style="1" bestFit="1" customWidth="1"/>
    <col min="15886" max="15886" width="18.7109375" style="1" bestFit="1" customWidth="1"/>
    <col min="15887" max="16128" width="11.42578125" style="1"/>
    <col min="16129" max="16129" width="8.85546875" style="1" bestFit="1" customWidth="1"/>
    <col min="16130" max="16130" width="10.140625" style="1" bestFit="1" customWidth="1"/>
    <col min="16131" max="16131" width="12.140625" style="1" bestFit="1" customWidth="1"/>
    <col min="16132" max="16132" width="4.5703125" style="1" bestFit="1" customWidth="1"/>
    <col min="16133" max="16133" width="11.28515625" style="1" bestFit="1" customWidth="1"/>
    <col min="16134" max="16134" width="13.28515625" style="1" bestFit="1" customWidth="1"/>
    <col min="16135" max="16135" width="12.140625" style="1" bestFit="1" customWidth="1"/>
    <col min="16136" max="16136" width="14.5703125" style="1" customWidth="1"/>
    <col min="16137" max="16138" width="12.140625" style="1" bestFit="1" customWidth="1"/>
    <col min="16139" max="16139" width="11.85546875" style="1" bestFit="1" customWidth="1"/>
    <col min="16140" max="16140" width="12.140625" style="1" bestFit="1" customWidth="1"/>
    <col min="16141" max="16141" width="12" style="1" bestFit="1" customWidth="1"/>
    <col min="16142" max="16142" width="18.7109375" style="1" bestFit="1" customWidth="1"/>
    <col min="16143" max="16384" width="11.42578125" style="1"/>
  </cols>
  <sheetData>
    <row r="1" spans="1:16" ht="13.5" thickBot="1"/>
    <row r="2" spans="1:16" ht="13.5" thickBot="1">
      <c r="A2" s="913" t="s">
        <v>0</v>
      </c>
      <c r="B2" s="911" t="s">
        <v>1</v>
      </c>
      <c r="C2" s="911"/>
      <c r="D2" s="911"/>
      <c r="E2" s="911"/>
      <c r="F2" s="911"/>
      <c r="G2" s="911"/>
      <c r="H2" s="912" t="s">
        <v>2</v>
      </c>
      <c r="I2" s="912"/>
      <c r="J2" s="912"/>
      <c r="K2" s="912" t="s">
        <v>3</v>
      </c>
      <c r="L2" s="912"/>
      <c r="M2" s="913" t="s">
        <v>4</v>
      </c>
    </row>
    <row r="3" spans="1:16" ht="13.5" thickBot="1">
      <c r="A3" s="913"/>
      <c r="B3" s="29" t="s">
        <v>5</v>
      </c>
      <c r="C3" s="29" t="s">
        <v>6</v>
      </c>
      <c r="D3" s="29" t="s">
        <v>7</v>
      </c>
      <c r="E3" s="31" t="s">
        <v>8</v>
      </c>
      <c r="F3" s="28" t="s">
        <v>9</v>
      </c>
      <c r="G3" s="30" t="s">
        <v>10</v>
      </c>
      <c r="H3" s="28" t="s">
        <v>11</v>
      </c>
      <c r="I3" s="29" t="s">
        <v>12</v>
      </c>
      <c r="J3" s="30" t="s">
        <v>13</v>
      </c>
      <c r="K3" s="31" t="s">
        <v>11</v>
      </c>
      <c r="L3" s="30" t="s">
        <v>14</v>
      </c>
      <c r="M3" s="913"/>
    </row>
    <row r="4" spans="1:16" s="6" customFormat="1" ht="13.5" thickBot="1">
      <c r="A4" s="188" t="s">
        <v>17</v>
      </c>
      <c r="B4" s="189" t="s">
        <v>18</v>
      </c>
      <c r="C4" s="190">
        <v>42338</v>
      </c>
      <c r="D4" s="191" t="s">
        <v>19</v>
      </c>
      <c r="E4" s="192">
        <v>185713.44</v>
      </c>
      <c r="F4" s="193">
        <f>+E4*2.0433</f>
        <v>379468.27195199998</v>
      </c>
      <c r="G4" s="194">
        <v>42459</v>
      </c>
      <c r="H4" s="195">
        <v>305000</v>
      </c>
      <c r="I4" s="190"/>
      <c r="J4" s="194">
        <f>+C4+90</f>
        <v>42428</v>
      </c>
      <c r="K4" s="196">
        <f>90414.1+83300*1.12825</f>
        <v>184397.32500000001</v>
      </c>
      <c r="L4" s="197"/>
      <c r="M4" s="198">
        <f t="shared" ref="M4:M17" si="0">E4-K4</f>
        <v>1316.1149999999907</v>
      </c>
      <c r="N4" s="176"/>
      <c r="O4" s="7"/>
    </row>
    <row r="5" spans="1:16" s="6" customFormat="1">
      <c r="A5" s="199" t="s">
        <v>21</v>
      </c>
      <c r="B5" s="200" t="s">
        <v>22</v>
      </c>
      <c r="C5" s="201">
        <v>42389</v>
      </c>
      <c r="D5" s="202" t="s">
        <v>19</v>
      </c>
      <c r="E5" s="203">
        <v>57547.5</v>
      </c>
      <c r="F5" s="204">
        <f>E5*2.0365</f>
        <v>117195.48375000001</v>
      </c>
      <c r="G5" s="205">
        <v>42479</v>
      </c>
      <c r="H5" s="206"/>
      <c r="I5" s="201"/>
      <c r="J5" s="205"/>
      <c r="K5" s="207">
        <v>57547.5</v>
      </c>
      <c r="L5" s="208"/>
      <c r="M5" s="209">
        <f t="shared" si="0"/>
        <v>0</v>
      </c>
      <c r="N5" s="176"/>
      <c r="O5" s="7"/>
    </row>
    <row r="6" spans="1:16" s="6" customFormat="1">
      <c r="A6" s="156" t="s">
        <v>15</v>
      </c>
      <c r="B6" s="157" t="s">
        <v>23</v>
      </c>
      <c r="C6" s="158">
        <v>42394</v>
      </c>
      <c r="D6" s="159" t="s">
        <v>19</v>
      </c>
      <c r="E6" s="160">
        <v>61973.64</v>
      </c>
      <c r="F6" s="161">
        <f>E6*2.03285</f>
        <v>125983.11407399998</v>
      </c>
      <c r="G6" s="162">
        <v>42484</v>
      </c>
      <c r="H6" s="163"/>
      <c r="I6" s="158"/>
      <c r="J6" s="162"/>
      <c r="K6" s="165">
        <v>61973.64</v>
      </c>
      <c r="L6" s="164"/>
      <c r="M6" s="166">
        <f t="shared" si="0"/>
        <v>0</v>
      </c>
      <c r="N6" s="176"/>
      <c r="O6" s="7"/>
    </row>
    <row r="7" spans="1:16" s="6" customFormat="1">
      <c r="A7" s="156" t="s">
        <v>15</v>
      </c>
      <c r="B7" s="157" t="s">
        <v>24</v>
      </c>
      <c r="C7" s="158">
        <v>42422</v>
      </c>
      <c r="D7" s="159" t="s">
        <v>19</v>
      </c>
      <c r="E7" s="160">
        <v>31260.71</v>
      </c>
      <c r="F7" s="161">
        <f>+E7*2.0168</f>
        <v>63046.599927999996</v>
      </c>
      <c r="G7" s="162">
        <f>+C7+90</f>
        <v>42512</v>
      </c>
      <c r="H7" s="163"/>
      <c r="I7" s="158"/>
      <c r="J7" s="162"/>
      <c r="K7" s="165">
        <v>31182.71</v>
      </c>
      <c r="L7" s="164"/>
      <c r="M7" s="166">
        <f t="shared" si="0"/>
        <v>78</v>
      </c>
      <c r="N7" s="176"/>
      <c r="O7" s="7"/>
    </row>
    <row r="8" spans="1:16" s="6" customFormat="1">
      <c r="A8" s="156" t="s">
        <v>17</v>
      </c>
      <c r="B8" s="157" t="s">
        <v>25</v>
      </c>
      <c r="C8" s="158">
        <v>42432</v>
      </c>
      <c r="D8" s="159" t="s">
        <v>19</v>
      </c>
      <c r="E8" s="160">
        <v>97110.5</v>
      </c>
      <c r="F8" s="161">
        <f>E8*2.02425</f>
        <v>196575.92962499999</v>
      </c>
      <c r="G8" s="162">
        <v>42567</v>
      </c>
      <c r="H8" s="163"/>
      <c r="I8" s="158"/>
      <c r="J8" s="162"/>
      <c r="K8" s="165">
        <f>12997+84054</f>
        <v>97051</v>
      </c>
      <c r="L8" s="164"/>
      <c r="M8" s="166">
        <f t="shared" si="0"/>
        <v>59.5</v>
      </c>
      <c r="N8" s="176"/>
      <c r="O8" s="7"/>
    </row>
    <row r="9" spans="1:16" s="5" customFormat="1">
      <c r="A9" s="156" t="s">
        <v>15</v>
      </c>
      <c r="B9" s="157" t="s">
        <v>39</v>
      </c>
      <c r="C9" s="158">
        <v>42445</v>
      </c>
      <c r="D9" s="159" t="s">
        <v>19</v>
      </c>
      <c r="E9" s="160">
        <v>17500.78</v>
      </c>
      <c r="F9" s="161">
        <f>+E9*2.01395</f>
        <v>35245.695881</v>
      </c>
      <c r="G9" s="162">
        <f>C9+90</f>
        <v>42535</v>
      </c>
      <c r="H9" s="163"/>
      <c r="I9" s="158"/>
      <c r="J9" s="162"/>
      <c r="K9" s="165">
        <v>17437.78</v>
      </c>
      <c r="L9" s="164"/>
      <c r="M9" s="166">
        <f t="shared" si="0"/>
        <v>63</v>
      </c>
      <c r="N9" s="176"/>
      <c r="O9" s="50"/>
    </row>
    <row r="10" spans="1:16" s="5" customFormat="1">
      <c r="A10" s="156" t="s">
        <v>17</v>
      </c>
      <c r="B10" s="157" t="s">
        <v>44</v>
      </c>
      <c r="C10" s="158">
        <v>42461</v>
      </c>
      <c r="D10" s="159" t="s">
        <v>19</v>
      </c>
      <c r="E10" s="160">
        <v>15887.8</v>
      </c>
      <c r="F10" s="161">
        <f>E10*1.98505</f>
        <v>31538.077389999999</v>
      </c>
      <c r="G10" s="162">
        <v>42585</v>
      </c>
      <c r="H10" s="163"/>
      <c r="I10" s="158"/>
      <c r="J10" s="162"/>
      <c r="K10" s="165">
        <f>2196.38+13625</f>
        <v>15821.380000000001</v>
      </c>
      <c r="L10" s="164"/>
      <c r="M10" s="166">
        <f t="shared" si="0"/>
        <v>66.419999999998254</v>
      </c>
      <c r="N10" s="176"/>
      <c r="O10" s="50"/>
    </row>
    <row r="11" spans="1:16" s="5" customFormat="1">
      <c r="A11" s="156" t="s">
        <v>15</v>
      </c>
      <c r="B11" s="157" t="s">
        <v>84</v>
      </c>
      <c r="C11" s="158">
        <v>42495</v>
      </c>
      <c r="D11" s="159" t="s">
        <v>19</v>
      </c>
      <c r="E11" s="160">
        <v>13784.67</v>
      </c>
      <c r="F11" s="161">
        <f>+E11*1.98675</f>
        <v>27386.693122500001</v>
      </c>
      <c r="G11" s="162">
        <f>+C11+90</f>
        <v>42585</v>
      </c>
      <c r="H11" s="163"/>
      <c r="I11" s="158"/>
      <c r="J11" s="162"/>
      <c r="K11" s="165">
        <v>13719.17</v>
      </c>
      <c r="L11" s="164"/>
      <c r="M11" s="166">
        <f t="shared" si="0"/>
        <v>65.5</v>
      </c>
      <c r="N11" s="176"/>
      <c r="O11" s="50"/>
    </row>
    <row r="12" spans="1:16" s="4" customFormat="1">
      <c r="A12" s="240" t="s">
        <v>15</v>
      </c>
      <c r="B12" s="241" t="s">
        <v>85</v>
      </c>
      <c r="C12" s="242">
        <v>42495</v>
      </c>
      <c r="D12" s="243" t="s">
        <v>16</v>
      </c>
      <c r="E12" s="244">
        <v>58790.64</v>
      </c>
      <c r="F12" s="245">
        <f>+E12*2.2687</f>
        <v>133378.324968</v>
      </c>
      <c r="G12" s="248">
        <f>+C12+90</f>
        <v>42585</v>
      </c>
      <c r="H12" s="247"/>
      <c r="I12" s="242"/>
      <c r="J12" s="248"/>
      <c r="K12" s="249">
        <f>46740.64+11960</f>
        <v>58700.639999999999</v>
      </c>
      <c r="L12" s="250"/>
      <c r="M12" s="251">
        <f t="shared" si="0"/>
        <v>90</v>
      </c>
      <c r="N12" s="440"/>
      <c r="O12" s="50"/>
    </row>
    <row r="13" spans="1:16" s="6" customFormat="1">
      <c r="A13" s="156" t="s">
        <v>17</v>
      </c>
      <c r="B13" s="157" t="s">
        <v>89</v>
      </c>
      <c r="C13" s="158">
        <v>42506</v>
      </c>
      <c r="D13" s="159" t="s">
        <v>19</v>
      </c>
      <c r="E13" s="160">
        <v>38827.5</v>
      </c>
      <c r="F13" s="161">
        <f>+E13*2.0226</f>
        <v>78532.501500000013</v>
      </c>
      <c r="G13" s="162">
        <v>42630</v>
      </c>
      <c r="H13" s="163"/>
      <c r="I13" s="158"/>
      <c r="J13" s="162"/>
      <c r="K13" s="165">
        <f>5188.54+33549.74</f>
        <v>38738.28</v>
      </c>
      <c r="L13" s="164"/>
      <c r="M13" s="166">
        <f t="shared" si="0"/>
        <v>89.220000000001164</v>
      </c>
      <c r="N13" s="176"/>
      <c r="O13" s="7"/>
    </row>
    <row r="14" spans="1:16" s="5" customFormat="1">
      <c r="A14" s="188" t="s">
        <v>17</v>
      </c>
      <c r="B14" s="189" t="s">
        <v>285</v>
      </c>
      <c r="C14" s="190">
        <v>42542</v>
      </c>
      <c r="D14" s="191" t="s">
        <v>19</v>
      </c>
      <c r="E14" s="192">
        <v>37074</v>
      </c>
      <c r="F14" s="193">
        <f>+E14*2.14625</f>
        <v>79570.072500000009</v>
      </c>
      <c r="G14" s="194">
        <v>42669</v>
      </c>
      <c r="H14" s="195"/>
      <c r="I14" s="190"/>
      <c r="J14" s="194"/>
      <c r="K14" s="196">
        <f>13578+5163.9+18217.5</f>
        <v>36959.4</v>
      </c>
      <c r="L14" s="197"/>
      <c r="M14" s="198">
        <f t="shared" si="0"/>
        <v>114.59999999999854</v>
      </c>
      <c r="N14" s="176"/>
      <c r="O14" s="50"/>
      <c r="P14" s="176"/>
    </row>
    <row r="15" spans="1:16" s="5" customFormat="1">
      <c r="A15" s="188" t="s">
        <v>17</v>
      </c>
      <c r="B15" s="189" t="s">
        <v>286</v>
      </c>
      <c r="C15" s="190">
        <v>42542</v>
      </c>
      <c r="D15" s="191" t="s">
        <v>19</v>
      </c>
      <c r="E15" s="192">
        <v>3480</v>
      </c>
      <c r="F15" s="193">
        <f>+E15*2.14625</f>
        <v>7468.9500000000007</v>
      </c>
      <c r="G15" s="194">
        <v>42669</v>
      </c>
      <c r="H15" s="195"/>
      <c r="I15" s="190"/>
      <c r="J15" s="194"/>
      <c r="K15" s="196">
        <v>3455</v>
      </c>
      <c r="L15" s="197"/>
      <c r="M15" s="198">
        <f t="shared" si="0"/>
        <v>25</v>
      </c>
      <c r="N15" s="176"/>
      <c r="O15" s="50"/>
    </row>
    <row r="16" spans="1:16">
      <c r="A16" s="457" t="s">
        <v>20</v>
      </c>
      <c r="B16" s="458" t="s">
        <v>336</v>
      </c>
      <c r="C16" s="459">
        <v>42695</v>
      </c>
      <c r="D16" s="298" t="s">
        <v>16</v>
      </c>
      <c r="E16" s="460">
        <v>284382.2</v>
      </c>
      <c r="F16" s="461">
        <f>+E16*2.42505</f>
        <v>689641.05411000003</v>
      </c>
      <c r="G16" s="299">
        <f>+C16+60</f>
        <v>42755</v>
      </c>
      <c r="H16" s="297"/>
      <c r="I16" s="459"/>
      <c r="J16" s="299"/>
      <c r="K16" s="463">
        <f>49950+100950+101950+31500</f>
        <v>284350</v>
      </c>
      <c r="L16" s="393"/>
      <c r="M16" s="464">
        <f t="shared" si="0"/>
        <v>32.200000000011642</v>
      </c>
    </row>
    <row r="17" spans="1:17">
      <c r="A17" s="457" t="s">
        <v>20</v>
      </c>
      <c r="B17" s="458" t="s">
        <v>347</v>
      </c>
      <c r="C17" s="459">
        <v>42704</v>
      </c>
      <c r="D17" s="298" t="s">
        <v>16</v>
      </c>
      <c r="E17" s="460">
        <v>187097.52</v>
      </c>
      <c r="F17" s="461">
        <f>+E17*2.42625</f>
        <v>453945.3579</v>
      </c>
      <c r="G17" s="299">
        <f>+C17+60</f>
        <v>42764</v>
      </c>
      <c r="H17" s="297"/>
      <c r="I17" s="459"/>
      <c r="J17" s="299"/>
      <c r="K17" s="463">
        <f>102950-31500+103950+11480</f>
        <v>186880</v>
      </c>
      <c r="L17" s="393"/>
      <c r="M17" s="464">
        <f t="shared" si="0"/>
        <v>217.51999999998952</v>
      </c>
    </row>
    <row r="18" spans="1:17" s="89" customFormat="1">
      <c r="A18" s="188" t="s">
        <v>17</v>
      </c>
      <c r="B18" s="189" t="s">
        <v>396</v>
      </c>
      <c r="C18" s="190">
        <v>42765</v>
      </c>
      <c r="D18" s="191" t="s">
        <v>19</v>
      </c>
      <c r="E18" s="192">
        <v>73064.399999999994</v>
      </c>
      <c r="F18" s="193">
        <f>+E18*2.26605</f>
        <v>165567.58361999999</v>
      </c>
      <c r="G18" s="194">
        <f>+C18+120</f>
        <v>42885</v>
      </c>
      <c r="H18" s="195"/>
      <c r="I18" s="190"/>
      <c r="J18" s="194"/>
      <c r="K18" s="196">
        <f>10173.28+62770</f>
        <v>72943.28</v>
      </c>
      <c r="L18" s="197"/>
      <c r="M18" s="198">
        <f>+E18-K18</f>
        <v>121.11999999999534</v>
      </c>
      <c r="N18" s="441"/>
      <c r="O18" s="88"/>
      <c r="Q18" s="392"/>
    </row>
    <row r="19" spans="1:17" s="77" customFormat="1">
      <c r="A19" s="457" t="s">
        <v>399</v>
      </c>
      <c r="B19" s="458" t="s">
        <v>400</v>
      </c>
      <c r="C19" s="459">
        <v>42780</v>
      </c>
      <c r="D19" s="298" t="s">
        <v>16</v>
      </c>
      <c r="E19" s="460">
        <v>17555.59</v>
      </c>
      <c r="F19" s="461">
        <f>+E19*2.4179</f>
        <v>42447.661060999999</v>
      </c>
      <c r="G19" s="299">
        <f>+C19</f>
        <v>42780</v>
      </c>
      <c r="H19" s="297"/>
      <c r="I19" s="459"/>
      <c r="J19" s="299"/>
      <c r="K19" s="463">
        <v>17555.59</v>
      </c>
      <c r="L19" s="393"/>
      <c r="M19" s="464">
        <f>+E19-K19</f>
        <v>0</v>
      </c>
      <c r="N19" s="391"/>
      <c r="O19" s="62"/>
      <c r="P19" s="89"/>
      <c r="Q19" s="392"/>
    </row>
    <row r="20" spans="1:17" s="89" customFormat="1">
      <c r="A20" s="188" t="s">
        <v>17</v>
      </c>
      <c r="B20" s="189" t="s">
        <v>422</v>
      </c>
      <c r="C20" s="190">
        <v>42781</v>
      </c>
      <c r="D20" s="191" t="s">
        <v>19</v>
      </c>
      <c r="E20" s="192">
        <v>17856</v>
      </c>
      <c r="F20" s="193">
        <f>+E20*2.272</f>
        <v>40568.831999999995</v>
      </c>
      <c r="G20" s="194">
        <f t="shared" ref="G20:G25" si="1">+C20+120</f>
        <v>42901</v>
      </c>
      <c r="H20" s="195"/>
      <c r="I20" s="190"/>
      <c r="J20" s="194"/>
      <c r="K20" s="196">
        <f>2549.2+15270</f>
        <v>17819.2</v>
      </c>
      <c r="L20" s="197"/>
      <c r="M20" s="198">
        <f>+E20-K20</f>
        <v>36.799999999999272</v>
      </c>
      <c r="N20" s="441"/>
      <c r="O20" s="88"/>
      <c r="Q20" s="392"/>
    </row>
    <row r="21" spans="1:17" s="6" customFormat="1">
      <c r="A21" s="188" t="s">
        <v>17</v>
      </c>
      <c r="B21" s="189" t="s">
        <v>460</v>
      </c>
      <c r="C21" s="190">
        <v>42844</v>
      </c>
      <c r="D21" s="191" t="s">
        <v>19</v>
      </c>
      <c r="E21" s="192">
        <v>35287.199999999997</v>
      </c>
      <c r="F21" s="193">
        <f>+E21*2.31555</f>
        <v>81709.275959999999</v>
      </c>
      <c r="G21" s="194">
        <f t="shared" si="1"/>
        <v>42964</v>
      </c>
      <c r="H21" s="195"/>
      <c r="I21" s="190"/>
      <c r="J21" s="194"/>
      <c r="K21" s="196">
        <f>5062.04+30100</f>
        <v>35162.04</v>
      </c>
      <c r="L21" s="197"/>
      <c r="M21" s="198">
        <f>+E21-K21</f>
        <v>125.15999999999622</v>
      </c>
      <c r="N21" s="176"/>
      <c r="O21" s="456"/>
      <c r="P21" s="89"/>
      <c r="Q21" s="392"/>
    </row>
    <row r="22" spans="1:17" s="6" customFormat="1">
      <c r="A22" s="188" t="s">
        <v>17</v>
      </c>
      <c r="B22" s="189" t="s">
        <v>502</v>
      </c>
      <c r="C22" s="190">
        <v>42864</v>
      </c>
      <c r="D22" s="191" t="s">
        <v>19</v>
      </c>
      <c r="E22" s="192">
        <v>73647</v>
      </c>
      <c r="F22" s="193">
        <f>+E22*2.39905</f>
        <v>176682.83534999998</v>
      </c>
      <c r="G22" s="194">
        <f t="shared" si="1"/>
        <v>42984</v>
      </c>
      <c r="H22" s="195"/>
      <c r="I22" s="190"/>
      <c r="J22" s="194"/>
      <c r="K22" s="196">
        <f>10380.8+63196.5</f>
        <v>73577.3</v>
      </c>
      <c r="L22" s="197"/>
      <c r="M22" s="198">
        <f>+E22-K22</f>
        <v>69.69999999999709</v>
      </c>
      <c r="N22" s="176"/>
      <c r="O22" s="456"/>
    </row>
    <row r="23" spans="1:17" s="611" customFormat="1">
      <c r="A23" s="659" t="s">
        <v>17</v>
      </c>
      <c r="B23" s="660" t="s">
        <v>505</v>
      </c>
      <c r="C23" s="661">
        <v>42888</v>
      </c>
      <c r="D23" s="662" t="s">
        <v>19</v>
      </c>
      <c r="E23" s="663">
        <v>44179.99</v>
      </c>
      <c r="F23" s="664">
        <f>+E23*2.42865</f>
        <v>107297.73271350001</v>
      </c>
      <c r="G23" s="665">
        <f t="shared" si="1"/>
        <v>43008</v>
      </c>
      <c r="H23" s="666"/>
      <c r="I23" s="661"/>
      <c r="J23" s="665"/>
      <c r="K23" s="658">
        <v>4855.3999999999996</v>
      </c>
      <c r="L23" s="667"/>
      <c r="M23" s="668">
        <f t="shared" ref="M23:M26" si="2">+E23-K23</f>
        <v>39324.589999999997</v>
      </c>
      <c r="N23" s="669"/>
      <c r="O23" s="670"/>
    </row>
    <row r="24" spans="1:17" s="6" customFormat="1">
      <c r="A24" s="848" t="s">
        <v>17</v>
      </c>
      <c r="B24" s="849" t="s">
        <v>506</v>
      </c>
      <c r="C24" s="850">
        <v>42928</v>
      </c>
      <c r="D24" s="851" t="s">
        <v>19</v>
      </c>
      <c r="E24" s="852">
        <v>92625.75</v>
      </c>
      <c r="F24" s="853">
        <f>+E24*2.4274</f>
        <v>224839.74554999999</v>
      </c>
      <c r="G24" s="854">
        <f t="shared" si="1"/>
        <v>43048</v>
      </c>
      <c r="H24" s="855"/>
      <c r="I24" s="850"/>
      <c r="J24" s="854"/>
      <c r="K24" s="196">
        <f>12804.1+79661.5</f>
        <v>92465.600000000006</v>
      </c>
      <c r="L24" s="856"/>
      <c r="M24" s="857">
        <f t="shared" si="2"/>
        <v>160.14999999999418</v>
      </c>
      <c r="N24" s="176"/>
      <c r="O24" s="456"/>
    </row>
    <row r="25" spans="1:17">
      <c r="A25" s="255" t="s">
        <v>399</v>
      </c>
      <c r="B25" s="256" t="s">
        <v>657</v>
      </c>
      <c r="C25" s="257">
        <v>42998</v>
      </c>
      <c r="D25" s="258" t="s">
        <v>16</v>
      </c>
      <c r="E25" s="259">
        <v>17117.849999999999</v>
      </c>
      <c r="F25" s="260">
        <f>+E25*2.9097</f>
        <v>49807.808144999995</v>
      </c>
      <c r="G25" s="280">
        <f t="shared" si="1"/>
        <v>43118</v>
      </c>
      <c r="H25" s="279"/>
      <c r="I25" s="257"/>
      <c r="J25" s="280"/>
      <c r="K25" s="262">
        <v>17117.849999999999</v>
      </c>
      <c r="L25" s="261"/>
      <c r="M25" s="283">
        <f t="shared" si="2"/>
        <v>0</v>
      </c>
    </row>
    <row r="26" spans="1:17" s="6" customFormat="1">
      <c r="A26" s="446" t="s">
        <v>17</v>
      </c>
      <c r="B26" s="447" t="s">
        <v>1018</v>
      </c>
      <c r="C26" s="448">
        <v>43054</v>
      </c>
      <c r="D26" s="449" t="s">
        <v>19</v>
      </c>
      <c r="E26" s="450">
        <v>71193.600000000006</v>
      </c>
      <c r="F26" s="451">
        <f>+E26*2.4747</f>
        <v>176182.80192</v>
      </c>
      <c r="G26" s="452">
        <f>+C26+120</f>
        <v>43174</v>
      </c>
      <c r="H26" s="453"/>
      <c r="I26" s="448"/>
      <c r="J26" s="452"/>
      <c r="K26" s="454"/>
      <c r="L26" s="455"/>
      <c r="M26" s="284">
        <f t="shared" si="2"/>
        <v>71193.600000000006</v>
      </c>
      <c r="N26" s="176"/>
      <c r="O26" s="456"/>
    </row>
    <row r="27" spans="1:17" s="6" customFormat="1" ht="13.5" thickBot="1">
      <c r="A27" s="9"/>
      <c r="B27" s="10"/>
      <c r="C27" s="11"/>
      <c r="D27" s="12"/>
      <c r="E27" s="13"/>
      <c r="F27" s="14"/>
      <c r="G27" s="15"/>
      <c r="H27" s="16"/>
      <c r="I27" s="11"/>
      <c r="J27" s="15"/>
      <c r="K27" s="17"/>
      <c r="L27" s="18"/>
      <c r="M27" s="19"/>
      <c r="N27" s="176"/>
      <c r="O27" s="7"/>
    </row>
    <row r="28" spans="1:17" s="25" customFormat="1" ht="13.5" thickBot="1">
      <c r="A28" s="20"/>
      <c r="B28" s="20"/>
      <c r="C28" s="21"/>
      <c r="D28" s="20"/>
      <c r="E28" s="22"/>
      <c r="F28" s="23"/>
      <c r="G28" s="21"/>
      <c r="H28" s="23"/>
      <c r="I28" s="21"/>
      <c r="J28" s="21"/>
      <c r="K28" s="22"/>
      <c r="L28" s="20"/>
      <c r="M28" s="24"/>
      <c r="N28" s="442"/>
      <c r="O28" s="7"/>
    </row>
    <row r="29" spans="1:17" ht="13.5" thickBot="1">
      <c r="A29" s="909" t="s">
        <v>0</v>
      </c>
      <c r="B29" s="911" t="s">
        <v>1</v>
      </c>
      <c r="C29" s="911"/>
      <c r="D29" s="911"/>
      <c r="E29" s="911"/>
      <c r="F29" s="911"/>
      <c r="G29" s="911"/>
      <c r="H29" s="912" t="s">
        <v>2</v>
      </c>
      <c r="I29" s="912"/>
      <c r="J29" s="912"/>
      <c r="K29" s="912" t="s">
        <v>3</v>
      </c>
      <c r="L29" s="912"/>
      <c r="M29" s="909" t="s">
        <v>4</v>
      </c>
    </row>
    <row r="30" spans="1:17" ht="13.5" thickBot="1">
      <c r="A30" s="910"/>
      <c r="B30" s="29" t="s">
        <v>5</v>
      </c>
      <c r="C30" s="29" t="s">
        <v>6</v>
      </c>
      <c r="D30" s="29" t="s">
        <v>7</v>
      </c>
      <c r="E30" s="31" t="s">
        <v>8</v>
      </c>
      <c r="F30" s="28" t="s">
        <v>9</v>
      </c>
      <c r="G30" s="30" t="s">
        <v>10</v>
      </c>
      <c r="H30" s="28" t="s">
        <v>11</v>
      </c>
      <c r="I30" s="29" t="s">
        <v>12</v>
      </c>
      <c r="J30" s="30" t="s">
        <v>13</v>
      </c>
      <c r="K30" s="31" t="s">
        <v>11</v>
      </c>
      <c r="L30" s="32" t="s">
        <v>14</v>
      </c>
      <c r="M30" s="910"/>
    </row>
    <row r="31" spans="1:17" s="47" customFormat="1">
      <c r="A31" s="51" t="s">
        <v>17</v>
      </c>
      <c r="B31" s="52" t="s">
        <v>26</v>
      </c>
      <c r="C31" s="53">
        <v>40680</v>
      </c>
      <c r="D31" s="54" t="s">
        <v>16</v>
      </c>
      <c r="E31" s="55">
        <v>5190.95</v>
      </c>
      <c r="F31" s="56">
        <f>+E31*1.95835</f>
        <v>10165.696932499999</v>
      </c>
      <c r="G31" s="57">
        <f>+C31+90</f>
        <v>40770</v>
      </c>
      <c r="H31" s="58"/>
      <c r="I31" s="55"/>
      <c r="J31" s="57"/>
      <c r="K31" s="59"/>
      <c r="L31" s="60"/>
      <c r="M31" s="61">
        <f>+E31-K31</f>
        <v>5190.95</v>
      </c>
      <c r="N31" s="306"/>
      <c r="O31" s="62"/>
    </row>
    <row r="32" spans="1:17" s="6" customFormat="1">
      <c r="A32" s="156" t="s">
        <v>17</v>
      </c>
      <c r="B32" s="157" t="s">
        <v>27</v>
      </c>
      <c r="C32" s="158">
        <v>42356</v>
      </c>
      <c r="D32" s="159" t="s">
        <v>19</v>
      </c>
      <c r="E32" s="160">
        <v>217912.86</v>
      </c>
      <c r="F32" s="161">
        <f>E32*2.01185</f>
        <v>438407.98739099997</v>
      </c>
      <c r="G32" s="162">
        <v>42485</v>
      </c>
      <c r="H32" s="163"/>
      <c r="I32" s="159"/>
      <c r="J32" s="164"/>
      <c r="K32" s="165">
        <f>113564.6+104348.26</f>
        <v>217912.86</v>
      </c>
      <c r="L32" s="164"/>
      <c r="M32" s="166">
        <f t="shared" ref="M32:M64" si="3">E32-K32</f>
        <v>0</v>
      </c>
      <c r="N32" s="176"/>
      <c r="O32" s="7"/>
      <c r="P32" s="90"/>
    </row>
    <row r="33" spans="1:16" s="26" customFormat="1">
      <c r="A33" s="240" t="s">
        <v>20</v>
      </c>
      <c r="B33" s="241" t="s">
        <v>28</v>
      </c>
      <c r="C33" s="242">
        <v>42359</v>
      </c>
      <c r="D33" s="243" t="s">
        <v>16</v>
      </c>
      <c r="E33" s="244">
        <v>694484.64</v>
      </c>
      <c r="F33" s="245">
        <f>E33*2.19375</f>
        <v>1523525.679</v>
      </c>
      <c r="G33" s="248">
        <v>42456</v>
      </c>
      <c r="H33" s="247"/>
      <c r="I33" s="243"/>
      <c r="J33" s="250"/>
      <c r="K33" s="249">
        <f>49960-39400+88520+100950+99945+49934.5+99924.5+24900+24960+49900+29960+29982+34949.5+21960+28000</f>
        <v>694445.5</v>
      </c>
      <c r="L33" s="250"/>
      <c r="M33" s="251">
        <f t="shared" si="3"/>
        <v>39.14000000001397</v>
      </c>
      <c r="N33" s="443"/>
      <c r="O33" s="7"/>
    </row>
    <row r="34" spans="1:16" ht="13.5" thickBot="1">
      <c r="A34" s="177" t="s">
        <v>17</v>
      </c>
      <c r="B34" s="178" t="s">
        <v>29</v>
      </c>
      <c r="C34" s="179">
        <v>42363</v>
      </c>
      <c r="D34" s="180" t="s">
        <v>16</v>
      </c>
      <c r="E34" s="181">
        <v>2590.8000000000002</v>
      </c>
      <c r="F34" s="182">
        <f>+E34*2.19995</f>
        <v>5699.6304600000003</v>
      </c>
      <c r="G34" s="183">
        <v>42485</v>
      </c>
      <c r="H34" s="184"/>
      <c r="I34" s="180"/>
      <c r="J34" s="185"/>
      <c r="K34" s="186">
        <v>2783.74</v>
      </c>
      <c r="L34" s="185"/>
      <c r="M34" s="187">
        <f t="shared" si="3"/>
        <v>-192.9399999999996</v>
      </c>
      <c r="P34" s="2"/>
    </row>
    <row r="35" spans="1:16">
      <c r="A35" s="230" t="s">
        <v>15</v>
      </c>
      <c r="B35" s="231" t="s">
        <v>30</v>
      </c>
      <c r="C35" s="232">
        <v>42388</v>
      </c>
      <c r="D35" s="233" t="s">
        <v>16</v>
      </c>
      <c r="E35" s="234">
        <v>70769.149999999994</v>
      </c>
      <c r="F35" s="235">
        <f>E35*2.21425</f>
        <v>156700.59038749998</v>
      </c>
      <c r="G35" s="236">
        <v>42478</v>
      </c>
      <c r="H35" s="237"/>
      <c r="I35" s="232"/>
      <c r="J35" s="236"/>
      <c r="K35" s="238">
        <f>20719.15+24950+24950</f>
        <v>70619.149999999994</v>
      </c>
      <c r="L35" s="236"/>
      <c r="M35" s="239">
        <f t="shared" si="3"/>
        <v>150</v>
      </c>
      <c r="N35" s="2"/>
    </row>
    <row r="36" spans="1:16" s="5" customFormat="1">
      <c r="A36" s="156" t="s">
        <v>17</v>
      </c>
      <c r="B36" s="157" t="s">
        <v>31</v>
      </c>
      <c r="C36" s="158">
        <v>42394</v>
      </c>
      <c r="D36" s="159" t="s">
        <v>19</v>
      </c>
      <c r="E36" s="160">
        <v>120772.23</v>
      </c>
      <c r="F36" s="161">
        <f>+E36*2.0293</f>
        <v>245083.086339</v>
      </c>
      <c r="G36" s="162">
        <v>42522</v>
      </c>
      <c r="H36" s="163"/>
      <c r="I36" s="159"/>
      <c r="J36" s="164"/>
      <c r="K36" s="165">
        <f>61633.4-K37+60440.56</f>
        <v>120729.95999999999</v>
      </c>
      <c r="L36" s="164"/>
      <c r="M36" s="166">
        <f t="shared" si="3"/>
        <v>42.270000000004075</v>
      </c>
      <c r="N36" s="176"/>
      <c r="O36" s="50"/>
      <c r="P36" s="176"/>
    </row>
    <row r="37" spans="1:16" s="5" customFormat="1">
      <c r="A37" s="156" t="s">
        <v>17</v>
      </c>
      <c r="B37" s="157" t="s">
        <v>32</v>
      </c>
      <c r="C37" s="158">
        <v>42396</v>
      </c>
      <c r="D37" s="159" t="s">
        <v>19</v>
      </c>
      <c r="E37" s="160">
        <v>1344</v>
      </c>
      <c r="F37" s="161">
        <f>+E37*2.0293</f>
        <v>2727.3792000000003</v>
      </c>
      <c r="G37" s="162">
        <v>42522</v>
      </c>
      <c r="H37" s="163"/>
      <c r="I37" s="159"/>
      <c r="J37" s="164"/>
      <c r="K37" s="165">
        <v>1344</v>
      </c>
      <c r="L37" s="164"/>
      <c r="M37" s="166">
        <f t="shared" si="3"/>
        <v>0</v>
      </c>
      <c r="N37" s="176"/>
      <c r="O37" s="50"/>
      <c r="P37" s="176"/>
    </row>
    <row r="38" spans="1:16" s="4" customFormat="1">
      <c r="A38" s="240" t="s">
        <v>20</v>
      </c>
      <c r="B38" s="241" t="s">
        <v>33</v>
      </c>
      <c r="C38" s="242">
        <v>42405</v>
      </c>
      <c r="D38" s="243" t="s">
        <v>16</v>
      </c>
      <c r="E38" s="244">
        <v>354482.12</v>
      </c>
      <c r="F38" s="245">
        <f>E38*2.232</f>
        <v>791204.09184000001</v>
      </c>
      <c r="G38" s="248">
        <v>42502</v>
      </c>
      <c r="H38" s="247"/>
      <c r="I38" s="243"/>
      <c r="J38" s="250"/>
      <c r="K38" s="249">
        <f>54480+50000+100000+100000+5000+40000+5002.12</f>
        <v>354482.12</v>
      </c>
      <c r="L38" s="250"/>
      <c r="M38" s="251">
        <f>E38-K38</f>
        <v>0</v>
      </c>
      <c r="N38" s="440"/>
      <c r="O38" s="50"/>
    </row>
    <row r="39" spans="1:16" s="6" customFormat="1">
      <c r="A39" s="156" t="s">
        <v>17</v>
      </c>
      <c r="B39" s="157" t="s">
        <v>34</v>
      </c>
      <c r="C39" s="158">
        <v>42412</v>
      </c>
      <c r="D39" s="159" t="s">
        <v>19</v>
      </c>
      <c r="E39" s="160">
        <v>110497.38</v>
      </c>
      <c r="F39" s="161">
        <f>E39*2.00195</f>
        <v>221210.229891</v>
      </c>
      <c r="G39" s="162">
        <v>42543</v>
      </c>
      <c r="H39" s="163"/>
      <c r="I39" s="159"/>
      <c r="J39" s="164"/>
      <c r="K39" s="165">
        <f>58678.54-3945.6+55714.44</f>
        <v>110447.38</v>
      </c>
      <c r="L39" s="164"/>
      <c r="M39" s="166">
        <f t="shared" si="3"/>
        <v>50</v>
      </c>
      <c r="N39" s="176"/>
      <c r="O39" s="7"/>
    </row>
    <row r="40" spans="1:16" s="4" customFormat="1">
      <c r="A40" s="240" t="s">
        <v>15</v>
      </c>
      <c r="B40" s="241" t="s">
        <v>35</v>
      </c>
      <c r="C40" s="242">
        <v>42412</v>
      </c>
      <c r="D40" s="243" t="s">
        <v>16</v>
      </c>
      <c r="E40" s="244">
        <v>52613.599999999999</v>
      </c>
      <c r="F40" s="245">
        <f>E40*2.24105</f>
        <v>117909.70827999999</v>
      </c>
      <c r="G40" s="246">
        <v>42502</v>
      </c>
      <c r="H40" s="247"/>
      <c r="I40" s="243"/>
      <c r="J40" s="250"/>
      <c r="K40" s="249">
        <v>52563.6</v>
      </c>
      <c r="L40" s="250"/>
      <c r="M40" s="251">
        <f t="shared" si="3"/>
        <v>50</v>
      </c>
      <c r="N40" s="440"/>
      <c r="O40" s="50"/>
    </row>
    <row r="41" spans="1:16" s="6" customFormat="1">
      <c r="A41" s="156" t="s">
        <v>17</v>
      </c>
      <c r="B41" s="157" t="s">
        <v>36</v>
      </c>
      <c r="C41" s="158">
        <v>42416</v>
      </c>
      <c r="D41" s="159" t="s">
        <v>19</v>
      </c>
      <c r="E41" s="160">
        <v>3945.6</v>
      </c>
      <c r="F41" s="161">
        <f>E41*2.00195</f>
        <v>7898.8939199999995</v>
      </c>
      <c r="G41" s="173">
        <v>42543</v>
      </c>
      <c r="H41" s="163"/>
      <c r="I41" s="159"/>
      <c r="J41" s="164"/>
      <c r="K41" s="165">
        <v>3945.6</v>
      </c>
      <c r="L41" s="164"/>
      <c r="M41" s="166">
        <f t="shared" si="3"/>
        <v>0</v>
      </c>
      <c r="N41" s="176"/>
      <c r="O41" s="7"/>
    </row>
    <row r="42" spans="1:16" s="4" customFormat="1">
      <c r="A42" s="240" t="s">
        <v>15</v>
      </c>
      <c r="B42" s="241" t="s">
        <v>37</v>
      </c>
      <c r="C42" s="242">
        <v>42422</v>
      </c>
      <c r="D42" s="243" t="s">
        <v>16</v>
      </c>
      <c r="E42" s="244">
        <v>36924.26</v>
      </c>
      <c r="F42" s="245">
        <f>+E42*2.2214</f>
        <v>82023.551164000004</v>
      </c>
      <c r="G42" s="246">
        <f>+C42+90</f>
        <v>42512</v>
      </c>
      <c r="H42" s="247"/>
      <c r="I42" s="243"/>
      <c r="J42" s="250"/>
      <c r="K42" s="249">
        <v>36874.26</v>
      </c>
      <c r="L42" s="250"/>
      <c r="M42" s="251">
        <f t="shared" si="3"/>
        <v>50</v>
      </c>
      <c r="N42" s="440"/>
      <c r="O42" s="50"/>
    </row>
    <row r="43" spans="1:16" s="5" customFormat="1">
      <c r="A43" s="156" t="s">
        <v>21</v>
      </c>
      <c r="B43" s="157" t="s">
        <v>38</v>
      </c>
      <c r="C43" s="158">
        <v>42423</v>
      </c>
      <c r="D43" s="159" t="s">
        <v>19</v>
      </c>
      <c r="E43" s="160">
        <v>58754.1</v>
      </c>
      <c r="F43" s="161">
        <f>+E43*2.01295</f>
        <v>118269.06559499999</v>
      </c>
      <c r="G43" s="173">
        <f>+C43+90</f>
        <v>42513</v>
      </c>
      <c r="H43" s="163"/>
      <c r="I43" s="159"/>
      <c r="J43" s="164"/>
      <c r="K43" s="165">
        <v>58754.1</v>
      </c>
      <c r="L43" s="164"/>
      <c r="M43" s="166">
        <f t="shared" si="3"/>
        <v>0</v>
      </c>
      <c r="N43" s="176"/>
      <c r="O43" s="50"/>
      <c r="P43" s="287"/>
    </row>
    <row r="44" spans="1:16">
      <c r="A44" s="240" t="s">
        <v>20</v>
      </c>
      <c r="B44" s="241" t="s">
        <v>40</v>
      </c>
      <c r="C44" s="242">
        <v>42436</v>
      </c>
      <c r="D44" s="243" t="s">
        <v>16</v>
      </c>
      <c r="E44" s="244">
        <v>346818.74</v>
      </c>
      <c r="F44" s="245">
        <f>+E44*2.2428</f>
        <v>777845.07007199991</v>
      </c>
      <c r="G44" s="246">
        <f>+C44+90</f>
        <v>42526</v>
      </c>
      <c r="H44" s="247">
        <v>620000</v>
      </c>
      <c r="I44" s="243"/>
      <c r="J44" s="248">
        <v>42521</v>
      </c>
      <c r="K44" s="249">
        <f>79900-5002.12+25000+25000+25000+15000+80000+40000+31840+9950+20000</f>
        <v>346687.88</v>
      </c>
      <c r="L44" s="250"/>
      <c r="M44" s="251">
        <f t="shared" si="3"/>
        <v>130.85999999998603</v>
      </c>
    </row>
    <row r="45" spans="1:16" s="4" customFormat="1">
      <c r="A45" s="240" t="s">
        <v>15</v>
      </c>
      <c r="B45" s="241" t="s">
        <v>41</v>
      </c>
      <c r="C45" s="242">
        <v>42445</v>
      </c>
      <c r="D45" s="243" t="s">
        <v>16</v>
      </c>
      <c r="E45" s="244">
        <v>56915.18</v>
      </c>
      <c r="F45" s="245">
        <f>+E45*2.2342</f>
        <v>127159.895156</v>
      </c>
      <c r="G45" s="246">
        <f>+C45+90</f>
        <v>42535</v>
      </c>
      <c r="H45" s="247"/>
      <c r="I45" s="243"/>
      <c r="J45" s="250"/>
      <c r="K45" s="249">
        <f>20865.18+36000</f>
        <v>56865.18</v>
      </c>
      <c r="L45" s="250"/>
      <c r="M45" s="251">
        <f t="shared" si="3"/>
        <v>50</v>
      </c>
      <c r="N45" s="440"/>
      <c r="O45" s="50"/>
    </row>
    <row r="46" spans="1:16" s="4" customFormat="1">
      <c r="A46" s="240" t="s">
        <v>15</v>
      </c>
      <c r="B46" s="241" t="s">
        <v>42</v>
      </c>
      <c r="C46" s="242">
        <v>42460</v>
      </c>
      <c r="D46" s="243" t="s">
        <v>16</v>
      </c>
      <c r="E46" s="244">
        <v>55894.19</v>
      </c>
      <c r="F46" s="245">
        <f>E46*2.25995</f>
        <v>126318.0746905</v>
      </c>
      <c r="G46" s="246">
        <f>+C46+90</f>
        <v>42550</v>
      </c>
      <c r="H46" s="247"/>
      <c r="I46" s="243"/>
      <c r="J46" s="250"/>
      <c r="K46" s="249">
        <f>46844.19-36000+22950+21950</f>
        <v>55744.19</v>
      </c>
      <c r="L46" s="250"/>
      <c r="M46" s="251">
        <f t="shared" si="3"/>
        <v>150</v>
      </c>
      <c r="N46" s="440"/>
      <c r="O46" s="50"/>
    </row>
    <row r="47" spans="1:16" s="5" customFormat="1">
      <c r="A47" s="156" t="s">
        <v>17</v>
      </c>
      <c r="B47" s="157" t="s">
        <v>43</v>
      </c>
      <c r="C47" s="158">
        <v>42461</v>
      </c>
      <c r="D47" s="159" t="s">
        <v>19</v>
      </c>
      <c r="E47" s="160">
        <v>124293.26</v>
      </c>
      <c r="F47" s="161">
        <f>E47*1.98505</f>
        <v>246728.33576299998</v>
      </c>
      <c r="G47" s="173">
        <v>42585</v>
      </c>
      <c r="H47" s="163"/>
      <c r="I47" s="159"/>
      <c r="J47" s="164"/>
      <c r="K47" s="165">
        <f>60173.9+64059.36</f>
        <v>124233.26000000001</v>
      </c>
      <c r="L47" s="164"/>
      <c r="M47" s="166">
        <f t="shared" si="3"/>
        <v>59.999999999985448</v>
      </c>
      <c r="N47" s="176"/>
      <c r="O47" s="213"/>
    </row>
    <row r="48" spans="1:16" s="4" customFormat="1">
      <c r="A48" s="240" t="s">
        <v>15</v>
      </c>
      <c r="B48" s="241" t="s">
        <v>80</v>
      </c>
      <c r="C48" s="242">
        <v>42471</v>
      </c>
      <c r="D48" s="243" t="s">
        <v>16</v>
      </c>
      <c r="E48" s="244">
        <v>71366.58</v>
      </c>
      <c r="F48" s="245">
        <f>E48*2.2645</f>
        <v>161609.62041</v>
      </c>
      <c r="G48" s="246">
        <f>+C48+90</f>
        <v>42561</v>
      </c>
      <c r="H48" s="247"/>
      <c r="I48" s="243"/>
      <c r="J48" s="250"/>
      <c r="K48" s="249">
        <v>71316.58</v>
      </c>
      <c r="L48" s="250"/>
      <c r="M48" s="251">
        <f t="shared" si="3"/>
        <v>50</v>
      </c>
      <c r="N48" s="440"/>
      <c r="O48" s="50"/>
    </row>
    <row r="49" spans="1:16" s="5" customFormat="1">
      <c r="A49" s="156" t="s">
        <v>17</v>
      </c>
      <c r="B49" s="157" t="s">
        <v>83</v>
      </c>
      <c r="C49" s="158">
        <v>42480</v>
      </c>
      <c r="D49" s="159" t="s">
        <v>19</v>
      </c>
      <c r="E49" s="160">
        <v>3720</v>
      </c>
      <c r="F49" s="161">
        <f>+E49*1.99715</f>
        <v>7429.3980000000001</v>
      </c>
      <c r="G49" s="173">
        <v>42603</v>
      </c>
      <c r="H49" s="163"/>
      <c r="I49" s="159"/>
      <c r="J49" s="164"/>
      <c r="K49" s="165">
        <v>3662</v>
      </c>
      <c r="L49" s="164"/>
      <c r="M49" s="166">
        <f t="shared" si="3"/>
        <v>58</v>
      </c>
      <c r="N49" s="176"/>
      <c r="O49" s="213"/>
      <c r="P49" s="276"/>
    </row>
    <row r="50" spans="1:16" s="5" customFormat="1">
      <c r="A50" s="156" t="s">
        <v>21</v>
      </c>
      <c r="B50" s="157" t="s">
        <v>81</v>
      </c>
      <c r="C50" s="158">
        <v>42480</v>
      </c>
      <c r="D50" s="159" t="s">
        <v>19</v>
      </c>
      <c r="E50" s="160">
        <v>59734.6</v>
      </c>
      <c r="F50" s="161">
        <f>+E50*1.99715</f>
        <v>119298.95638999999</v>
      </c>
      <c r="G50" s="173">
        <v>42580</v>
      </c>
      <c r="H50" s="163"/>
      <c r="I50" s="159"/>
      <c r="J50" s="164"/>
      <c r="K50" s="165">
        <v>59734.6</v>
      </c>
      <c r="L50" s="164"/>
      <c r="M50" s="166">
        <f t="shared" si="3"/>
        <v>0</v>
      </c>
      <c r="N50" s="176"/>
      <c r="O50" s="213"/>
      <c r="P50" s="276"/>
    </row>
    <row r="51" spans="1:16" s="5" customFormat="1">
      <c r="A51" s="156" t="s">
        <v>17</v>
      </c>
      <c r="B51" s="157" t="s">
        <v>82</v>
      </c>
      <c r="C51" s="158">
        <v>42485</v>
      </c>
      <c r="D51" s="159" t="s">
        <v>19</v>
      </c>
      <c r="E51" s="160">
        <v>190231.2</v>
      </c>
      <c r="F51" s="161">
        <f>+E51*1.99715</f>
        <v>379920.24108000001</v>
      </c>
      <c r="G51" s="173">
        <v>42603</v>
      </c>
      <c r="H51" s="163">
        <v>305000</v>
      </c>
      <c r="I51" s="159"/>
      <c r="J51" s="162">
        <v>42607</v>
      </c>
      <c r="K51" s="165">
        <f>163674-64059.36+90538.6</f>
        <v>190153.24</v>
      </c>
      <c r="L51" s="164"/>
      <c r="M51" s="166">
        <f t="shared" si="3"/>
        <v>77.960000000020955</v>
      </c>
      <c r="N51" s="176"/>
      <c r="O51" s="213"/>
      <c r="P51" s="276"/>
    </row>
    <row r="52" spans="1:16" s="87" customFormat="1">
      <c r="A52" s="188" t="s">
        <v>21</v>
      </c>
      <c r="B52" s="189" t="s">
        <v>86</v>
      </c>
      <c r="C52" s="190">
        <v>42503</v>
      </c>
      <c r="D52" s="159" t="s">
        <v>19</v>
      </c>
      <c r="E52" s="192">
        <v>60309.599999999999</v>
      </c>
      <c r="F52" s="193">
        <f>E52*2.02365</f>
        <v>122045.52204</v>
      </c>
      <c r="G52" s="286">
        <v>42601</v>
      </c>
      <c r="H52" s="195"/>
      <c r="I52" s="191"/>
      <c r="J52" s="194"/>
      <c r="K52" s="196">
        <v>60309.599999999999</v>
      </c>
      <c r="L52" s="197"/>
      <c r="M52" s="198">
        <f t="shared" si="3"/>
        <v>0</v>
      </c>
      <c r="N52" s="441"/>
      <c r="O52" s="224"/>
      <c r="P52" s="277"/>
    </row>
    <row r="53" spans="1:16" s="89" customFormat="1">
      <c r="A53" s="188" t="s">
        <v>17</v>
      </c>
      <c r="B53" s="189" t="s">
        <v>87</v>
      </c>
      <c r="C53" s="190">
        <v>42513</v>
      </c>
      <c r="D53" s="159" t="s">
        <v>19</v>
      </c>
      <c r="E53" s="192">
        <v>243352.73</v>
      </c>
      <c r="F53" s="193">
        <f>E53*2.02365</f>
        <v>492460.7520645</v>
      </c>
      <c r="G53" s="286">
        <v>42630</v>
      </c>
      <c r="H53" s="195">
        <v>395000</v>
      </c>
      <c r="I53" s="191"/>
      <c r="J53" s="194">
        <v>42638</v>
      </c>
      <c r="K53" s="196">
        <f>123502.1-2842.8+122644.67</f>
        <v>243303.97</v>
      </c>
      <c r="L53" s="197"/>
      <c r="M53" s="198">
        <f t="shared" si="3"/>
        <v>48.760000000009313</v>
      </c>
      <c r="N53" s="441"/>
      <c r="O53" s="88"/>
      <c r="P53" s="278"/>
    </row>
    <row r="54" spans="1:16" s="89" customFormat="1">
      <c r="A54" s="188" t="s">
        <v>17</v>
      </c>
      <c r="B54" s="189" t="s">
        <v>88</v>
      </c>
      <c r="C54" s="190">
        <v>42506</v>
      </c>
      <c r="D54" s="159" t="s">
        <v>19</v>
      </c>
      <c r="E54" s="192">
        <v>2902.8</v>
      </c>
      <c r="F54" s="193">
        <f>+E54*2.02365</f>
        <v>5874.2512200000001</v>
      </c>
      <c r="G54" s="286">
        <v>42630</v>
      </c>
      <c r="H54" s="195"/>
      <c r="I54" s="191"/>
      <c r="J54" s="197"/>
      <c r="K54" s="196">
        <f>2902.8-60</f>
        <v>2842.8</v>
      </c>
      <c r="L54" s="197"/>
      <c r="M54" s="198">
        <f t="shared" si="3"/>
        <v>60</v>
      </c>
      <c r="N54" s="441"/>
      <c r="O54" s="88"/>
    </row>
    <row r="55" spans="1:16" s="76" customFormat="1">
      <c r="A55" s="457" t="s">
        <v>15</v>
      </c>
      <c r="B55" s="458" t="s">
        <v>125</v>
      </c>
      <c r="C55" s="459">
        <v>42515</v>
      </c>
      <c r="D55" s="298" t="s">
        <v>16</v>
      </c>
      <c r="E55" s="460">
        <v>58025.49</v>
      </c>
      <c r="F55" s="461">
        <f>E55*2.28935</f>
        <v>132840.6555315</v>
      </c>
      <c r="G55" s="462">
        <f>+C55+90</f>
        <v>42605</v>
      </c>
      <c r="H55" s="297"/>
      <c r="I55" s="298"/>
      <c r="J55" s="393"/>
      <c r="K55" s="463">
        <f>12985.49+10960+11019+20163.57+2850</f>
        <v>57978.06</v>
      </c>
      <c r="L55" s="393"/>
      <c r="M55" s="464">
        <f t="shared" si="3"/>
        <v>47.430000000000291</v>
      </c>
      <c r="N55" s="391"/>
      <c r="O55" s="229"/>
    </row>
    <row r="56" spans="1:16" s="87" customFormat="1">
      <c r="A56" s="188" t="s">
        <v>17</v>
      </c>
      <c r="B56" s="189" t="s">
        <v>287</v>
      </c>
      <c r="C56" s="190">
        <v>42522</v>
      </c>
      <c r="D56" s="191" t="s">
        <v>19</v>
      </c>
      <c r="E56" s="192">
        <v>181444.41</v>
      </c>
      <c r="F56" s="193">
        <f>+E56*2.0914</f>
        <v>379472.83907400002</v>
      </c>
      <c r="G56" s="286">
        <v>42647</v>
      </c>
      <c r="H56" s="195"/>
      <c r="I56" s="191"/>
      <c r="J56" s="194"/>
      <c r="K56" s="196">
        <f>90963.81+91051.3-637.2</f>
        <v>181377.90999999997</v>
      </c>
      <c r="L56" s="197"/>
      <c r="M56" s="198">
        <f t="shared" si="3"/>
        <v>66.500000000029104</v>
      </c>
      <c r="N56" s="441"/>
      <c r="O56" s="224"/>
    </row>
    <row r="57" spans="1:16" s="87" customFormat="1">
      <c r="A57" s="188" t="s">
        <v>17</v>
      </c>
      <c r="B57" s="189" t="s">
        <v>288</v>
      </c>
      <c r="C57" s="190">
        <v>42522</v>
      </c>
      <c r="D57" s="191" t="s">
        <v>19</v>
      </c>
      <c r="E57" s="192">
        <v>637.20000000000005</v>
      </c>
      <c r="F57" s="193">
        <f>+E57*2.0914</f>
        <v>1332.6400800000001</v>
      </c>
      <c r="G57" s="286">
        <v>42647</v>
      </c>
      <c r="H57" s="195"/>
      <c r="I57" s="191"/>
      <c r="J57" s="197"/>
      <c r="K57" s="196">
        <v>637.20000000000005</v>
      </c>
      <c r="L57" s="197"/>
      <c r="M57" s="198">
        <f t="shared" si="3"/>
        <v>0</v>
      </c>
      <c r="N57" s="441"/>
      <c r="O57" s="224"/>
    </row>
    <row r="58" spans="1:16" s="87" customFormat="1">
      <c r="A58" s="188" t="s">
        <v>15</v>
      </c>
      <c r="B58" s="189" t="s">
        <v>289</v>
      </c>
      <c r="C58" s="190">
        <v>42523</v>
      </c>
      <c r="D58" s="191" t="s">
        <v>19</v>
      </c>
      <c r="E58" s="192">
        <v>32695.26</v>
      </c>
      <c r="F58" s="193">
        <f>+E58*2.1062</f>
        <v>68862.756611999997</v>
      </c>
      <c r="G58" s="286">
        <f>+C58+90</f>
        <v>42613</v>
      </c>
      <c r="H58" s="195"/>
      <c r="I58" s="191"/>
      <c r="J58" s="197"/>
      <c r="K58" s="196">
        <v>32614.76</v>
      </c>
      <c r="L58" s="197"/>
      <c r="M58" s="198">
        <f t="shared" si="3"/>
        <v>80.5</v>
      </c>
      <c r="N58" s="441"/>
      <c r="O58" s="224"/>
    </row>
    <row r="59" spans="1:16" s="76" customFormat="1">
      <c r="A59" s="457" t="s">
        <v>15</v>
      </c>
      <c r="B59" s="458" t="s">
        <v>290</v>
      </c>
      <c r="C59" s="459">
        <v>42527</v>
      </c>
      <c r="D59" s="298" t="s">
        <v>16</v>
      </c>
      <c r="E59" s="460">
        <v>33241.94</v>
      </c>
      <c r="F59" s="461">
        <f>+E59*2.34895</f>
        <v>78083.654963000008</v>
      </c>
      <c r="G59" s="462">
        <f>+C59+90</f>
        <v>42617</v>
      </c>
      <c r="H59" s="195"/>
      <c r="I59" s="298"/>
      <c r="J59" s="393"/>
      <c r="K59" s="463">
        <f>813.45+12225+20000</f>
        <v>33038.449999999997</v>
      </c>
      <c r="L59" s="393"/>
      <c r="M59" s="464">
        <f t="shared" si="3"/>
        <v>203.49000000000524</v>
      </c>
      <c r="N59" s="391"/>
      <c r="O59" s="229"/>
    </row>
    <row r="60" spans="1:16" s="77" customFormat="1">
      <c r="A60" s="457" t="s">
        <v>20</v>
      </c>
      <c r="B60" s="458" t="s">
        <v>284</v>
      </c>
      <c r="C60" s="459">
        <v>42528</v>
      </c>
      <c r="D60" s="298" t="s">
        <v>16</v>
      </c>
      <c r="E60" s="460">
        <v>249442.34</v>
      </c>
      <c r="F60" s="461">
        <f>+E60*2.3642</f>
        <v>589731.58022799995</v>
      </c>
      <c r="G60" s="462">
        <f>+C60+90</f>
        <v>42618</v>
      </c>
      <c r="H60" s="195"/>
      <c r="I60" s="298"/>
      <c r="J60" s="393"/>
      <c r="K60" s="463">
        <f>60000+39960+39950+25000+10000+25000+49500</f>
        <v>249410</v>
      </c>
      <c r="L60" s="393"/>
      <c r="M60" s="464">
        <f t="shared" si="3"/>
        <v>32.339999999996508</v>
      </c>
      <c r="N60" s="391"/>
      <c r="O60" s="62"/>
    </row>
    <row r="61" spans="1:16" s="77" customFormat="1">
      <c r="A61" s="457" t="s">
        <v>20</v>
      </c>
      <c r="B61" s="458" t="s">
        <v>301</v>
      </c>
      <c r="C61" s="459">
        <v>42552</v>
      </c>
      <c r="D61" s="298" t="s">
        <v>16</v>
      </c>
      <c r="E61" s="460">
        <v>247327.72</v>
      </c>
      <c r="F61" s="461">
        <f>+E61*2.43635</f>
        <v>602576.89062199998</v>
      </c>
      <c r="G61" s="462">
        <f>+C61+90</f>
        <v>42642</v>
      </c>
      <c r="H61" s="297">
        <v>485000</v>
      </c>
      <c r="I61" s="298"/>
      <c r="J61" s="299">
        <v>42648</v>
      </c>
      <c r="K61" s="463">
        <f>64922.5-49500+85000+59957+79548.68+7399.54</f>
        <v>247327.72</v>
      </c>
      <c r="L61" s="393"/>
      <c r="M61" s="464">
        <f t="shared" si="3"/>
        <v>0</v>
      </c>
      <c r="N61" s="391"/>
      <c r="O61" s="62"/>
    </row>
    <row r="62" spans="1:16" s="89" customFormat="1">
      <c r="A62" s="188" t="s">
        <v>17</v>
      </c>
      <c r="B62" s="189" t="s">
        <v>296</v>
      </c>
      <c r="C62" s="190">
        <v>42565</v>
      </c>
      <c r="D62" s="191" t="s">
        <v>19</v>
      </c>
      <c r="E62" s="192">
        <v>182006.54</v>
      </c>
      <c r="F62" s="193">
        <f>E62*2.20895</f>
        <v>402043.34653300006</v>
      </c>
      <c r="G62" s="286">
        <v>42698</v>
      </c>
      <c r="H62" s="195">
        <v>320000</v>
      </c>
      <c r="I62" s="191"/>
      <c r="J62" s="194">
        <v>42689</v>
      </c>
      <c r="K62" s="196">
        <f>72601.19+90445.6+18809.75</f>
        <v>181856.54</v>
      </c>
      <c r="L62" s="197"/>
      <c r="M62" s="198">
        <f t="shared" si="3"/>
        <v>150</v>
      </c>
      <c r="N62" s="441"/>
      <c r="O62" s="88"/>
    </row>
    <row r="63" spans="1:16" s="76" customFormat="1">
      <c r="A63" s="432" t="s">
        <v>15</v>
      </c>
      <c r="B63" s="430" t="s">
        <v>297</v>
      </c>
      <c r="C63" s="433">
        <v>42583</v>
      </c>
      <c r="D63" s="225" t="s">
        <v>16</v>
      </c>
      <c r="E63" s="434">
        <v>47822.32</v>
      </c>
      <c r="F63" s="431">
        <f>+E63*2.45605</f>
        <v>117454.00903599999</v>
      </c>
      <c r="G63" s="435">
        <f>+C63+90</f>
        <v>42673</v>
      </c>
      <c r="H63" s="226"/>
      <c r="I63" s="225"/>
      <c r="J63" s="227"/>
      <c r="K63" s="228">
        <v>10994.42</v>
      </c>
      <c r="L63" s="227"/>
      <c r="M63" s="282">
        <f t="shared" si="3"/>
        <v>36827.9</v>
      </c>
      <c r="N63" s="391"/>
      <c r="O63" s="229"/>
      <c r="P63" s="391"/>
    </row>
    <row r="64" spans="1:16" s="77" customFormat="1">
      <c r="A64" s="457" t="s">
        <v>20</v>
      </c>
      <c r="B64" s="458" t="s">
        <v>298</v>
      </c>
      <c r="C64" s="459">
        <v>42585</v>
      </c>
      <c r="D64" s="298" t="s">
        <v>16</v>
      </c>
      <c r="E64" s="460">
        <v>256710.39999999999</v>
      </c>
      <c r="F64" s="461">
        <f>+E64*2.45645</f>
        <v>630596.2620799999</v>
      </c>
      <c r="G64" s="462">
        <f>+C64+90</f>
        <v>42675</v>
      </c>
      <c r="H64" s="297"/>
      <c r="I64" s="298"/>
      <c r="J64" s="393"/>
      <c r="K64" s="463">
        <f>39965-7399.54+99975+99955+24214.94</f>
        <v>256710.39999999999</v>
      </c>
      <c r="L64" s="393"/>
      <c r="M64" s="464">
        <f t="shared" si="3"/>
        <v>0</v>
      </c>
      <c r="N64" s="391"/>
      <c r="O64" s="62"/>
    </row>
    <row r="65" spans="1:17" s="66" customFormat="1">
      <c r="A65" s="188" t="s">
        <v>21</v>
      </c>
      <c r="B65" s="189" t="s">
        <v>305</v>
      </c>
      <c r="C65" s="190">
        <v>42594</v>
      </c>
      <c r="D65" s="159" t="s">
        <v>19</v>
      </c>
      <c r="E65" s="192">
        <v>61609.599999999999</v>
      </c>
      <c r="F65" s="193">
        <f>+E65*2.20485</f>
        <v>135839.92655999999</v>
      </c>
      <c r="G65" s="286">
        <v>42692</v>
      </c>
      <c r="H65" s="297"/>
      <c r="I65" s="298"/>
      <c r="J65" s="299"/>
      <c r="K65" s="196">
        <v>61609.599999999999</v>
      </c>
      <c r="L65" s="197"/>
      <c r="M65" s="198">
        <f t="shared" ref="M65:M106" si="4">E65-K65</f>
        <v>0</v>
      </c>
      <c r="N65" s="357"/>
      <c r="O65" s="254"/>
    </row>
    <row r="66" spans="1:17" s="89" customFormat="1">
      <c r="A66" s="188" t="s">
        <v>17</v>
      </c>
      <c r="B66" s="189" t="s">
        <v>303</v>
      </c>
      <c r="C66" s="190">
        <v>42599</v>
      </c>
      <c r="D66" s="191" t="s">
        <v>19</v>
      </c>
      <c r="E66" s="192">
        <v>201518.23</v>
      </c>
      <c r="F66" s="193">
        <f>E66*2.18885</f>
        <v>441093.17773550004</v>
      </c>
      <c r="G66" s="286">
        <v>42722</v>
      </c>
      <c r="H66" s="297"/>
      <c r="I66" s="298"/>
      <c r="J66" s="393"/>
      <c r="K66" s="196">
        <f>90429.6+110873.72</f>
        <v>201303.32</v>
      </c>
      <c r="L66" s="197"/>
      <c r="M66" s="198">
        <f t="shared" si="4"/>
        <v>214.91000000000349</v>
      </c>
      <c r="N66" s="441"/>
      <c r="O66" s="88"/>
      <c r="P66" s="392"/>
    </row>
    <row r="67" spans="1:17" s="77" customFormat="1">
      <c r="A67" s="457" t="s">
        <v>20</v>
      </c>
      <c r="B67" s="458" t="s">
        <v>302</v>
      </c>
      <c r="C67" s="459">
        <v>42599</v>
      </c>
      <c r="D67" s="298" t="s">
        <v>16</v>
      </c>
      <c r="E67" s="460">
        <v>176779.1</v>
      </c>
      <c r="F67" s="461">
        <f>E67*2.4649</f>
        <v>435742.80359000002</v>
      </c>
      <c r="G67" s="462">
        <f>+C67+90</f>
        <v>42689</v>
      </c>
      <c r="H67" s="297"/>
      <c r="I67" s="298"/>
      <c r="J67" s="393"/>
      <c r="K67" s="463">
        <f>50000-24214.94+59950+24965+66079.04</f>
        <v>176779.09999999998</v>
      </c>
      <c r="L67" s="393"/>
      <c r="M67" s="464">
        <f t="shared" si="4"/>
        <v>0</v>
      </c>
      <c r="N67" s="391"/>
      <c r="O67" s="62"/>
    </row>
    <row r="68" spans="1:17" s="77" customFormat="1">
      <c r="A68" s="457" t="s">
        <v>20</v>
      </c>
      <c r="B68" s="458" t="s">
        <v>304</v>
      </c>
      <c r="C68" s="459">
        <v>42606</v>
      </c>
      <c r="D68" s="298" t="s">
        <v>16</v>
      </c>
      <c r="E68" s="460">
        <v>182078.8</v>
      </c>
      <c r="F68" s="461">
        <f>+E68*2.4651</f>
        <v>448842.44987999997</v>
      </c>
      <c r="G68" s="462">
        <f>+C68+90</f>
        <v>42696</v>
      </c>
      <c r="H68" s="297"/>
      <c r="I68" s="298"/>
      <c r="J68" s="393"/>
      <c r="K68" s="463">
        <f>86970-66079.04+44970+99975+16242.84</f>
        <v>182078.80000000002</v>
      </c>
      <c r="L68" s="393"/>
      <c r="M68" s="464">
        <f t="shared" si="4"/>
        <v>0</v>
      </c>
      <c r="N68" s="391"/>
      <c r="O68" s="62"/>
    </row>
    <row r="69" spans="1:17" s="89" customFormat="1">
      <c r="A69" s="188" t="s">
        <v>17</v>
      </c>
      <c r="B69" s="189" t="s">
        <v>306</v>
      </c>
      <c r="C69" s="190">
        <v>42619</v>
      </c>
      <c r="D69" s="191" t="s">
        <v>19</v>
      </c>
      <c r="E69" s="192">
        <v>201819.58</v>
      </c>
      <c r="F69" s="193">
        <f>+E69*2.19925</f>
        <v>443851.71131500002</v>
      </c>
      <c r="G69" s="286">
        <f>+C69+120</f>
        <v>42739</v>
      </c>
      <c r="H69" s="297"/>
      <c r="I69" s="298"/>
      <c r="J69" s="393"/>
      <c r="K69" s="196">
        <f>90445.6+111210.5</f>
        <v>201656.1</v>
      </c>
      <c r="L69" s="197"/>
      <c r="M69" s="198">
        <f t="shared" si="4"/>
        <v>163.47999999998137</v>
      </c>
      <c r="N69" s="441"/>
      <c r="O69" s="636"/>
      <c r="Q69" s="637"/>
    </row>
    <row r="70" spans="1:17" s="77" customFormat="1">
      <c r="A70" s="457" t="s">
        <v>20</v>
      </c>
      <c r="B70" s="458" t="s">
        <v>307</v>
      </c>
      <c r="C70" s="459">
        <v>42619</v>
      </c>
      <c r="D70" s="298" t="s">
        <v>16</v>
      </c>
      <c r="E70" s="460">
        <v>93763.1</v>
      </c>
      <c r="F70" s="461">
        <f>+E70*2.45675</f>
        <v>230352.49592500002</v>
      </c>
      <c r="G70" s="462">
        <f>+C70+90</f>
        <v>42709</v>
      </c>
      <c r="H70" s="297"/>
      <c r="I70" s="298"/>
      <c r="J70" s="393"/>
      <c r="K70" s="463">
        <f>49970-16242.84+60035.94</f>
        <v>93763.1</v>
      </c>
      <c r="L70" s="393"/>
      <c r="M70" s="464">
        <f t="shared" si="4"/>
        <v>0</v>
      </c>
      <c r="N70" s="391"/>
      <c r="O70" s="62"/>
      <c r="Q70" s="638"/>
    </row>
    <row r="71" spans="1:17" s="77" customFormat="1">
      <c r="A71" s="457" t="s">
        <v>20</v>
      </c>
      <c r="B71" s="458" t="s">
        <v>324</v>
      </c>
      <c r="C71" s="459">
        <v>42634</v>
      </c>
      <c r="D71" s="298" t="s">
        <v>9</v>
      </c>
      <c r="E71" s="460">
        <v>490473.728</v>
      </c>
      <c r="F71" s="461">
        <f>+E71</f>
        <v>490473.728</v>
      </c>
      <c r="G71" s="462">
        <f>+C71+90</f>
        <v>42724</v>
      </c>
      <c r="H71" s="297">
        <v>390000</v>
      </c>
      <c r="I71" s="298"/>
      <c r="J71" s="299">
        <v>42719</v>
      </c>
      <c r="K71" s="463">
        <v>483301.39899999998</v>
      </c>
      <c r="L71" s="393"/>
      <c r="M71" s="464">
        <f t="shared" si="4"/>
        <v>7172.329000000027</v>
      </c>
      <c r="N71" s="391"/>
      <c r="O71" s="62"/>
    </row>
    <row r="72" spans="1:17" s="89" customFormat="1">
      <c r="A72" s="188" t="s">
        <v>17</v>
      </c>
      <c r="B72" s="189" t="s">
        <v>327</v>
      </c>
      <c r="C72" s="190">
        <v>42646</v>
      </c>
      <c r="D72" s="191" t="s">
        <v>19</v>
      </c>
      <c r="E72" s="192">
        <v>206062.8</v>
      </c>
      <c r="F72" s="193">
        <f>+E72*2.1936</f>
        <v>452019.35807999998</v>
      </c>
      <c r="G72" s="286">
        <f>+C72+120</f>
        <v>42766</v>
      </c>
      <c r="H72" s="195"/>
      <c r="I72" s="191"/>
      <c r="J72" s="194"/>
      <c r="K72" s="196">
        <f>90445.6+62781.5+52565.5</f>
        <v>205792.6</v>
      </c>
      <c r="L72" s="197"/>
      <c r="M72" s="198">
        <f t="shared" si="4"/>
        <v>270.19999999998254</v>
      </c>
      <c r="N72" s="441"/>
      <c r="O72" s="88"/>
    </row>
    <row r="73" spans="1:17" s="77" customFormat="1">
      <c r="A73" s="457" t="s">
        <v>20</v>
      </c>
      <c r="B73" s="458" t="s">
        <v>326</v>
      </c>
      <c r="C73" s="459">
        <v>42647</v>
      </c>
      <c r="D73" s="298" t="s">
        <v>16</v>
      </c>
      <c r="E73" s="460">
        <v>90619.199999999997</v>
      </c>
      <c r="F73" s="461">
        <f>+E73*2.4659</f>
        <v>223457.88527999999</v>
      </c>
      <c r="G73" s="462">
        <f>+C73+90</f>
        <v>42737</v>
      </c>
      <c r="H73" s="297"/>
      <c r="I73" s="298"/>
      <c r="J73" s="299"/>
      <c r="K73" s="463">
        <f>99832.71-60035.94+50800</f>
        <v>90596.77</v>
      </c>
      <c r="L73" s="393"/>
      <c r="M73" s="464">
        <f t="shared" si="4"/>
        <v>22.429999999993015</v>
      </c>
      <c r="N73" s="391"/>
      <c r="O73" s="62"/>
    </row>
    <row r="74" spans="1:17" s="89" customFormat="1">
      <c r="A74" s="188" t="s">
        <v>17</v>
      </c>
      <c r="B74" s="189" t="s">
        <v>328</v>
      </c>
      <c r="C74" s="190">
        <v>42661</v>
      </c>
      <c r="D74" s="191" t="s">
        <v>19</v>
      </c>
      <c r="E74" s="192">
        <v>137375.20000000001</v>
      </c>
      <c r="F74" s="193">
        <f>E74*2.23355</f>
        <v>306834.37796000007</v>
      </c>
      <c r="G74" s="286">
        <f>+C74+120</f>
        <v>42781</v>
      </c>
      <c r="H74" s="195"/>
      <c r="I74" s="191"/>
      <c r="J74" s="194"/>
      <c r="K74" s="196">
        <f>60289.4+76922.5</f>
        <v>137211.9</v>
      </c>
      <c r="L74" s="197"/>
      <c r="M74" s="198">
        <f t="shared" si="4"/>
        <v>163.30000000001746</v>
      </c>
      <c r="N74" s="441"/>
      <c r="O74" s="88"/>
    </row>
    <row r="75" spans="1:17" s="77" customFormat="1">
      <c r="A75" s="457" t="s">
        <v>20</v>
      </c>
      <c r="B75" s="458" t="s">
        <v>329</v>
      </c>
      <c r="C75" s="459">
        <v>42667</v>
      </c>
      <c r="D75" s="298" t="s">
        <v>16</v>
      </c>
      <c r="E75" s="460">
        <v>275267.21999999997</v>
      </c>
      <c r="F75" s="461">
        <f>E75*2.4408</f>
        <v>671872.23057599994</v>
      </c>
      <c r="G75" s="462">
        <f>+C75+90</f>
        <v>42757</v>
      </c>
      <c r="H75" s="297"/>
      <c r="I75" s="298"/>
      <c r="J75" s="299"/>
      <c r="K75" s="463">
        <f>86880.37-50800+49880.54+99832.65+50000+39400</f>
        <v>275193.56</v>
      </c>
      <c r="L75" s="393"/>
      <c r="M75" s="464">
        <f t="shared" si="4"/>
        <v>73.659999999974389</v>
      </c>
      <c r="N75" s="391"/>
      <c r="O75" s="62"/>
    </row>
    <row r="76" spans="1:17" s="77" customFormat="1">
      <c r="A76" s="457" t="s">
        <v>20</v>
      </c>
      <c r="B76" s="458" t="s">
        <v>332</v>
      </c>
      <c r="C76" s="459">
        <v>42674</v>
      </c>
      <c r="D76" s="298" t="s">
        <v>16</v>
      </c>
      <c r="E76" s="460">
        <v>267067.84999999998</v>
      </c>
      <c r="F76" s="461">
        <f>E76*2.45085</f>
        <v>654543.24017249991</v>
      </c>
      <c r="G76" s="462">
        <f>C76+90</f>
        <v>42764</v>
      </c>
      <c r="H76" s="297"/>
      <c r="I76" s="298"/>
      <c r="J76" s="299"/>
      <c r="K76" s="463">
        <f>11960+49900+24900+89900+79950+10400</f>
        <v>267010</v>
      </c>
      <c r="L76" s="393"/>
      <c r="M76" s="464">
        <f t="shared" si="4"/>
        <v>57.849999999976717</v>
      </c>
      <c r="N76" s="391"/>
      <c r="O76" s="62"/>
    </row>
    <row r="77" spans="1:17" s="89" customFormat="1">
      <c r="A77" s="188" t="s">
        <v>21</v>
      </c>
      <c r="B77" s="189" t="s">
        <v>333</v>
      </c>
      <c r="C77" s="190">
        <v>42682</v>
      </c>
      <c r="D77" s="191" t="s">
        <v>19</v>
      </c>
      <c r="E77" s="192">
        <v>61851.199999999997</v>
      </c>
      <c r="F77" s="193">
        <f>+E77*2.22055</f>
        <v>137343.68215999997</v>
      </c>
      <c r="G77" s="286">
        <f>+C77+90</f>
        <v>42772</v>
      </c>
      <c r="H77" s="195"/>
      <c r="I77" s="191"/>
      <c r="J77" s="194"/>
      <c r="K77" s="196">
        <v>61851.199999999997</v>
      </c>
      <c r="L77" s="197"/>
      <c r="M77" s="198">
        <f t="shared" si="4"/>
        <v>0</v>
      </c>
      <c r="N77" s="441"/>
      <c r="O77" s="88"/>
    </row>
    <row r="78" spans="1:17" s="77" customFormat="1">
      <c r="A78" s="432" t="s">
        <v>15</v>
      </c>
      <c r="B78" s="430" t="s">
        <v>334</v>
      </c>
      <c r="C78" s="433">
        <v>42688</v>
      </c>
      <c r="D78" s="225" t="s">
        <v>16</v>
      </c>
      <c r="E78" s="434">
        <v>63212.1</v>
      </c>
      <c r="F78" s="431">
        <f>+E78*2.43455</f>
        <v>153893.01805500002</v>
      </c>
      <c r="G78" s="435">
        <f>+C78+60</f>
        <v>42748</v>
      </c>
      <c r="H78" s="226"/>
      <c r="I78" s="225"/>
      <c r="J78" s="436"/>
      <c r="K78" s="228"/>
      <c r="L78" s="227"/>
      <c r="M78" s="282">
        <f t="shared" si="4"/>
        <v>63212.1</v>
      </c>
      <c r="N78" s="391"/>
      <c r="O78" s="62"/>
    </row>
    <row r="79" spans="1:17" s="89" customFormat="1">
      <c r="A79" s="188" t="s">
        <v>17</v>
      </c>
      <c r="B79" s="189" t="s">
        <v>335</v>
      </c>
      <c r="C79" s="190">
        <v>42695</v>
      </c>
      <c r="D79" s="191" t="s">
        <v>19</v>
      </c>
      <c r="E79" s="192">
        <v>218812.7</v>
      </c>
      <c r="F79" s="193">
        <f>+E79*2.2844</f>
        <v>499855.73188000009</v>
      </c>
      <c r="G79" s="286">
        <f>+C79+120</f>
        <v>42815</v>
      </c>
      <c r="H79" s="195">
        <v>400000</v>
      </c>
      <c r="I79" s="191"/>
      <c r="J79" s="194">
        <v>42819</v>
      </c>
      <c r="K79" s="196">
        <f>90505.8+128142.5</f>
        <v>218648.3</v>
      </c>
      <c r="L79" s="197"/>
      <c r="M79" s="198">
        <f t="shared" si="4"/>
        <v>164.40000000002328</v>
      </c>
      <c r="N79" s="441"/>
      <c r="O79" s="390"/>
    </row>
    <row r="80" spans="1:17" s="89" customFormat="1">
      <c r="A80" s="214" t="s">
        <v>21</v>
      </c>
      <c r="B80" s="215" t="s">
        <v>344</v>
      </c>
      <c r="C80" s="216">
        <v>42703</v>
      </c>
      <c r="D80" s="221" t="s">
        <v>19</v>
      </c>
      <c r="E80" s="217">
        <v>60082</v>
      </c>
      <c r="F80" s="218">
        <f>+E80*2.2879</f>
        <v>137461.6078</v>
      </c>
      <c r="G80" s="219">
        <f>+C80+90</f>
        <v>42793</v>
      </c>
      <c r="H80" s="220"/>
      <c r="I80" s="221"/>
      <c r="J80" s="374"/>
      <c r="K80" s="222"/>
      <c r="L80" s="223"/>
      <c r="M80" s="281">
        <f t="shared" si="4"/>
        <v>60082</v>
      </c>
      <c r="N80" s="441"/>
      <c r="O80" s="88"/>
    </row>
    <row r="81" spans="1:17" s="77" customFormat="1">
      <c r="A81" s="457" t="s">
        <v>20</v>
      </c>
      <c r="B81" s="458" t="s">
        <v>349</v>
      </c>
      <c r="C81" s="459">
        <v>42714</v>
      </c>
      <c r="D81" s="298" t="s">
        <v>16</v>
      </c>
      <c r="E81" s="460">
        <v>189405.85</v>
      </c>
      <c r="F81" s="461">
        <f>+E81*2.42685</f>
        <v>459659.58707250003</v>
      </c>
      <c r="G81" s="462">
        <f>+C81+90</f>
        <v>42804</v>
      </c>
      <c r="H81" s="297"/>
      <c r="I81" s="298"/>
      <c r="J81" s="299"/>
      <c r="K81" s="463">
        <f>11585+24960+59900+21930+14930+27960+28100</f>
        <v>189365</v>
      </c>
      <c r="L81" s="393"/>
      <c r="M81" s="464">
        <f t="shared" si="4"/>
        <v>40.850000000005821</v>
      </c>
      <c r="N81" s="391"/>
      <c r="O81" s="62"/>
    </row>
    <row r="82" spans="1:17" s="77" customFormat="1">
      <c r="A82" s="457" t="s">
        <v>20</v>
      </c>
      <c r="B82" s="458" t="s">
        <v>350</v>
      </c>
      <c r="C82" s="459">
        <v>42731</v>
      </c>
      <c r="D82" s="298" t="s">
        <v>16</v>
      </c>
      <c r="E82" s="460">
        <v>288116.08</v>
      </c>
      <c r="F82" s="461">
        <f>+E82*2.41755</f>
        <v>696535.02920400002</v>
      </c>
      <c r="G82" s="462">
        <f>+C82+60</f>
        <v>42791</v>
      </c>
      <c r="H82" s="297"/>
      <c r="I82" s="298"/>
      <c r="J82" s="299"/>
      <c r="K82" s="463">
        <f>31982-28100+27930+26000+14982+21955+40955+45000+51000+39900+16500</f>
        <v>288104</v>
      </c>
      <c r="L82" s="393"/>
      <c r="M82" s="464">
        <f t="shared" si="4"/>
        <v>12.080000000016298</v>
      </c>
      <c r="N82" s="391"/>
      <c r="O82" s="62"/>
    </row>
    <row r="83" spans="1:17" s="89" customFormat="1">
      <c r="A83" s="188" t="s">
        <v>17</v>
      </c>
      <c r="B83" s="189" t="s">
        <v>395</v>
      </c>
      <c r="C83" s="190">
        <v>42733</v>
      </c>
      <c r="D83" s="191" t="s">
        <v>19</v>
      </c>
      <c r="E83" s="192">
        <v>145787.49</v>
      </c>
      <c r="F83" s="193">
        <f>+E83*2.31175</f>
        <v>337024.23000749998</v>
      </c>
      <c r="G83" s="286">
        <f>+C83+120</f>
        <v>42853</v>
      </c>
      <c r="H83" s="195"/>
      <c r="I83" s="191"/>
      <c r="J83" s="194"/>
      <c r="K83" s="196">
        <f>60280.4+85392</f>
        <v>145672.4</v>
      </c>
      <c r="L83" s="197"/>
      <c r="M83" s="198">
        <f t="shared" si="4"/>
        <v>115.08999999999651</v>
      </c>
      <c r="N83" s="441"/>
      <c r="O83" s="88"/>
    </row>
    <row r="84" spans="1:17" s="77" customFormat="1">
      <c r="A84" s="457" t="s">
        <v>20</v>
      </c>
      <c r="B84" s="458" t="s">
        <v>397</v>
      </c>
      <c r="C84" s="459">
        <v>42753</v>
      </c>
      <c r="D84" s="298" t="s">
        <v>16</v>
      </c>
      <c r="E84" s="460">
        <v>288576.96000000002</v>
      </c>
      <c r="F84" s="461">
        <f>+E84*2.42535</f>
        <v>699900.12993599998</v>
      </c>
      <c r="G84" s="462">
        <f>+C84+60</f>
        <v>42813</v>
      </c>
      <c r="H84" s="297"/>
      <c r="I84" s="298"/>
      <c r="J84" s="299"/>
      <c r="K84" s="463">
        <f>34000-16500+40000+35000+50500+10000+74500+54500+6500</f>
        <v>288500</v>
      </c>
      <c r="L84" s="393"/>
      <c r="M84" s="464">
        <f t="shared" si="4"/>
        <v>76.960000000020955</v>
      </c>
      <c r="N84" s="391"/>
      <c r="O84" s="62"/>
    </row>
    <row r="85" spans="1:17" s="77" customFormat="1">
      <c r="A85" s="457" t="s">
        <v>20</v>
      </c>
      <c r="B85" s="458" t="s">
        <v>398</v>
      </c>
      <c r="C85" s="459">
        <v>42772</v>
      </c>
      <c r="D85" s="298" t="s">
        <v>16</v>
      </c>
      <c r="E85" s="460">
        <v>90850.1</v>
      </c>
      <c r="F85" s="461">
        <f>+E85*2.4309</f>
        <v>220847.50808999999</v>
      </c>
      <c r="G85" s="462">
        <f>+C85+60</f>
        <v>42832</v>
      </c>
      <c r="H85" s="297"/>
      <c r="I85" s="298"/>
      <c r="J85" s="299"/>
      <c r="K85" s="463">
        <f>24600-6500+72500</f>
        <v>90600</v>
      </c>
      <c r="L85" s="393"/>
      <c r="M85" s="464">
        <f t="shared" si="4"/>
        <v>250.10000000000582</v>
      </c>
      <c r="N85" s="391"/>
      <c r="O85" s="62"/>
    </row>
    <row r="86" spans="1:17" s="89" customFormat="1">
      <c r="A86" s="188" t="s">
        <v>17</v>
      </c>
      <c r="B86" s="189" t="s">
        <v>401</v>
      </c>
      <c r="C86" s="190">
        <v>42786</v>
      </c>
      <c r="D86" s="191" t="s">
        <v>19</v>
      </c>
      <c r="E86" s="192">
        <v>152438.76999999999</v>
      </c>
      <c r="F86" s="193">
        <f>+E86*2.2847</f>
        <v>348276.85781899997</v>
      </c>
      <c r="G86" s="286">
        <f>+C86+120</f>
        <v>42906</v>
      </c>
      <c r="H86" s="195"/>
      <c r="I86" s="191"/>
      <c r="J86" s="194"/>
      <c r="K86" s="196">
        <f>60270.4+91998.5</f>
        <v>152268.9</v>
      </c>
      <c r="L86" s="197"/>
      <c r="M86" s="198">
        <f t="shared" si="4"/>
        <v>169.86999999999534</v>
      </c>
      <c r="N86" s="441"/>
      <c r="O86" s="88"/>
    </row>
    <row r="87" spans="1:17" s="77" customFormat="1">
      <c r="A87" s="457" t="s">
        <v>20</v>
      </c>
      <c r="B87" s="458" t="s">
        <v>423</v>
      </c>
      <c r="C87" s="459">
        <v>42786</v>
      </c>
      <c r="D87" s="298" t="s">
        <v>16</v>
      </c>
      <c r="E87" s="460">
        <v>103380.36</v>
      </c>
      <c r="F87" s="461">
        <f>+E87*2.41935</f>
        <v>250113.27396600001</v>
      </c>
      <c r="G87" s="462">
        <f>+C87+60</f>
        <v>42846</v>
      </c>
      <c r="H87" s="195"/>
      <c r="I87" s="298"/>
      <c r="J87" s="299"/>
      <c r="K87" s="463">
        <f>44000+59200</f>
        <v>103200</v>
      </c>
      <c r="L87" s="393"/>
      <c r="M87" s="464">
        <f t="shared" si="4"/>
        <v>180.36000000000058</v>
      </c>
      <c r="N87" s="391"/>
      <c r="O87" s="62"/>
    </row>
    <row r="88" spans="1:17" s="89" customFormat="1">
      <c r="A88" s="188" t="s">
        <v>17</v>
      </c>
      <c r="B88" s="189" t="s">
        <v>448</v>
      </c>
      <c r="C88" s="190">
        <v>42827</v>
      </c>
      <c r="D88" s="191" t="s">
        <v>19</v>
      </c>
      <c r="E88" s="192">
        <v>153807</v>
      </c>
      <c r="F88" s="193">
        <f>+E88*2.25845</f>
        <v>347365.41914999997</v>
      </c>
      <c r="G88" s="286">
        <f>+C88+120</f>
        <v>42947</v>
      </c>
      <c r="H88" s="195"/>
      <c r="I88" s="191"/>
      <c r="J88" s="194"/>
      <c r="K88" s="196">
        <f>60269.4+93352.5</f>
        <v>153621.9</v>
      </c>
      <c r="L88" s="197"/>
      <c r="M88" s="198">
        <f t="shared" si="4"/>
        <v>185.10000000000582</v>
      </c>
      <c r="N88" s="441"/>
      <c r="O88" s="88"/>
      <c r="Q88" s="572"/>
    </row>
    <row r="89" spans="1:17" s="77" customFormat="1">
      <c r="A89" s="457" t="s">
        <v>20</v>
      </c>
      <c r="B89" s="458" t="s">
        <v>449</v>
      </c>
      <c r="C89" s="459">
        <v>42823</v>
      </c>
      <c r="D89" s="298" t="s">
        <v>16</v>
      </c>
      <c r="E89" s="460">
        <v>294951.15000000002</v>
      </c>
      <c r="F89" s="461">
        <f>+E89*2.42915</f>
        <v>716480.58602250007</v>
      </c>
      <c r="G89" s="462">
        <f t="shared" ref="G89:G106" si="5">+C89+60</f>
        <v>42883</v>
      </c>
      <c r="H89" s="297"/>
      <c r="I89" s="298"/>
      <c r="J89" s="299"/>
      <c r="K89" s="463">
        <f>250000+44800</f>
        <v>294800</v>
      </c>
      <c r="L89" s="393"/>
      <c r="M89" s="464">
        <f t="shared" si="4"/>
        <v>151.15000000002328</v>
      </c>
      <c r="N89" s="391"/>
      <c r="O89" s="62"/>
      <c r="Q89" s="573"/>
    </row>
    <row r="90" spans="1:17" s="77" customFormat="1">
      <c r="A90" s="432" t="s">
        <v>15</v>
      </c>
      <c r="B90" s="430" t="s">
        <v>461</v>
      </c>
      <c r="C90" s="433">
        <v>42849</v>
      </c>
      <c r="D90" s="225" t="s">
        <v>16</v>
      </c>
      <c r="E90" s="434">
        <v>34976.019999999997</v>
      </c>
      <c r="F90" s="431">
        <f>+E90*2.48185</f>
        <v>86805.235237000001</v>
      </c>
      <c r="G90" s="435">
        <f t="shared" si="5"/>
        <v>42909</v>
      </c>
      <c r="H90" s="226"/>
      <c r="I90" s="225"/>
      <c r="J90" s="436"/>
      <c r="K90" s="228"/>
      <c r="L90" s="227"/>
      <c r="M90" s="282">
        <f t="shared" si="4"/>
        <v>34976.019999999997</v>
      </c>
      <c r="N90" s="391"/>
      <c r="O90" s="62"/>
    </row>
    <row r="91" spans="1:17" s="77" customFormat="1">
      <c r="A91" s="457" t="s">
        <v>20</v>
      </c>
      <c r="B91" s="458" t="s">
        <v>472</v>
      </c>
      <c r="C91" s="459">
        <v>42863</v>
      </c>
      <c r="D91" s="298" t="s">
        <v>16</v>
      </c>
      <c r="E91" s="460">
        <v>184309.16</v>
      </c>
      <c r="F91" s="461">
        <f>+E91*2.6311</f>
        <v>484935.83087599999</v>
      </c>
      <c r="G91" s="462">
        <f t="shared" si="5"/>
        <v>42923</v>
      </c>
      <c r="H91" s="297"/>
      <c r="I91" s="298"/>
      <c r="J91" s="299"/>
      <c r="K91" s="463">
        <f>36000+15000+95000+4000+34200</f>
        <v>184200</v>
      </c>
      <c r="L91" s="393"/>
      <c r="M91" s="464">
        <f t="shared" si="4"/>
        <v>109.16000000000349</v>
      </c>
      <c r="N91" s="391"/>
      <c r="O91" s="62"/>
    </row>
    <row r="92" spans="1:17" s="77" customFormat="1">
      <c r="A92" s="457" t="s">
        <v>20</v>
      </c>
      <c r="B92" s="458" t="s">
        <v>503</v>
      </c>
      <c r="C92" s="459">
        <v>42898</v>
      </c>
      <c r="D92" s="298" t="s">
        <v>16</v>
      </c>
      <c r="E92" s="460">
        <v>295149.58</v>
      </c>
      <c r="F92" s="461">
        <f>+E92*2.74135</f>
        <v>809108.30113300006</v>
      </c>
      <c r="G92" s="462">
        <f t="shared" si="5"/>
        <v>42958</v>
      </c>
      <c r="H92" s="297"/>
      <c r="I92" s="298"/>
      <c r="J92" s="299"/>
      <c r="K92" s="463">
        <f>70000-34200+86000+111000+62300</f>
        <v>295100</v>
      </c>
      <c r="L92" s="393"/>
      <c r="M92" s="464">
        <f t="shared" si="4"/>
        <v>49.580000000016298</v>
      </c>
      <c r="N92" s="391"/>
      <c r="O92" s="62"/>
    </row>
    <row r="93" spans="1:17" s="77" customFormat="1">
      <c r="A93" s="432" t="s">
        <v>15</v>
      </c>
      <c r="B93" s="430" t="s">
        <v>504</v>
      </c>
      <c r="C93" s="433">
        <v>42906</v>
      </c>
      <c r="D93" s="225" t="s">
        <v>16</v>
      </c>
      <c r="E93" s="434">
        <v>52992.7</v>
      </c>
      <c r="F93" s="431">
        <f>+E93*2.7377</f>
        <v>145078.11478999999</v>
      </c>
      <c r="G93" s="435">
        <f t="shared" si="5"/>
        <v>42966</v>
      </c>
      <c r="H93" s="226"/>
      <c r="I93" s="225"/>
      <c r="J93" s="436"/>
      <c r="K93" s="228"/>
      <c r="L93" s="227"/>
      <c r="M93" s="282">
        <f t="shared" si="4"/>
        <v>52992.7</v>
      </c>
      <c r="N93" s="391"/>
      <c r="O93" s="62"/>
    </row>
    <row r="94" spans="1:17" s="77" customFormat="1">
      <c r="A94" s="457" t="s">
        <v>20</v>
      </c>
      <c r="B94" s="458" t="s">
        <v>593</v>
      </c>
      <c r="C94" s="459">
        <v>42933</v>
      </c>
      <c r="D94" s="298" t="s">
        <v>16</v>
      </c>
      <c r="E94" s="460">
        <v>286403.78999999998</v>
      </c>
      <c r="F94" s="461">
        <f>+E94*2.7746</f>
        <v>794655.95573399996</v>
      </c>
      <c r="G94" s="462">
        <f t="shared" si="5"/>
        <v>42993</v>
      </c>
      <c r="H94" s="297"/>
      <c r="I94" s="298"/>
      <c r="J94" s="299"/>
      <c r="K94" s="463">
        <f>180000+47200+7500+51650</f>
        <v>286350</v>
      </c>
      <c r="L94" s="393"/>
      <c r="M94" s="464">
        <f t="shared" si="4"/>
        <v>53.789999999979045</v>
      </c>
      <c r="N94" s="391"/>
      <c r="O94" s="62"/>
    </row>
    <row r="95" spans="1:17" s="77" customFormat="1">
      <c r="A95" s="255" t="s">
        <v>20</v>
      </c>
      <c r="B95" s="256" t="s">
        <v>600</v>
      </c>
      <c r="C95" s="257">
        <v>42963</v>
      </c>
      <c r="D95" s="258" t="s">
        <v>16</v>
      </c>
      <c r="E95" s="259">
        <v>94511.3</v>
      </c>
      <c r="F95" s="260">
        <f>+E95*2.80685</f>
        <v>265279.04240500001</v>
      </c>
      <c r="G95" s="859">
        <f t="shared" si="5"/>
        <v>43023</v>
      </c>
      <c r="H95" s="279"/>
      <c r="I95" s="258"/>
      <c r="J95" s="280"/>
      <c r="K95" s="262">
        <f>125000-51650+21100</f>
        <v>94450</v>
      </c>
      <c r="L95" s="261"/>
      <c r="M95" s="283">
        <f t="shared" si="4"/>
        <v>61.30000000000291</v>
      </c>
      <c r="N95" s="391"/>
      <c r="O95" s="62"/>
    </row>
    <row r="96" spans="1:17" s="77" customFormat="1">
      <c r="A96" s="67" t="s">
        <v>20</v>
      </c>
      <c r="B96" s="68" t="s">
        <v>602</v>
      </c>
      <c r="C96" s="69">
        <v>42975</v>
      </c>
      <c r="D96" s="73" t="s">
        <v>16</v>
      </c>
      <c r="E96" s="70">
        <v>278132.68</v>
      </c>
      <c r="F96" s="71">
        <f>+E96*2.88515</f>
        <v>802454.50170199992</v>
      </c>
      <c r="G96" s="72">
        <f t="shared" si="5"/>
        <v>43035</v>
      </c>
      <c r="H96" s="253"/>
      <c r="I96" s="73"/>
      <c r="J96" s="252"/>
      <c r="K96" s="75">
        <f>100000-21100</f>
        <v>78900</v>
      </c>
      <c r="L96" s="74"/>
      <c r="M96" s="360">
        <f t="shared" si="4"/>
        <v>199232.68</v>
      </c>
      <c r="N96" s="391"/>
      <c r="O96" s="62"/>
    </row>
    <row r="97" spans="1:15" s="77" customFormat="1">
      <c r="A97" s="67" t="s">
        <v>20</v>
      </c>
      <c r="B97" s="68" t="s">
        <v>718</v>
      </c>
      <c r="C97" s="69">
        <v>43010</v>
      </c>
      <c r="D97" s="73" t="s">
        <v>16</v>
      </c>
      <c r="E97" s="70">
        <v>94696.34</v>
      </c>
      <c r="F97" s="71">
        <f>+E97*2.8948</f>
        <v>274126.96503199998</v>
      </c>
      <c r="G97" s="72">
        <f t="shared" si="5"/>
        <v>43070</v>
      </c>
      <c r="H97" s="253"/>
      <c r="I97" s="73"/>
      <c r="J97" s="252"/>
      <c r="K97" s="75"/>
      <c r="L97" s="74"/>
      <c r="M97" s="360">
        <f t="shared" si="4"/>
        <v>94696.34</v>
      </c>
      <c r="N97" s="391"/>
      <c r="O97" s="62"/>
    </row>
    <row r="98" spans="1:15" s="77" customFormat="1">
      <c r="A98" s="67" t="s">
        <v>20</v>
      </c>
      <c r="B98" s="68" t="s">
        <v>792</v>
      </c>
      <c r="C98" s="69">
        <v>43019</v>
      </c>
      <c r="D98" s="73" t="s">
        <v>16</v>
      </c>
      <c r="E98" s="70">
        <v>87025.13</v>
      </c>
      <c r="F98" s="71">
        <f>+E98*2.902</f>
        <v>252546.92726000003</v>
      </c>
      <c r="G98" s="72">
        <f t="shared" si="5"/>
        <v>43079</v>
      </c>
      <c r="H98" s="253"/>
      <c r="I98" s="73"/>
      <c r="J98" s="252"/>
      <c r="K98" s="75"/>
      <c r="L98" s="74"/>
      <c r="M98" s="360">
        <f t="shared" si="4"/>
        <v>87025.13</v>
      </c>
      <c r="N98" s="391"/>
      <c r="O98" s="62"/>
    </row>
    <row r="99" spans="1:15" s="77" customFormat="1">
      <c r="A99" s="67" t="s">
        <v>20</v>
      </c>
      <c r="B99" s="68" t="s">
        <v>832</v>
      </c>
      <c r="C99" s="69">
        <v>43026</v>
      </c>
      <c r="D99" s="73" t="s">
        <v>16</v>
      </c>
      <c r="E99" s="70">
        <v>98676.9</v>
      </c>
      <c r="F99" s="71">
        <f>+E99*2.89915</f>
        <v>286079.13463499997</v>
      </c>
      <c r="G99" s="72">
        <f t="shared" si="5"/>
        <v>43086</v>
      </c>
      <c r="H99" s="253"/>
      <c r="I99" s="73"/>
      <c r="J99" s="252"/>
      <c r="K99" s="75"/>
      <c r="L99" s="74"/>
      <c r="M99" s="360">
        <f t="shared" si="4"/>
        <v>98676.9</v>
      </c>
      <c r="N99" s="391"/>
      <c r="O99" s="62"/>
    </row>
    <row r="100" spans="1:15" s="77" customFormat="1">
      <c r="A100" s="67" t="s">
        <v>20</v>
      </c>
      <c r="B100" s="68" t="s">
        <v>833</v>
      </c>
      <c r="C100" s="69">
        <v>43031</v>
      </c>
      <c r="D100" s="73" t="s">
        <v>16</v>
      </c>
      <c r="E100" s="70">
        <v>90761.4</v>
      </c>
      <c r="F100" s="71">
        <f>+E100*2.9083</f>
        <v>263961.37962000002</v>
      </c>
      <c r="G100" s="72">
        <f t="shared" si="5"/>
        <v>43091</v>
      </c>
      <c r="H100" s="253"/>
      <c r="I100" s="73"/>
      <c r="J100" s="252"/>
      <c r="K100" s="75"/>
      <c r="L100" s="74"/>
      <c r="M100" s="360">
        <f t="shared" si="4"/>
        <v>90761.4</v>
      </c>
      <c r="N100" s="391"/>
      <c r="O100" s="62"/>
    </row>
    <row r="101" spans="1:15" s="77" customFormat="1">
      <c r="A101" s="67" t="s">
        <v>20</v>
      </c>
      <c r="B101" s="68" t="s">
        <v>893</v>
      </c>
      <c r="C101" s="69">
        <v>43035</v>
      </c>
      <c r="D101" s="73" t="s">
        <v>16</v>
      </c>
      <c r="E101" s="70">
        <v>101159.6</v>
      </c>
      <c r="F101" s="71">
        <f>+E101*2.9096</f>
        <v>294333.97216000006</v>
      </c>
      <c r="G101" s="72">
        <f t="shared" si="5"/>
        <v>43095</v>
      </c>
      <c r="H101" s="253"/>
      <c r="I101" s="73"/>
      <c r="J101" s="252"/>
      <c r="K101" s="75"/>
      <c r="L101" s="74"/>
      <c r="M101" s="360">
        <f t="shared" si="4"/>
        <v>101159.6</v>
      </c>
      <c r="N101" s="391"/>
      <c r="O101" s="62"/>
    </row>
    <row r="102" spans="1:15" s="77" customFormat="1">
      <c r="A102" s="67" t="s">
        <v>20</v>
      </c>
      <c r="B102" s="68" t="s">
        <v>895</v>
      </c>
      <c r="C102" s="69">
        <v>43041</v>
      </c>
      <c r="D102" s="73" t="s">
        <v>16</v>
      </c>
      <c r="E102" s="70">
        <v>101167.8</v>
      </c>
      <c r="F102" s="71">
        <f>+E102*2.8951</f>
        <v>292890.89778</v>
      </c>
      <c r="G102" s="72">
        <f t="shared" si="5"/>
        <v>43101</v>
      </c>
      <c r="H102" s="253"/>
      <c r="I102" s="73"/>
      <c r="J102" s="252"/>
      <c r="K102" s="75"/>
      <c r="L102" s="74"/>
      <c r="M102" s="360">
        <f t="shared" si="4"/>
        <v>101167.8</v>
      </c>
      <c r="N102" s="391"/>
      <c r="O102" s="62"/>
    </row>
    <row r="103" spans="1:15" s="77" customFormat="1">
      <c r="A103" s="67" t="s">
        <v>20</v>
      </c>
      <c r="B103" s="68" t="s">
        <v>935</v>
      </c>
      <c r="C103" s="69">
        <v>43048</v>
      </c>
      <c r="D103" s="73" t="s">
        <v>16</v>
      </c>
      <c r="E103" s="70">
        <v>96608.7</v>
      </c>
      <c r="F103" s="71">
        <f>+E103*2.8966</f>
        <v>279836.76041999995</v>
      </c>
      <c r="G103" s="72">
        <f t="shared" si="5"/>
        <v>43108</v>
      </c>
      <c r="H103" s="253"/>
      <c r="I103" s="73"/>
      <c r="J103" s="252"/>
      <c r="K103" s="75"/>
      <c r="L103" s="74"/>
      <c r="M103" s="360">
        <f t="shared" si="4"/>
        <v>96608.7</v>
      </c>
      <c r="N103" s="391"/>
      <c r="O103" s="62"/>
    </row>
    <row r="104" spans="1:15" s="77" customFormat="1">
      <c r="A104" s="67" t="s">
        <v>20</v>
      </c>
      <c r="B104" s="68" t="s">
        <v>1019</v>
      </c>
      <c r="C104" s="69">
        <v>43055</v>
      </c>
      <c r="D104" s="73" t="s">
        <v>16</v>
      </c>
      <c r="E104" s="70">
        <v>97238.05</v>
      </c>
      <c r="F104" s="71">
        <f>+E104*2.9226</f>
        <v>284187.92493000004</v>
      </c>
      <c r="G104" s="72">
        <f t="shared" si="5"/>
        <v>43115</v>
      </c>
      <c r="H104" s="253"/>
      <c r="I104" s="73"/>
      <c r="J104" s="252"/>
      <c r="K104" s="75"/>
      <c r="L104" s="74"/>
      <c r="M104" s="360">
        <f t="shared" si="4"/>
        <v>97238.05</v>
      </c>
      <c r="N104" s="391"/>
      <c r="O104" s="62"/>
    </row>
    <row r="105" spans="1:15" s="77" customFormat="1">
      <c r="A105" s="67" t="s">
        <v>20</v>
      </c>
      <c r="B105" s="68" t="s">
        <v>1041</v>
      </c>
      <c r="C105" s="69">
        <v>43060</v>
      </c>
      <c r="D105" s="73" t="s">
        <v>16</v>
      </c>
      <c r="E105" s="70">
        <v>98581.08</v>
      </c>
      <c r="F105" s="71">
        <f>+E105*2.9136</f>
        <v>287225.83468800003</v>
      </c>
      <c r="G105" s="72">
        <f t="shared" si="5"/>
        <v>43120</v>
      </c>
      <c r="H105" s="253"/>
      <c r="I105" s="73"/>
      <c r="J105" s="252"/>
      <c r="K105" s="75"/>
      <c r="L105" s="74"/>
      <c r="M105" s="360">
        <f t="shared" si="4"/>
        <v>98581.08</v>
      </c>
      <c r="N105" s="391"/>
      <c r="O105" s="62"/>
    </row>
    <row r="106" spans="1:15" s="77" customFormat="1">
      <c r="A106" s="67" t="s">
        <v>20</v>
      </c>
      <c r="B106" s="68" t="s">
        <v>1063</v>
      </c>
      <c r="C106" s="69">
        <v>43062</v>
      </c>
      <c r="D106" s="73" t="s">
        <v>16</v>
      </c>
      <c r="E106" s="70">
        <v>98946.8</v>
      </c>
      <c r="F106" s="71">
        <f>+E106*2.9144</f>
        <v>288370.55392000003</v>
      </c>
      <c r="G106" s="72">
        <f t="shared" si="5"/>
        <v>43122</v>
      </c>
      <c r="H106" s="253"/>
      <c r="I106" s="73"/>
      <c r="J106" s="252"/>
      <c r="K106" s="75"/>
      <c r="L106" s="74"/>
      <c r="M106" s="360">
        <f t="shared" si="4"/>
        <v>98946.8</v>
      </c>
      <c r="N106" s="391"/>
      <c r="O106" s="62"/>
    </row>
    <row r="107" spans="1:15" s="77" customFormat="1" ht="13.5" thickBot="1">
      <c r="A107" s="78"/>
      <c r="B107" s="79"/>
      <c r="C107" s="80"/>
      <c r="D107" s="80"/>
      <c r="E107" s="81"/>
      <c r="F107" s="82"/>
      <c r="G107" s="83"/>
      <c r="H107" s="84"/>
      <c r="I107" s="80"/>
      <c r="J107" s="85"/>
      <c r="K107" s="86"/>
      <c r="L107" s="85"/>
      <c r="M107" s="389"/>
      <c r="N107" s="391"/>
      <c r="O107" s="62"/>
    </row>
    <row r="108" spans="1:15" ht="13.5" thickBot="1">
      <c r="G108" s="303"/>
    </row>
    <row r="109" spans="1:15" ht="13.5" thickBot="1">
      <c r="A109" s="913" t="s">
        <v>0</v>
      </c>
      <c r="B109" s="911" t="s">
        <v>1</v>
      </c>
      <c r="C109" s="911"/>
      <c r="D109" s="911"/>
      <c r="E109" s="911"/>
      <c r="F109" s="911"/>
      <c r="G109" s="911"/>
      <c r="H109" s="912" t="s">
        <v>2</v>
      </c>
      <c r="I109" s="912"/>
      <c r="J109" s="912"/>
      <c r="K109" s="912" t="s">
        <v>3</v>
      </c>
      <c r="L109" s="912"/>
      <c r="M109" s="913" t="s">
        <v>4</v>
      </c>
    </row>
    <row r="110" spans="1:15" ht="13.5" thickBot="1">
      <c r="A110" s="913"/>
      <c r="B110" s="523" t="s">
        <v>5</v>
      </c>
      <c r="C110" s="523" t="s">
        <v>6</v>
      </c>
      <c r="D110" s="523" t="s">
        <v>7</v>
      </c>
      <c r="E110" s="31" t="s">
        <v>8</v>
      </c>
      <c r="F110" s="28" t="s">
        <v>9</v>
      </c>
      <c r="G110" s="524" t="s">
        <v>10</v>
      </c>
      <c r="H110" s="28" t="s">
        <v>11</v>
      </c>
      <c r="I110" s="523" t="s">
        <v>12</v>
      </c>
      <c r="J110" s="524" t="s">
        <v>13</v>
      </c>
      <c r="K110" s="31" t="s">
        <v>11</v>
      </c>
      <c r="L110" s="524" t="s">
        <v>14</v>
      </c>
      <c r="M110" s="913"/>
    </row>
    <row r="111" spans="1:15" s="26" customFormat="1">
      <c r="A111" s="457" t="s">
        <v>581</v>
      </c>
      <c r="B111" s="458" t="s">
        <v>582</v>
      </c>
      <c r="C111" s="459">
        <v>42922</v>
      </c>
      <c r="D111" s="298" t="s">
        <v>16</v>
      </c>
      <c r="E111" s="460">
        <v>16500</v>
      </c>
      <c r="F111" s="461">
        <f>+E111*2.75975</f>
        <v>45535.875</v>
      </c>
      <c r="G111" s="299">
        <f t="shared" ref="G111:G123" si="6">+C111+60</f>
        <v>42982</v>
      </c>
      <c r="H111" s="297"/>
      <c r="I111" s="459"/>
      <c r="J111" s="299"/>
      <c r="K111" s="463">
        <v>16448</v>
      </c>
      <c r="L111" s="393"/>
      <c r="M111" s="464">
        <f>E111-K111</f>
        <v>52</v>
      </c>
      <c r="N111" s="443"/>
      <c r="O111" s="771"/>
    </row>
    <row r="112" spans="1:15" s="26" customFormat="1">
      <c r="A112" s="457" t="s">
        <v>581</v>
      </c>
      <c r="B112" s="458" t="s">
        <v>583</v>
      </c>
      <c r="C112" s="459">
        <v>42929</v>
      </c>
      <c r="D112" s="298" t="s">
        <v>16</v>
      </c>
      <c r="E112" s="460">
        <v>6020</v>
      </c>
      <c r="F112" s="461">
        <f>+E112*2.77865</f>
        <v>16727.472999999998</v>
      </c>
      <c r="G112" s="299">
        <f t="shared" si="6"/>
        <v>42989</v>
      </c>
      <c r="H112" s="297"/>
      <c r="I112" s="459"/>
      <c r="J112" s="299"/>
      <c r="K112" s="463">
        <v>6000</v>
      </c>
      <c r="L112" s="393"/>
      <c r="M112" s="464">
        <f t="shared" ref="M112:M123" si="7">E112-K112</f>
        <v>20</v>
      </c>
      <c r="N112" s="443"/>
      <c r="O112" s="526"/>
    </row>
    <row r="113" spans="1:15" s="26" customFormat="1">
      <c r="A113" s="527" t="s">
        <v>581</v>
      </c>
      <c r="B113" s="397" t="s">
        <v>584</v>
      </c>
      <c r="C113" s="528">
        <v>42936</v>
      </c>
      <c r="D113" s="529" t="s">
        <v>16</v>
      </c>
      <c r="E113" s="530">
        <v>16500</v>
      </c>
      <c r="F113" s="400">
        <f>+E113*2.78795</f>
        <v>46001.174999999996</v>
      </c>
      <c r="G113" s="531">
        <f t="shared" si="6"/>
        <v>42996</v>
      </c>
      <c r="H113" s="532"/>
      <c r="I113" s="528"/>
      <c r="J113" s="531"/>
      <c r="K113" s="533">
        <f>6500</f>
        <v>6500</v>
      </c>
      <c r="L113" s="534"/>
      <c r="M113" s="535">
        <f t="shared" si="7"/>
        <v>10000</v>
      </c>
      <c r="N113" s="443"/>
      <c r="O113" s="526"/>
    </row>
    <row r="114" spans="1:15" s="26" customFormat="1">
      <c r="A114" s="527" t="s">
        <v>581</v>
      </c>
      <c r="B114" s="397" t="s">
        <v>585</v>
      </c>
      <c r="C114" s="528">
        <v>42951</v>
      </c>
      <c r="D114" s="529" t="s">
        <v>16</v>
      </c>
      <c r="E114" s="530">
        <v>11215</v>
      </c>
      <c r="F114" s="400">
        <f>+E114*2.81145</f>
        <v>31530.411749999999</v>
      </c>
      <c r="G114" s="531">
        <f t="shared" si="6"/>
        <v>43011</v>
      </c>
      <c r="H114" s="532"/>
      <c r="I114" s="528"/>
      <c r="J114" s="531"/>
      <c r="K114" s="533"/>
      <c r="L114" s="534"/>
      <c r="M114" s="535">
        <f t="shared" si="7"/>
        <v>11215</v>
      </c>
      <c r="N114" s="443"/>
      <c r="O114" s="526"/>
    </row>
    <row r="115" spans="1:15" s="26" customFormat="1">
      <c r="A115" s="527" t="s">
        <v>581</v>
      </c>
      <c r="B115" s="397" t="s">
        <v>599</v>
      </c>
      <c r="C115" s="528">
        <v>42958</v>
      </c>
      <c r="D115" s="529" t="s">
        <v>16</v>
      </c>
      <c r="E115" s="530">
        <v>8140</v>
      </c>
      <c r="F115" s="400">
        <f>+E115*2.80365</f>
        <v>22821.711000000003</v>
      </c>
      <c r="G115" s="531">
        <f t="shared" si="6"/>
        <v>43018</v>
      </c>
      <c r="H115" s="532"/>
      <c r="I115" s="528"/>
      <c r="J115" s="531"/>
      <c r="K115" s="533"/>
      <c r="L115" s="534"/>
      <c r="M115" s="535">
        <f t="shared" si="7"/>
        <v>8140</v>
      </c>
      <c r="N115" s="443"/>
      <c r="O115" s="526"/>
    </row>
    <row r="116" spans="1:15" s="26" customFormat="1">
      <c r="A116" s="527" t="s">
        <v>581</v>
      </c>
      <c r="B116" s="397" t="s">
        <v>601</v>
      </c>
      <c r="C116" s="528">
        <v>42965</v>
      </c>
      <c r="D116" s="529" t="s">
        <v>16</v>
      </c>
      <c r="E116" s="530">
        <v>15050</v>
      </c>
      <c r="F116" s="400">
        <f>+E116*2.80865</f>
        <v>42270.182500000003</v>
      </c>
      <c r="G116" s="531">
        <f t="shared" si="6"/>
        <v>43025</v>
      </c>
      <c r="H116" s="532"/>
      <c r="I116" s="528"/>
      <c r="J116" s="531"/>
      <c r="K116" s="533"/>
      <c r="L116" s="534"/>
      <c r="M116" s="535">
        <f t="shared" si="7"/>
        <v>15050</v>
      </c>
      <c r="N116" s="443"/>
      <c r="O116" s="526"/>
    </row>
    <row r="117" spans="1:15" s="26" customFormat="1">
      <c r="A117" s="527" t="s">
        <v>581</v>
      </c>
      <c r="B117" s="397" t="s">
        <v>603</v>
      </c>
      <c r="C117" s="528">
        <v>42977</v>
      </c>
      <c r="D117" s="529" t="s">
        <v>16</v>
      </c>
      <c r="E117" s="530">
        <v>30250</v>
      </c>
      <c r="F117" s="400">
        <f>+E117*2.889</f>
        <v>87392.25</v>
      </c>
      <c r="G117" s="531">
        <f t="shared" si="6"/>
        <v>43037</v>
      </c>
      <c r="H117" s="532"/>
      <c r="I117" s="528"/>
      <c r="J117" s="531"/>
      <c r="K117" s="533"/>
      <c r="L117" s="534"/>
      <c r="M117" s="535">
        <f t="shared" si="7"/>
        <v>30250</v>
      </c>
      <c r="N117" s="443"/>
      <c r="O117" s="526"/>
    </row>
    <row r="118" spans="1:15" s="26" customFormat="1">
      <c r="A118" s="527" t="s">
        <v>581</v>
      </c>
      <c r="B118" s="397" t="s">
        <v>655</v>
      </c>
      <c r="C118" s="528">
        <v>42985</v>
      </c>
      <c r="D118" s="529" t="s">
        <v>16</v>
      </c>
      <c r="E118" s="530">
        <v>7200</v>
      </c>
      <c r="F118" s="400">
        <f>E118*2.893</f>
        <v>20829.599999999999</v>
      </c>
      <c r="G118" s="531">
        <f t="shared" si="6"/>
        <v>43045</v>
      </c>
      <c r="H118" s="532"/>
      <c r="I118" s="528"/>
      <c r="J118" s="531"/>
      <c r="K118" s="533"/>
      <c r="L118" s="534"/>
      <c r="M118" s="535">
        <f t="shared" si="7"/>
        <v>7200</v>
      </c>
      <c r="N118" s="443"/>
      <c r="O118" s="526"/>
    </row>
    <row r="119" spans="1:15" s="26" customFormat="1">
      <c r="A119" s="527" t="s">
        <v>581</v>
      </c>
      <c r="B119" s="397" t="s">
        <v>656</v>
      </c>
      <c r="C119" s="528">
        <v>42992</v>
      </c>
      <c r="D119" s="529" t="s">
        <v>16</v>
      </c>
      <c r="E119" s="530">
        <v>34946.269999999997</v>
      </c>
      <c r="F119" s="400">
        <f>+E119*2.899</f>
        <v>101309.23672999999</v>
      </c>
      <c r="G119" s="531">
        <f t="shared" si="6"/>
        <v>43052</v>
      </c>
      <c r="H119" s="532"/>
      <c r="I119" s="528"/>
      <c r="J119" s="531"/>
      <c r="K119" s="533"/>
      <c r="L119" s="534"/>
      <c r="M119" s="535">
        <f t="shared" si="7"/>
        <v>34946.269999999997</v>
      </c>
      <c r="N119" s="443"/>
      <c r="O119" s="526"/>
    </row>
    <row r="120" spans="1:15" s="26" customFormat="1">
      <c r="A120" s="527" t="s">
        <v>581</v>
      </c>
      <c r="B120" s="397" t="s">
        <v>782</v>
      </c>
      <c r="C120" s="528">
        <v>43006</v>
      </c>
      <c r="D120" s="529" t="s">
        <v>16</v>
      </c>
      <c r="E120" s="530">
        <v>44550</v>
      </c>
      <c r="F120" s="400">
        <f>+E120*2.893</f>
        <v>128883.15</v>
      </c>
      <c r="G120" s="531">
        <f t="shared" si="6"/>
        <v>43066</v>
      </c>
      <c r="H120" s="532"/>
      <c r="I120" s="528"/>
      <c r="J120" s="531"/>
      <c r="K120" s="533"/>
      <c r="L120" s="534"/>
      <c r="M120" s="535">
        <f t="shared" si="7"/>
        <v>44550</v>
      </c>
      <c r="N120" s="443"/>
      <c r="O120" s="526"/>
    </row>
    <row r="121" spans="1:15" s="26" customFormat="1">
      <c r="A121" s="527" t="s">
        <v>581</v>
      </c>
      <c r="B121" s="397" t="s">
        <v>793</v>
      </c>
      <c r="C121" s="528">
        <v>43019</v>
      </c>
      <c r="D121" s="529" t="s">
        <v>16</v>
      </c>
      <c r="E121" s="530">
        <v>27337.5</v>
      </c>
      <c r="F121" s="400">
        <f>+E121*2.9093</f>
        <v>79532.988750000004</v>
      </c>
      <c r="G121" s="531">
        <f t="shared" si="6"/>
        <v>43079</v>
      </c>
      <c r="H121" s="532"/>
      <c r="I121" s="528"/>
      <c r="J121" s="531"/>
      <c r="K121" s="533"/>
      <c r="L121" s="534"/>
      <c r="M121" s="535">
        <f t="shared" si="7"/>
        <v>27337.5</v>
      </c>
      <c r="N121" s="443"/>
      <c r="O121" s="526"/>
    </row>
    <row r="122" spans="1:15" s="26" customFormat="1">
      <c r="A122" s="527" t="s">
        <v>581</v>
      </c>
      <c r="B122" s="397" t="s">
        <v>892</v>
      </c>
      <c r="C122" s="528">
        <v>43034</v>
      </c>
      <c r="D122" s="529" t="s">
        <v>16</v>
      </c>
      <c r="E122" s="530">
        <v>15386.35</v>
      </c>
      <c r="F122" s="400">
        <f>+E122*2.9096</f>
        <v>44768.123960000004</v>
      </c>
      <c r="G122" s="531">
        <f t="shared" si="6"/>
        <v>43094</v>
      </c>
      <c r="H122" s="532"/>
      <c r="I122" s="528"/>
      <c r="J122" s="531"/>
      <c r="K122" s="533"/>
      <c r="L122" s="534"/>
      <c r="M122" s="535">
        <f t="shared" si="7"/>
        <v>15386.35</v>
      </c>
      <c r="N122" s="443"/>
      <c r="O122" s="526"/>
    </row>
    <row r="123" spans="1:15" s="26" customFormat="1">
      <c r="A123" s="457" t="s">
        <v>581</v>
      </c>
      <c r="B123" s="458" t="s">
        <v>1020</v>
      </c>
      <c r="C123" s="459">
        <v>43054</v>
      </c>
      <c r="D123" s="298" t="s">
        <v>16</v>
      </c>
      <c r="E123" s="460">
        <v>13053.6</v>
      </c>
      <c r="F123" s="461">
        <f>+E123*2.9226</f>
        <v>38150.451359999999</v>
      </c>
      <c r="G123" s="299">
        <f t="shared" si="6"/>
        <v>43114</v>
      </c>
      <c r="H123" s="297"/>
      <c r="I123" s="459"/>
      <c r="J123" s="299"/>
      <c r="K123" s="463">
        <v>13053.6</v>
      </c>
      <c r="L123" s="393"/>
      <c r="M123" s="464">
        <f t="shared" si="7"/>
        <v>0</v>
      </c>
      <c r="N123" s="443"/>
      <c r="O123" s="526"/>
    </row>
    <row r="124" spans="1:15" ht="13.5" thickBot="1">
      <c r="A124" s="9"/>
      <c r="B124" s="10"/>
      <c r="C124" s="11"/>
      <c r="D124" s="12"/>
      <c r="E124" s="13"/>
      <c r="F124" s="14"/>
      <c r="G124" s="15"/>
      <c r="H124" s="16"/>
      <c r="I124" s="11"/>
      <c r="J124" s="15"/>
      <c r="K124" s="17"/>
      <c r="L124" s="18"/>
      <c r="M124" s="19"/>
    </row>
    <row r="125" spans="1:15" ht="13.5" thickBot="1">
      <c r="G125" s="302"/>
    </row>
    <row r="126" spans="1:15" ht="13.5" thickBot="1">
      <c r="B126" s="275" t="s">
        <v>47</v>
      </c>
      <c r="C126" s="525" t="s">
        <v>48</v>
      </c>
      <c r="D126" s="903" t="s">
        <v>9</v>
      </c>
      <c r="E126" s="904"/>
    </row>
    <row r="127" spans="1:15">
      <c r="A127" s="268" t="s">
        <v>20</v>
      </c>
      <c r="B127" s="273"/>
      <c r="C127" s="274"/>
      <c r="D127" s="907"/>
      <c r="E127" s="908"/>
    </row>
    <row r="128" spans="1:15">
      <c r="A128" s="269">
        <v>2016</v>
      </c>
      <c r="B128" s="263">
        <v>0</v>
      </c>
      <c r="C128" s="264"/>
      <c r="D128" s="897"/>
      <c r="E128" s="898"/>
    </row>
    <row r="129" spans="1:13">
      <c r="A129" s="270">
        <v>2017</v>
      </c>
      <c r="B129" s="263">
        <f>M96+M97+M98+M99+M100+M101+M102+M103+M104+M105+M106</f>
        <v>1164094.4800000002</v>
      </c>
      <c r="C129" s="264"/>
      <c r="D129" s="905">
        <v>0</v>
      </c>
      <c r="E129" s="906"/>
    </row>
    <row r="130" spans="1:13">
      <c r="A130" s="8" t="s">
        <v>15</v>
      </c>
      <c r="B130" s="263">
        <f>+M63+M78+M90+M93</f>
        <v>188008.71999999997</v>
      </c>
      <c r="C130" s="265">
        <v>0</v>
      </c>
      <c r="D130" s="897"/>
      <c r="E130" s="898"/>
    </row>
    <row r="131" spans="1:13">
      <c r="A131" s="8" t="s">
        <v>17</v>
      </c>
      <c r="B131" s="266"/>
      <c r="C131" s="267">
        <f>M23+M26</f>
        <v>110518.19</v>
      </c>
      <c r="D131" s="897"/>
      <c r="E131" s="898"/>
    </row>
    <row r="132" spans="1:13">
      <c r="A132" s="446" t="s">
        <v>500</v>
      </c>
      <c r="B132" s="454">
        <f>M113+M114+M115+M116+M117+M118+M119+M120+M121+M122</f>
        <v>204075.12</v>
      </c>
      <c r="C132" s="451"/>
      <c r="D132" s="897"/>
      <c r="E132" s="898"/>
    </row>
    <row r="133" spans="1:13" ht="13.5" thickBot="1">
      <c r="A133" s="9" t="s">
        <v>325</v>
      </c>
      <c r="B133" s="10"/>
      <c r="C133" s="13">
        <f>+M80</f>
        <v>60082</v>
      </c>
      <c r="D133" s="899"/>
      <c r="E133" s="900"/>
    </row>
    <row r="134" spans="1:13" ht="13.5" thickBot="1">
      <c r="B134" s="271">
        <f>SUM(B127:B133)</f>
        <v>1556178.3200000003</v>
      </c>
      <c r="C134" s="272">
        <f>SUM(C127:C133)</f>
        <v>170600.19</v>
      </c>
      <c r="D134" s="901">
        <f>SUM(D127:D133)</f>
        <v>0</v>
      </c>
      <c r="E134" s="902"/>
    </row>
    <row r="136" spans="1:13">
      <c r="B136" s="3"/>
      <c r="C136" s="3"/>
    </row>
    <row r="137" spans="1:13">
      <c r="B137" s="2"/>
    </row>
    <row r="142" spans="1:13">
      <c r="M142" s="786"/>
    </row>
  </sheetData>
  <autoFilter ref="A1:A134"/>
  <mergeCells count="24">
    <mergeCell ref="A109:A110"/>
    <mergeCell ref="B109:G109"/>
    <mergeCell ref="H109:J109"/>
    <mergeCell ref="K109:L109"/>
    <mergeCell ref="M109:M110"/>
    <mergeCell ref="A2:A3"/>
    <mergeCell ref="B2:G2"/>
    <mergeCell ref="H2:J2"/>
    <mergeCell ref="K2:L2"/>
    <mergeCell ref="M2:M3"/>
    <mergeCell ref="A29:A30"/>
    <mergeCell ref="B29:G29"/>
    <mergeCell ref="H29:J29"/>
    <mergeCell ref="K29:L29"/>
    <mergeCell ref="M29:M30"/>
    <mergeCell ref="D131:E131"/>
    <mergeCell ref="D133:E133"/>
    <mergeCell ref="D134:E134"/>
    <mergeCell ref="D126:E126"/>
    <mergeCell ref="D129:E129"/>
    <mergeCell ref="D127:E127"/>
    <mergeCell ref="D128:E128"/>
    <mergeCell ref="D130:E130"/>
    <mergeCell ref="D132:E132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  <ignoredErrors>
    <ignoredError sqref="F40 G44 G69 G72:G74 G76 G83 G86:G88 G19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3:L26"/>
  <sheetViews>
    <sheetView workbookViewId="0">
      <selection activeCell="C7" sqref="C7"/>
    </sheetView>
  </sheetViews>
  <sheetFormatPr baseColWidth="10" defaultRowHeight="15"/>
  <cols>
    <col min="1" max="1" width="10.5703125" bestFit="1" customWidth="1"/>
    <col min="2" max="2" width="12.5703125" bestFit="1" customWidth="1"/>
    <col min="3" max="3" width="17.85546875" bestFit="1" customWidth="1"/>
    <col min="4" max="4" width="11.5703125" bestFit="1" customWidth="1"/>
    <col min="5" max="5" width="17.42578125" bestFit="1" customWidth="1"/>
    <col min="6" max="7" width="10.7109375" bestFit="1" customWidth="1"/>
    <col min="8" max="8" width="43.28515625" bestFit="1" customWidth="1"/>
  </cols>
  <sheetData>
    <row r="3" spans="1:9" ht="18.75">
      <c r="A3" s="914" t="s">
        <v>122</v>
      </c>
      <c r="B3" s="914"/>
      <c r="C3" s="914"/>
      <c r="D3" s="914"/>
      <c r="E3" s="914"/>
      <c r="F3" s="914"/>
      <c r="G3" s="914"/>
      <c r="H3" s="914"/>
    </row>
    <row r="4" spans="1:9" ht="15.75">
      <c r="A4" s="915" t="s">
        <v>363</v>
      </c>
      <c r="B4" s="915"/>
      <c r="C4" s="915"/>
      <c r="D4" s="915"/>
      <c r="E4" s="915"/>
      <c r="F4" s="915"/>
      <c r="G4" s="915"/>
      <c r="H4" s="915"/>
    </row>
    <row r="5" spans="1:9" ht="15.75" thickBot="1"/>
    <row r="6" spans="1:9" ht="15.75" thickBot="1">
      <c r="B6" s="131" t="s">
        <v>121</v>
      </c>
      <c r="C6" s="130" t="s">
        <v>120</v>
      </c>
      <c r="D6" s="129" t="s">
        <v>119</v>
      </c>
      <c r="E6" s="128" t="s">
        <v>118</v>
      </c>
      <c r="F6" s="127" t="s">
        <v>117</v>
      </c>
      <c r="G6" s="127" t="s">
        <v>10</v>
      </c>
      <c r="H6" s="126" t="s">
        <v>116</v>
      </c>
    </row>
    <row r="7" spans="1:9" s="116" customFormat="1" ht="15.75" thickBot="1">
      <c r="A7" s="560" t="s">
        <v>115</v>
      </c>
      <c r="B7" s="561" t="s">
        <v>59</v>
      </c>
      <c r="C7" s="562">
        <v>108049.32</v>
      </c>
      <c r="D7" s="563">
        <v>2.84</v>
      </c>
      <c r="E7" s="564">
        <f>+C7*D7</f>
        <v>306860.06880000001</v>
      </c>
      <c r="F7" s="565">
        <v>42702</v>
      </c>
      <c r="G7" s="566">
        <v>42974</v>
      </c>
      <c r="H7" s="567" t="s">
        <v>454</v>
      </c>
    </row>
    <row r="8" spans="1:9" ht="15.75" thickBot="1">
      <c r="A8" s="916" t="s">
        <v>109</v>
      </c>
      <c r="B8" s="917"/>
      <c r="C8" s="917"/>
      <c r="D8" s="918"/>
      <c r="E8" s="125">
        <f>SUM(E7)</f>
        <v>306860.06880000001</v>
      </c>
      <c r="G8" s="111"/>
    </row>
    <row r="9" spans="1:9" ht="15.75" thickBot="1">
      <c r="C9" s="114"/>
    </row>
    <row r="10" spans="1:9" s="116" customFormat="1" ht="15.75" thickBot="1">
      <c r="A10" s="132" t="s">
        <v>45</v>
      </c>
      <c r="B10" s="124" t="s">
        <v>59</v>
      </c>
      <c r="C10" s="123">
        <v>199857.91</v>
      </c>
      <c r="D10" s="122">
        <v>2.84</v>
      </c>
      <c r="E10" s="121">
        <f>C10*D10</f>
        <v>567596.46439999994</v>
      </c>
      <c r="F10" s="120">
        <v>42726</v>
      </c>
      <c r="G10" s="119">
        <v>42998</v>
      </c>
      <c r="H10" s="118" t="s">
        <v>454</v>
      </c>
      <c r="I10" s="117"/>
    </row>
    <row r="11" spans="1:9" ht="15.75" thickBot="1">
      <c r="A11" s="916" t="s">
        <v>109</v>
      </c>
      <c r="B11" s="917"/>
      <c r="C11" s="917"/>
      <c r="D11" s="918"/>
      <c r="E11" s="115">
        <f>SUM(E10:E10)</f>
        <v>567596.46439999994</v>
      </c>
      <c r="G11" s="111"/>
    </row>
    <row r="12" spans="1:9">
      <c r="G12" s="111"/>
    </row>
    <row r="13" spans="1:9">
      <c r="B13" s="114"/>
      <c r="C13" s="114"/>
      <c r="E13" s="112"/>
      <c r="F13" s="111"/>
      <c r="G13" s="111"/>
    </row>
    <row r="14" spans="1:9">
      <c r="C14" s="112"/>
      <c r="D14" s="49"/>
      <c r="F14" s="111"/>
      <c r="G14" s="439"/>
    </row>
    <row r="15" spans="1:9">
      <c r="B15" s="112"/>
      <c r="C15" s="112"/>
      <c r="D15" s="49"/>
      <c r="E15" s="49"/>
      <c r="F15" s="111"/>
      <c r="G15" s="111"/>
    </row>
    <row r="16" spans="1:9">
      <c r="C16" s="112"/>
      <c r="F16" s="355"/>
      <c r="G16" s="113"/>
      <c r="H16" s="113"/>
    </row>
    <row r="17" spans="1:12">
      <c r="C17" s="49"/>
      <c r="E17" s="113"/>
      <c r="F17" s="355"/>
      <c r="G17" s="113"/>
      <c r="H17" s="113"/>
    </row>
    <row r="18" spans="1:12">
      <c r="C18" s="112"/>
      <c r="F18" s="111"/>
    </row>
    <row r="19" spans="1:12">
      <c r="A19" s="112"/>
      <c r="C19" s="285"/>
    </row>
    <row r="20" spans="1:12">
      <c r="C20" s="285"/>
      <c r="L20" s="111"/>
    </row>
    <row r="21" spans="1:12">
      <c r="C21" s="300"/>
      <c r="F21" s="111"/>
      <c r="L21" s="111"/>
    </row>
    <row r="22" spans="1:12">
      <c r="C22" s="112"/>
      <c r="F22" s="111"/>
    </row>
    <row r="23" spans="1:12">
      <c r="C23" s="49"/>
      <c r="D23" s="288"/>
      <c r="F23" s="111"/>
    </row>
    <row r="24" spans="1:12">
      <c r="F24" s="111"/>
    </row>
    <row r="25" spans="1:12">
      <c r="F25" s="111"/>
    </row>
    <row r="26" spans="1:12">
      <c r="C26" s="49"/>
      <c r="F26" s="111"/>
    </row>
  </sheetData>
  <mergeCells count="4">
    <mergeCell ref="A3:H3"/>
    <mergeCell ref="A4:H4"/>
    <mergeCell ref="A8:D8"/>
    <mergeCell ref="A11:D11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143"/>
  <sheetViews>
    <sheetView topLeftCell="A1120" zoomScaleNormal="100" workbookViewId="0">
      <selection activeCell="G1145" sqref="G1145"/>
    </sheetView>
  </sheetViews>
  <sheetFormatPr baseColWidth="10" defaultRowHeight="15"/>
  <cols>
    <col min="1" max="1" width="8.140625" style="26" bestFit="1" customWidth="1"/>
    <col min="2" max="2" width="34.85546875" style="26" bestFit="1" customWidth="1"/>
    <col min="3" max="3" width="10.7109375" style="26" bestFit="1" customWidth="1"/>
    <col min="4" max="4" width="12.42578125" style="600" bestFit="1" customWidth="1"/>
    <col min="5" max="16384" width="11.42578125" style="761"/>
  </cols>
  <sheetData>
    <row r="1" spans="1:4" s="769" customFormat="1" ht="15.75" thickBot="1">
      <c r="A1" s="766" t="s">
        <v>144</v>
      </c>
      <c r="B1" s="767" t="s">
        <v>143</v>
      </c>
      <c r="C1" s="767" t="s">
        <v>10</v>
      </c>
      <c r="D1" s="768" t="s">
        <v>11</v>
      </c>
    </row>
    <row r="2" spans="1:4" customFormat="1">
      <c r="A2" s="863" t="s">
        <v>1257</v>
      </c>
      <c r="B2" s="863" t="s">
        <v>1258</v>
      </c>
      <c r="C2" s="862">
        <v>43068</v>
      </c>
      <c r="D2" s="866">
        <v>534.9</v>
      </c>
    </row>
    <row r="3" spans="1:4" customFormat="1">
      <c r="A3" s="863" t="s">
        <v>1260</v>
      </c>
      <c r="B3" s="863" t="s">
        <v>1261</v>
      </c>
      <c r="C3" s="862">
        <v>43069</v>
      </c>
      <c r="D3" s="866">
        <v>8486.0040000000008</v>
      </c>
    </row>
    <row r="4" spans="1:4" customFormat="1">
      <c r="A4" s="863" t="s">
        <v>1150</v>
      </c>
      <c r="B4" s="863" t="s">
        <v>1149</v>
      </c>
      <c r="C4" s="862">
        <v>43069</v>
      </c>
      <c r="D4" s="866">
        <v>1365.5419999999999</v>
      </c>
    </row>
    <row r="5" spans="1:4" customFormat="1">
      <c r="A5" t="s">
        <v>1014</v>
      </c>
      <c r="B5" t="s">
        <v>1089</v>
      </c>
      <c r="C5" s="111">
        <v>43070</v>
      </c>
      <c r="D5" s="49">
        <v>1347.39</v>
      </c>
    </row>
    <row r="6" spans="1:4" customFormat="1">
      <c r="A6" t="s">
        <v>798</v>
      </c>
      <c r="B6" t="s">
        <v>799</v>
      </c>
      <c r="C6" s="111">
        <v>43070</v>
      </c>
      <c r="D6" s="49">
        <v>157</v>
      </c>
    </row>
    <row r="7" spans="1:4" customFormat="1">
      <c r="A7" t="s">
        <v>754</v>
      </c>
      <c r="B7" t="s">
        <v>624</v>
      </c>
      <c r="C7" s="111">
        <v>43070</v>
      </c>
      <c r="D7" s="49">
        <v>5789.51</v>
      </c>
    </row>
    <row r="8" spans="1:4" customFormat="1">
      <c r="A8" t="s">
        <v>271</v>
      </c>
      <c r="B8" t="s">
        <v>463</v>
      </c>
      <c r="C8" s="111">
        <v>43070</v>
      </c>
      <c r="D8" s="49">
        <v>1500</v>
      </c>
    </row>
    <row r="9" spans="1:4" customFormat="1">
      <c r="A9" t="s">
        <v>147</v>
      </c>
      <c r="B9" t="s">
        <v>146</v>
      </c>
      <c r="C9" s="111">
        <v>43071</v>
      </c>
      <c r="D9" s="49">
        <v>1345.83</v>
      </c>
    </row>
    <row r="10" spans="1:4" customFormat="1">
      <c r="A10" t="s">
        <v>240</v>
      </c>
      <c r="B10" t="s">
        <v>239</v>
      </c>
      <c r="C10" s="111">
        <v>43071</v>
      </c>
      <c r="D10" s="49">
        <v>753.5</v>
      </c>
    </row>
    <row r="11" spans="1:4" customFormat="1">
      <c r="A11" t="s">
        <v>240</v>
      </c>
      <c r="B11" t="s">
        <v>239</v>
      </c>
      <c r="C11" s="111">
        <v>43071</v>
      </c>
      <c r="D11" s="49">
        <v>621.11</v>
      </c>
    </row>
    <row r="12" spans="1:4" customFormat="1">
      <c r="A12" t="s">
        <v>412</v>
      </c>
      <c r="B12" t="s">
        <v>293</v>
      </c>
      <c r="C12" s="111">
        <v>43071</v>
      </c>
      <c r="D12" s="49">
        <v>1064.45</v>
      </c>
    </row>
    <row r="13" spans="1:4" customFormat="1">
      <c r="A13" s="863" t="s">
        <v>1263</v>
      </c>
      <c r="B13" s="863" t="s">
        <v>1264</v>
      </c>
      <c r="C13" s="862">
        <v>43071</v>
      </c>
      <c r="D13" s="866">
        <v>720.92700000000002</v>
      </c>
    </row>
    <row r="14" spans="1:4" customFormat="1">
      <c r="A14" t="s">
        <v>257</v>
      </c>
      <c r="B14" t="s">
        <v>256</v>
      </c>
      <c r="C14" s="111">
        <v>43073</v>
      </c>
      <c r="D14" s="49">
        <v>1040</v>
      </c>
    </row>
    <row r="15" spans="1:4" customFormat="1">
      <c r="A15" s="863" t="s">
        <v>1138</v>
      </c>
      <c r="B15" s="863" t="s">
        <v>1137</v>
      </c>
      <c r="C15" s="862">
        <v>43073</v>
      </c>
      <c r="D15" s="866">
        <v>171.01</v>
      </c>
    </row>
    <row r="16" spans="1:4" customFormat="1">
      <c r="A16" t="s">
        <v>740</v>
      </c>
      <c r="B16" t="s">
        <v>238</v>
      </c>
      <c r="C16" s="111">
        <v>43074</v>
      </c>
      <c r="D16" s="49">
        <v>1375.34</v>
      </c>
    </row>
    <row r="17" spans="1:4" customFormat="1">
      <c r="A17" t="s">
        <v>314</v>
      </c>
      <c r="B17" t="s">
        <v>315</v>
      </c>
      <c r="C17" s="111">
        <v>43074</v>
      </c>
      <c r="D17" s="49">
        <v>2000</v>
      </c>
    </row>
    <row r="18" spans="1:4" customFormat="1">
      <c r="A18" t="s">
        <v>726</v>
      </c>
      <c r="B18" t="s">
        <v>835</v>
      </c>
      <c r="C18" s="111">
        <v>43074</v>
      </c>
      <c r="D18" s="49">
        <v>2508.85</v>
      </c>
    </row>
    <row r="19" spans="1:4" customFormat="1">
      <c r="A19" t="s">
        <v>674</v>
      </c>
      <c r="B19" t="s">
        <v>539</v>
      </c>
      <c r="C19" s="111">
        <v>43074</v>
      </c>
      <c r="D19" s="49">
        <v>1455.06</v>
      </c>
    </row>
    <row r="20" spans="1:4" customFormat="1">
      <c r="A20" t="s">
        <v>212</v>
      </c>
      <c r="B20" t="s">
        <v>211</v>
      </c>
      <c r="C20" s="111">
        <v>43074</v>
      </c>
      <c r="D20" s="49">
        <v>1706.78</v>
      </c>
    </row>
    <row r="21" spans="1:4" customFormat="1">
      <c r="A21" t="s">
        <v>512</v>
      </c>
      <c r="B21" t="s">
        <v>511</v>
      </c>
      <c r="C21" s="111">
        <v>43074</v>
      </c>
      <c r="D21" s="49">
        <v>1773</v>
      </c>
    </row>
    <row r="22" spans="1:4" customFormat="1">
      <c r="A22" t="s">
        <v>673</v>
      </c>
      <c r="B22" t="s">
        <v>672</v>
      </c>
      <c r="C22" s="111">
        <v>43074</v>
      </c>
      <c r="D22" s="49">
        <v>434.2</v>
      </c>
    </row>
    <row r="23" spans="1:4" customFormat="1">
      <c r="A23" t="s">
        <v>899</v>
      </c>
      <c r="B23" t="s">
        <v>605</v>
      </c>
      <c r="C23" s="111">
        <v>43074</v>
      </c>
      <c r="D23" s="49">
        <v>739.99</v>
      </c>
    </row>
    <row r="24" spans="1:4" customFormat="1">
      <c r="A24" t="s">
        <v>566</v>
      </c>
      <c r="B24" t="s">
        <v>230</v>
      </c>
      <c r="C24" s="111">
        <v>43074</v>
      </c>
      <c r="D24" s="49">
        <v>1306.9000000000001</v>
      </c>
    </row>
    <row r="25" spans="1:4" customFormat="1">
      <c r="A25" t="s">
        <v>510</v>
      </c>
      <c r="B25" t="s">
        <v>141</v>
      </c>
      <c r="C25" s="111">
        <v>43074</v>
      </c>
      <c r="D25" s="49">
        <v>875.65</v>
      </c>
    </row>
    <row r="26" spans="1:4" customFormat="1">
      <c r="A26" t="s">
        <v>445</v>
      </c>
      <c r="B26" t="s">
        <v>216</v>
      </c>
      <c r="C26" s="111">
        <v>43074</v>
      </c>
      <c r="D26" s="49">
        <v>2105.84</v>
      </c>
    </row>
    <row r="27" spans="1:4" customFormat="1">
      <c r="A27" t="s">
        <v>522</v>
      </c>
      <c r="B27" t="s">
        <v>166</v>
      </c>
      <c r="C27" s="111">
        <v>43074</v>
      </c>
      <c r="D27" s="49">
        <v>383.63</v>
      </c>
    </row>
    <row r="28" spans="1:4" customFormat="1">
      <c r="A28" t="s">
        <v>459</v>
      </c>
      <c r="B28" t="s">
        <v>419</v>
      </c>
      <c r="C28" s="111">
        <v>43074</v>
      </c>
      <c r="D28" s="49">
        <v>1465.64</v>
      </c>
    </row>
    <row r="29" spans="1:4" customFormat="1">
      <c r="A29" t="s">
        <v>837</v>
      </c>
      <c r="B29" t="s">
        <v>838</v>
      </c>
      <c r="C29" s="111">
        <v>43074</v>
      </c>
      <c r="D29" s="49">
        <v>1365.12</v>
      </c>
    </row>
    <row r="30" spans="1:4" customFormat="1">
      <c r="A30" t="s">
        <v>841</v>
      </c>
      <c r="B30" t="s">
        <v>842</v>
      </c>
      <c r="C30" s="111">
        <v>43074</v>
      </c>
      <c r="D30" s="49">
        <v>716.32</v>
      </c>
    </row>
    <row r="31" spans="1:4" customFormat="1">
      <c r="A31" t="s">
        <v>562</v>
      </c>
      <c r="B31" t="s">
        <v>188</v>
      </c>
      <c r="C31" s="111">
        <v>43074</v>
      </c>
      <c r="D31" s="49">
        <v>4438.42</v>
      </c>
    </row>
    <row r="32" spans="1:4" customFormat="1">
      <c r="A32" t="s">
        <v>1004</v>
      </c>
      <c r="B32" t="s">
        <v>896</v>
      </c>
      <c r="C32" s="111">
        <v>43074</v>
      </c>
      <c r="D32" s="49">
        <v>1444.78</v>
      </c>
    </row>
    <row r="33" spans="1:4" customFormat="1">
      <c r="A33" t="s">
        <v>625</v>
      </c>
      <c r="B33" t="s">
        <v>626</v>
      </c>
      <c r="C33" s="111">
        <v>43074</v>
      </c>
      <c r="D33" s="49">
        <v>7500</v>
      </c>
    </row>
    <row r="34" spans="1:4" customFormat="1">
      <c r="A34" t="s">
        <v>480</v>
      </c>
      <c r="B34" t="s">
        <v>199</v>
      </c>
      <c r="C34" s="111">
        <v>43074</v>
      </c>
      <c r="D34" s="49">
        <v>2175.27</v>
      </c>
    </row>
    <row r="35" spans="1:4" customFormat="1">
      <c r="A35" t="s">
        <v>497</v>
      </c>
      <c r="B35" t="s">
        <v>152</v>
      </c>
      <c r="C35" s="111">
        <v>43074</v>
      </c>
      <c r="D35" s="49">
        <v>2000</v>
      </c>
    </row>
    <row r="36" spans="1:4" customFormat="1">
      <c r="A36" t="s">
        <v>470</v>
      </c>
      <c r="B36" t="s">
        <v>471</v>
      </c>
      <c r="C36" s="111">
        <v>43074</v>
      </c>
      <c r="D36" s="49">
        <v>1528.08</v>
      </c>
    </row>
    <row r="37" spans="1:4" customFormat="1">
      <c r="A37" t="s">
        <v>840</v>
      </c>
      <c r="B37" t="s">
        <v>609</v>
      </c>
      <c r="C37" s="111">
        <v>43074</v>
      </c>
      <c r="D37" s="49">
        <v>1633.11</v>
      </c>
    </row>
    <row r="38" spans="1:4" customFormat="1">
      <c r="A38" t="s">
        <v>993</v>
      </c>
      <c r="B38" t="s">
        <v>1088</v>
      </c>
      <c r="C38" s="111">
        <v>43074</v>
      </c>
      <c r="D38" s="49">
        <v>575.24</v>
      </c>
    </row>
    <row r="39" spans="1:4" customFormat="1">
      <c r="A39" t="s">
        <v>255</v>
      </c>
      <c r="B39" t="s">
        <v>254</v>
      </c>
      <c r="C39" s="111">
        <v>43074</v>
      </c>
      <c r="D39" s="49">
        <v>1000</v>
      </c>
    </row>
    <row r="40" spans="1:4" customFormat="1">
      <c r="A40" t="s">
        <v>671</v>
      </c>
      <c r="B40" t="s">
        <v>167</v>
      </c>
      <c r="C40" s="111">
        <v>43075</v>
      </c>
      <c r="D40" s="49">
        <v>2124.06</v>
      </c>
    </row>
    <row r="41" spans="1:4" customFormat="1">
      <c r="A41" t="s">
        <v>807</v>
      </c>
      <c r="B41" t="s">
        <v>808</v>
      </c>
      <c r="C41" s="111">
        <v>43075</v>
      </c>
      <c r="D41" s="49">
        <v>146.79</v>
      </c>
    </row>
    <row r="42" spans="1:4" customFormat="1">
      <c r="A42" t="s">
        <v>704</v>
      </c>
      <c r="B42" t="s">
        <v>252</v>
      </c>
      <c r="C42" s="111">
        <v>43075</v>
      </c>
      <c r="D42" s="49">
        <v>5808.49</v>
      </c>
    </row>
    <row r="43" spans="1:4" customFormat="1">
      <c r="A43" t="s">
        <v>548</v>
      </c>
      <c r="B43" t="s">
        <v>547</v>
      </c>
      <c r="C43" s="111">
        <v>43076</v>
      </c>
      <c r="D43" s="49">
        <v>340.96</v>
      </c>
    </row>
    <row r="44" spans="1:4" customFormat="1">
      <c r="A44" t="s">
        <v>257</v>
      </c>
      <c r="B44" t="s">
        <v>256</v>
      </c>
      <c r="C44" s="111">
        <v>43076</v>
      </c>
      <c r="D44" s="49">
        <v>1048.43</v>
      </c>
    </row>
    <row r="45" spans="1:4" customFormat="1">
      <c r="A45" t="s">
        <v>685</v>
      </c>
      <c r="B45" t="s">
        <v>684</v>
      </c>
      <c r="C45" s="111">
        <v>43076</v>
      </c>
      <c r="D45" s="49">
        <v>1548.68</v>
      </c>
    </row>
    <row r="46" spans="1:4" customFormat="1">
      <c r="A46" t="s">
        <v>755</v>
      </c>
      <c r="B46" t="s">
        <v>213</v>
      </c>
      <c r="C46" s="111">
        <v>43076</v>
      </c>
      <c r="D46" s="49">
        <v>1433.28</v>
      </c>
    </row>
    <row r="47" spans="1:4" customFormat="1">
      <c r="A47" t="s">
        <v>1008</v>
      </c>
      <c r="B47" t="s">
        <v>183</v>
      </c>
      <c r="C47" s="111">
        <v>43076</v>
      </c>
      <c r="D47" s="49">
        <v>153.96</v>
      </c>
    </row>
    <row r="48" spans="1:4" customFormat="1">
      <c r="A48" t="s">
        <v>381</v>
      </c>
      <c r="B48" t="s">
        <v>189</v>
      </c>
      <c r="C48" s="111">
        <v>43076</v>
      </c>
      <c r="D48" s="49">
        <v>935</v>
      </c>
    </row>
    <row r="49" spans="1:4" customFormat="1">
      <c r="A49" t="s">
        <v>440</v>
      </c>
      <c r="B49" t="s">
        <v>441</v>
      </c>
      <c r="C49" s="111">
        <v>43076</v>
      </c>
      <c r="D49" s="49">
        <v>2000</v>
      </c>
    </row>
    <row r="50" spans="1:4" customFormat="1">
      <c r="A50" s="863" t="s">
        <v>1263</v>
      </c>
      <c r="B50" s="863" t="s">
        <v>1264</v>
      </c>
      <c r="C50" s="862">
        <v>43076</v>
      </c>
      <c r="D50" s="866">
        <v>730.97799999999995</v>
      </c>
    </row>
    <row r="51" spans="1:4" customFormat="1">
      <c r="A51" t="s">
        <v>495</v>
      </c>
      <c r="B51" t="s">
        <v>496</v>
      </c>
      <c r="C51" s="111">
        <v>43077</v>
      </c>
      <c r="D51" s="49">
        <v>1500</v>
      </c>
    </row>
    <row r="52" spans="1:4" customFormat="1">
      <c r="A52" t="s">
        <v>161</v>
      </c>
      <c r="B52" t="s">
        <v>160</v>
      </c>
      <c r="C52" s="111">
        <v>43077</v>
      </c>
      <c r="D52" s="49">
        <v>2500</v>
      </c>
    </row>
    <row r="53" spans="1:4" customFormat="1">
      <c r="A53" t="s">
        <v>242</v>
      </c>
      <c r="B53" t="s">
        <v>241</v>
      </c>
      <c r="C53" s="111">
        <v>43077</v>
      </c>
      <c r="D53" s="49">
        <v>2688.08</v>
      </c>
    </row>
    <row r="54" spans="1:4" customFormat="1">
      <c r="A54" t="s">
        <v>510</v>
      </c>
      <c r="B54" t="s">
        <v>141</v>
      </c>
      <c r="C54" s="111">
        <v>43077</v>
      </c>
      <c r="D54" s="49">
        <v>875</v>
      </c>
    </row>
    <row r="55" spans="1:4" customFormat="1">
      <c r="A55" t="s">
        <v>412</v>
      </c>
      <c r="B55" t="s">
        <v>293</v>
      </c>
      <c r="C55" s="111">
        <v>43077</v>
      </c>
      <c r="D55" s="49">
        <v>1064.45</v>
      </c>
    </row>
    <row r="56" spans="1:4" customFormat="1">
      <c r="A56" t="s">
        <v>384</v>
      </c>
      <c r="B56" t="s">
        <v>168</v>
      </c>
      <c r="C56" s="111">
        <v>43077</v>
      </c>
      <c r="D56" s="49">
        <v>878.71</v>
      </c>
    </row>
    <row r="57" spans="1:4" customFormat="1">
      <c r="A57" t="s">
        <v>809</v>
      </c>
      <c r="B57" t="s">
        <v>183</v>
      </c>
      <c r="C57" s="111">
        <v>43077</v>
      </c>
      <c r="D57" s="49">
        <v>474.68</v>
      </c>
    </row>
    <row r="58" spans="1:4" customFormat="1">
      <c r="A58" t="s">
        <v>695</v>
      </c>
      <c r="B58" t="s">
        <v>694</v>
      </c>
      <c r="C58" s="111">
        <v>43077</v>
      </c>
      <c r="D58" s="49">
        <v>1927.71</v>
      </c>
    </row>
    <row r="59" spans="1:4" customFormat="1">
      <c r="A59" t="s">
        <v>271</v>
      </c>
      <c r="B59" t="s">
        <v>463</v>
      </c>
      <c r="C59" s="111">
        <v>43077</v>
      </c>
      <c r="D59" s="49">
        <v>1500</v>
      </c>
    </row>
    <row r="60" spans="1:4" customFormat="1">
      <c r="A60" s="863" t="s">
        <v>1142</v>
      </c>
      <c r="B60" s="863" t="s">
        <v>1141</v>
      </c>
      <c r="C60" s="862">
        <v>43077</v>
      </c>
      <c r="D60" s="866">
        <v>690.21600000000001</v>
      </c>
    </row>
    <row r="61" spans="1:4" customFormat="1">
      <c r="A61" t="s">
        <v>240</v>
      </c>
      <c r="B61" t="s">
        <v>239</v>
      </c>
      <c r="C61" s="111">
        <v>43078</v>
      </c>
      <c r="D61" s="49">
        <v>621.11</v>
      </c>
    </row>
    <row r="62" spans="1:4" customFormat="1">
      <c r="A62" t="s">
        <v>240</v>
      </c>
      <c r="B62" t="s">
        <v>239</v>
      </c>
      <c r="C62" s="111">
        <v>43078</v>
      </c>
      <c r="D62" s="49">
        <v>753.5</v>
      </c>
    </row>
    <row r="63" spans="1:4" customFormat="1">
      <c r="A63" t="s">
        <v>670</v>
      </c>
      <c r="B63" t="s">
        <v>669</v>
      </c>
      <c r="C63" s="111">
        <v>43078</v>
      </c>
      <c r="D63" s="49">
        <v>1364.79</v>
      </c>
    </row>
    <row r="64" spans="1:4" customFormat="1">
      <c r="A64" t="s">
        <v>988</v>
      </c>
      <c r="B64" t="s">
        <v>987</v>
      </c>
      <c r="C64" s="111">
        <v>43078</v>
      </c>
      <c r="D64" s="49">
        <v>369.53</v>
      </c>
    </row>
    <row r="65" spans="1:4" customFormat="1">
      <c r="A65" t="s">
        <v>668</v>
      </c>
      <c r="B65" t="s">
        <v>667</v>
      </c>
      <c r="C65" s="111">
        <v>43078</v>
      </c>
      <c r="D65" s="49">
        <v>1245.71</v>
      </c>
    </row>
    <row r="66" spans="1:4" customFormat="1">
      <c r="A66" t="s">
        <v>215</v>
      </c>
      <c r="B66" t="s">
        <v>214</v>
      </c>
      <c r="C66" s="111">
        <v>43078</v>
      </c>
      <c r="D66" s="49">
        <v>2341.96</v>
      </c>
    </row>
    <row r="67" spans="1:4" customFormat="1">
      <c r="A67" t="s">
        <v>906</v>
      </c>
      <c r="B67" t="s">
        <v>907</v>
      </c>
      <c r="C67" s="111">
        <v>43079</v>
      </c>
      <c r="D67" s="49">
        <v>1135.25</v>
      </c>
    </row>
    <row r="68" spans="1:4" customFormat="1">
      <c r="A68" t="s">
        <v>276</v>
      </c>
      <c r="B68" t="s">
        <v>275</v>
      </c>
      <c r="C68" s="111">
        <v>43079</v>
      </c>
      <c r="D68" s="49">
        <v>1000</v>
      </c>
    </row>
    <row r="69" spans="1:4" customFormat="1">
      <c r="A69" t="s">
        <v>604</v>
      </c>
      <c r="B69" t="s">
        <v>578</v>
      </c>
      <c r="C69" s="111">
        <v>43079</v>
      </c>
      <c r="D69" s="49">
        <v>350</v>
      </c>
    </row>
    <row r="70" spans="1:4" customFormat="1">
      <c r="A70" t="s">
        <v>318</v>
      </c>
      <c r="B70" t="s">
        <v>319</v>
      </c>
      <c r="C70" s="111">
        <v>43079</v>
      </c>
      <c r="D70" s="49">
        <v>3197.55</v>
      </c>
    </row>
    <row r="71" spans="1:4" customFormat="1">
      <c r="A71" t="s">
        <v>756</v>
      </c>
      <c r="B71" t="s">
        <v>391</v>
      </c>
      <c r="C71" s="111">
        <v>43079</v>
      </c>
      <c r="D71" s="49">
        <v>636.89</v>
      </c>
    </row>
    <row r="72" spans="1:4" customFormat="1">
      <c r="A72" t="s">
        <v>727</v>
      </c>
      <c r="B72" t="s">
        <v>786</v>
      </c>
      <c r="C72" s="111">
        <v>43079</v>
      </c>
      <c r="D72" s="49">
        <v>2947.86</v>
      </c>
    </row>
    <row r="73" spans="1:4" customFormat="1">
      <c r="A73" t="s">
        <v>905</v>
      </c>
      <c r="B73" t="s">
        <v>366</v>
      </c>
      <c r="C73" s="111">
        <v>43079</v>
      </c>
      <c r="D73" s="49">
        <v>1400</v>
      </c>
    </row>
    <row r="74" spans="1:4" customFormat="1">
      <c r="A74" t="s">
        <v>536</v>
      </c>
      <c r="B74" t="s">
        <v>535</v>
      </c>
      <c r="C74" s="111">
        <v>43079</v>
      </c>
      <c r="D74" s="49">
        <v>2490</v>
      </c>
    </row>
    <row r="75" spans="1:4" customFormat="1">
      <c r="A75" t="s">
        <v>314</v>
      </c>
      <c r="B75" t="s">
        <v>315</v>
      </c>
      <c r="C75" s="111">
        <v>43079</v>
      </c>
      <c r="D75" s="49">
        <v>2000</v>
      </c>
    </row>
    <row r="76" spans="1:4" customFormat="1">
      <c r="A76" t="s">
        <v>1013</v>
      </c>
      <c r="B76" t="s">
        <v>1087</v>
      </c>
      <c r="C76" s="111">
        <v>43079</v>
      </c>
      <c r="D76" s="49">
        <v>1122.1199999999999</v>
      </c>
    </row>
    <row r="77" spans="1:4" customFormat="1">
      <c r="A77" t="s">
        <v>165</v>
      </c>
      <c r="B77" t="s">
        <v>164</v>
      </c>
      <c r="C77" s="111">
        <v>43079</v>
      </c>
      <c r="D77" s="49">
        <v>7157.96</v>
      </c>
    </row>
    <row r="78" spans="1:4" customFormat="1">
      <c r="A78" t="s">
        <v>198</v>
      </c>
      <c r="B78" t="s">
        <v>197</v>
      </c>
      <c r="C78" s="111">
        <v>43079</v>
      </c>
      <c r="D78" s="49">
        <v>1016</v>
      </c>
    </row>
    <row r="79" spans="1:4" customFormat="1">
      <c r="A79" t="s">
        <v>453</v>
      </c>
      <c r="B79" t="s">
        <v>197</v>
      </c>
      <c r="C79" s="111">
        <v>43079</v>
      </c>
      <c r="D79" s="49">
        <v>1016.17</v>
      </c>
    </row>
    <row r="80" spans="1:4" customFormat="1">
      <c r="A80" t="s">
        <v>228</v>
      </c>
      <c r="B80" t="s">
        <v>227</v>
      </c>
      <c r="C80" s="111">
        <v>43079</v>
      </c>
      <c r="D80" s="49">
        <v>440</v>
      </c>
    </row>
    <row r="81" spans="1:4" customFormat="1">
      <c r="A81" t="s">
        <v>222</v>
      </c>
      <c r="B81" t="s">
        <v>221</v>
      </c>
      <c r="C81" s="111">
        <v>43079</v>
      </c>
      <c r="D81" s="49">
        <v>1361.43</v>
      </c>
    </row>
    <row r="82" spans="1:4" customFormat="1">
      <c r="A82" t="s">
        <v>263</v>
      </c>
      <c r="B82" t="s">
        <v>262</v>
      </c>
      <c r="C82" s="111">
        <v>43079</v>
      </c>
      <c r="D82" s="49">
        <v>2323.08</v>
      </c>
    </row>
    <row r="83" spans="1:4" customFormat="1">
      <c r="A83" t="s">
        <v>196</v>
      </c>
      <c r="B83" t="s">
        <v>195</v>
      </c>
      <c r="C83" s="111">
        <v>43079</v>
      </c>
      <c r="D83" s="49">
        <v>307.88</v>
      </c>
    </row>
    <row r="84" spans="1:4" customFormat="1">
      <c r="A84" t="s">
        <v>693</v>
      </c>
      <c r="B84" t="s">
        <v>269</v>
      </c>
      <c r="C84" s="111">
        <v>43079</v>
      </c>
      <c r="D84" s="49">
        <v>577.70000000000005</v>
      </c>
    </row>
    <row r="85" spans="1:4" customFormat="1">
      <c r="A85" t="s">
        <v>1002</v>
      </c>
      <c r="B85" t="s">
        <v>309</v>
      </c>
      <c r="C85" s="111">
        <v>43079</v>
      </c>
      <c r="D85" s="49">
        <v>500</v>
      </c>
    </row>
    <row r="86" spans="1:4" customFormat="1">
      <c r="A86" t="s">
        <v>308</v>
      </c>
      <c r="B86" t="s">
        <v>309</v>
      </c>
      <c r="C86" s="111">
        <v>43079</v>
      </c>
      <c r="D86" s="49">
        <v>800</v>
      </c>
    </row>
    <row r="87" spans="1:4" customFormat="1">
      <c r="A87" t="s">
        <v>566</v>
      </c>
      <c r="B87" t="s">
        <v>230</v>
      </c>
      <c r="C87" s="111">
        <v>43079</v>
      </c>
      <c r="D87" s="49">
        <v>1306.8</v>
      </c>
    </row>
    <row r="88" spans="1:4" customFormat="1">
      <c r="A88" t="s">
        <v>528</v>
      </c>
      <c r="B88" t="s">
        <v>281</v>
      </c>
      <c r="C88" s="111">
        <v>43079</v>
      </c>
      <c r="D88" s="49">
        <v>1364.87</v>
      </c>
    </row>
    <row r="89" spans="1:4" customFormat="1">
      <c r="A89" t="s">
        <v>392</v>
      </c>
      <c r="B89" t="s">
        <v>153</v>
      </c>
      <c r="C89" s="111">
        <v>43079</v>
      </c>
      <c r="D89" s="49">
        <v>4415.8</v>
      </c>
    </row>
    <row r="90" spans="1:4" customFormat="1">
      <c r="A90" t="s">
        <v>385</v>
      </c>
      <c r="B90" t="s">
        <v>185</v>
      </c>
      <c r="C90" s="111">
        <v>43079</v>
      </c>
      <c r="D90" s="49">
        <v>2500.29</v>
      </c>
    </row>
    <row r="91" spans="1:4" customFormat="1">
      <c r="A91" t="s">
        <v>382</v>
      </c>
      <c r="B91" t="s">
        <v>193</v>
      </c>
      <c r="C91" s="111">
        <v>43079</v>
      </c>
      <c r="D91" s="49">
        <v>1303.21</v>
      </c>
    </row>
    <row r="92" spans="1:4" customFormat="1">
      <c r="A92" t="s">
        <v>522</v>
      </c>
      <c r="B92" t="s">
        <v>166</v>
      </c>
      <c r="C92" s="111">
        <v>43079</v>
      </c>
      <c r="D92" s="49">
        <v>400</v>
      </c>
    </row>
    <row r="93" spans="1:4" customFormat="1">
      <c r="A93" t="s">
        <v>525</v>
      </c>
      <c r="B93" t="s">
        <v>208</v>
      </c>
      <c r="C93" s="111">
        <v>43079</v>
      </c>
      <c r="D93" s="49">
        <v>4500</v>
      </c>
    </row>
    <row r="94" spans="1:4" customFormat="1">
      <c r="A94" t="s">
        <v>380</v>
      </c>
      <c r="B94" t="s">
        <v>292</v>
      </c>
      <c r="C94" s="111">
        <v>43079</v>
      </c>
      <c r="D94" s="49">
        <v>2750</v>
      </c>
    </row>
    <row r="95" spans="1:4" customFormat="1">
      <c r="A95" t="s">
        <v>488</v>
      </c>
      <c r="B95" t="s">
        <v>364</v>
      </c>
      <c r="C95" s="111">
        <v>43079</v>
      </c>
      <c r="D95" s="49">
        <v>1432.58</v>
      </c>
    </row>
    <row r="96" spans="1:4" customFormat="1">
      <c r="A96" t="s">
        <v>634</v>
      </c>
      <c r="B96" t="s">
        <v>635</v>
      </c>
      <c r="C96" s="111">
        <v>43079</v>
      </c>
      <c r="D96" s="49">
        <v>1343.72</v>
      </c>
    </row>
    <row r="97" spans="1:4" customFormat="1">
      <c r="A97" t="s">
        <v>621</v>
      </c>
      <c r="B97" t="s">
        <v>467</v>
      </c>
      <c r="C97" s="111">
        <v>43079</v>
      </c>
      <c r="D97" s="49">
        <v>1521.7</v>
      </c>
    </row>
    <row r="98" spans="1:4" customFormat="1">
      <c r="A98" t="s">
        <v>1086</v>
      </c>
      <c r="B98" t="s">
        <v>901</v>
      </c>
      <c r="C98" s="111">
        <v>43079</v>
      </c>
      <c r="D98" s="49">
        <v>610.61</v>
      </c>
    </row>
    <row r="99" spans="1:4" customFormat="1">
      <c r="A99" t="s">
        <v>483</v>
      </c>
      <c r="B99" t="s">
        <v>484</v>
      </c>
      <c r="C99" s="111">
        <v>43079</v>
      </c>
      <c r="D99" s="49">
        <v>1665.39</v>
      </c>
    </row>
    <row r="100" spans="1:4" customFormat="1">
      <c r="A100" t="s">
        <v>365</v>
      </c>
      <c r="B100" t="s">
        <v>186</v>
      </c>
      <c r="C100" s="111">
        <v>43079</v>
      </c>
      <c r="D100" s="49">
        <v>300</v>
      </c>
    </row>
    <row r="101" spans="1:4" customFormat="1">
      <c r="A101" t="s">
        <v>509</v>
      </c>
      <c r="B101" t="s">
        <v>140</v>
      </c>
      <c r="C101" s="111">
        <v>43079</v>
      </c>
      <c r="D101" s="49">
        <v>3031.8</v>
      </c>
    </row>
    <row r="102" spans="1:4" customFormat="1">
      <c r="A102" t="s">
        <v>456</v>
      </c>
      <c r="B102" t="s">
        <v>218</v>
      </c>
      <c r="C102" s="111">
        <v>43079</v>
      </c>
      <c r="D102" s="49">
        <v>2255.79</v>
      </c>
    </row>
    <row r="103" spans="1:4" customFormat="1">
      <c r="A103" t="s">
        <v>757</v>
      </c>
      <c r="B103" t="s">
        <v>379</v>
      </c>
      <c r="C103" s="111">
        <v>43079</v>
      </c>
      <c r="D103" s="49">
        <v>2452.31</v>
      </c>
    </row>
    <row r="104" spans="1:4" customFormat="1">
      <c r="A104" t="s">
        <v>406</v>
      </c>
      <c r="B104" t="s">
        <v>236</v>
      </c>
      <c r="C104" s="111">
        <v>43079</v>
      </c>
      <c r="D104" s="49">
        <v>1948.97</v>
      </c>
    </row>
    <row r="105" spans="1:4" customFormat="1">
      <c r="A105" t="s">
        <v>442</v>
      </c>
      <c r="B105" t="s">
        <v>784</v>
      </c>
      <c r="C105" s="111">
        <v>43079</v>
      </c>
      <c r="D105" s="49">
        <v>1100</v>
      </c>
    </row>
    <row r="106" spans="1:4" customFormat="1">
      <c r="A106" t="s">
        <v>730</v>
      </c>
      <c r="B106" t="s">
        <v>787</v>
      </c>
      <c r="C106" s="111">
        <v>43079</v>
      </c>
      <c r="D106" s="49">
        <v>4187.26</v>
      </c>
    </row>
    <row r="107" spans="1:4" customFormat="1">
      <c r="A107" t="s">
        <v>666</v>
      </c>
      <c r="B107" t="s">
        <v>162</v>
      </c>
      <c r="C107" s="111">
        <v>43079</v>
      </c>
      <c r="D107" s="49">
        <v>2157.86</v>
      </c>
    </row>
    <row r="108" spans="1:4" customFormat="1">
      <c r="A108" t="s">
        <v>904</v>
      </c>
      <c r="B108" t="s">
        <v>943</v>
      </c>
      <c r="C108" s="111">
        <v>43079</v>
      </c>
      <c r="D108" s="49">
        <v>2649.48</v>
      </c>
    </row>
    <row r="109" spans="1:4" customFormat="1">
      <c r="A109" t="s">
        <v>652</v>
      </c>
      <c r="B109" t="s">
        <v>254</v>
      </c>
      <c r="C109" s="111">
        <v>43079</v>
      </c>
      <c r="D109" s="49">
        <v>1181.83</v>
      </c>
    </row>
    <row r="110" spans="1:4" customFormat="1">
      <c r="A110" t="s">
        <v>521</v>
      </c>
      <c r="B110" t="s">
        <v>192</v>
      </c>
      <c r="C110" s="111">
        <v>43079</v>
      </c>
      <c r="D110" s="49">
        <v>600.25</v>
      </c>
    </row>
    <row r="111" spans="1:4" customFormat="1">
      <c r="A111" s="863" t="s">
        <v>1263</v>
      </c>
      <c r="B111" s="863" t="s">
        <v>1264</v>
      </c>
      <c r="C111" s="862">
        <v>43079</v>
      </c>
      <c r="D111" s="866">
        <v>720.92700000000002</v>
      </c>
    </row>
    <row r="112" spans="1:4" customFormat="1">
      <c r="A112" t="s">
        <v>389</v>
      </c>
      <c r="B112" t="s">
        <v>154</v>
      </c>
      <c r="C112" s="111">
        <v>43080</v>
      </c>
      <c r="D112" s="49">
        <v>2730</v>
      </c>
    </row>
    <row r="113" spans="1:4" customFormat="1">
      <c r="A113" t="s">
        <v>450</v>
      </c>
      <c r="B113" t="s">
        <v>451</v>
      </c>
      <c r="C113" s="111">
        <v>43080</v>
      </c>
      <c r="D113" s="49">
        <v>1026.8699999999999</v>
      </c>
    </row>
    <row r="114" spans="1:4" customFormat="1">
      <c r="A114" t="s">
        <v>212</v>
      </c>
      <c r="B114" t="s">
        <v>211</v>
      </c>
      <c r="C114" s="111">
        <v>43081</v>
      </c>
      <c r="D114" s="49">
        <v>1962.08</v>
      </c>
    </row>
    <row r="115" spans="1:4" customFormat="1">
      <c r="A115" t="s">
        <v>758</v>
      </c>
      <c r="B115" t="s">
        <v>759</v>
      </c>
      <c r="C115" s="111">
        <v>43081</v>
      </c>
      <c r="D115" s="49">
        <v>1870.68</v>
      </c>
    </row>
    <row r="116" spans="1:4" customFormat="1">
      <c r="A116" t="s">
        <v>760</v>
      </c>
      <c r="B116" t="s">
        <v>444</v>
      </c>
      <c r="C116" s="111">
        <v>43081</v>
      </c>
      <c r="D116" s="49">
        <v>4152.49</v>
      </c>
    </row>
    <row r="117" spans="1:4" customFormat="1">
      <c r="A117" t="s">
        <v>538</v>
      </c>
      <c r="B117" t="s">
        <v>537</v>
      </c>
      <c r="C117" s="111">
        <v>43081</v>
      </c>
      <c r="D117" s="49">
        <v>3000</v>
      </c>
    </row>
    <row r="118" spans="1:4" customFormat="1">
      <c r="A118" t="s">
        <v>986</v>
      </c>
      <c r="B118" t="s">
        <v>985</v>
      </c>
      <c r="C118" s="111">
        <v>43081</v>
      </c>
      <c r="D118" s="49">
        <v>883.29</v>
      </c>
    </row>
    <row r="119" spans="1:4" customFormat="1">
      <c r="A119" t="s">
        <v>542</v>
      </c>
      <c r="B119" t="s">
        <v>272</v>
      </c>
      <c r="C119" s="111">
        <v>43081</v>
      </c>
      <c r="D119" s="49">
        <v>4147.8999999999996</v>
      </c>
    </row>
    <row r="120" spans="1:4" customFormat="1">
      <c r="A120" t="s">
        <v>810</v>
      </c>
      <c r="B120" t="s">
        <v>194</v>
      </c>
      <c r="C120" s="111">
        <v>43081</v>
      </c>
      <c r="D120" s="49">
        <v>780</v>
      </c>
    </row>
    <row r="121" spans="1:4" customFormat="1">
      <c r="A121" t="s">
        <v>257</v>
      </c>
      <c r="B121" t="s">
        <v>256</v>
      </c>
      <c r="C121" s="111">
        <v>43082</v>
      </c>
      <c r="D121" s="49">
        <v>501.14</v>
      </c>
    </row>
    <row r="122" spans="1:4" customFormat="1">
      <c r="A122" t="s">
        <v>384</v>
      </c>
      <c r="B122" t="s">
        <v>168</v>
      </c>
      <c r="C122" s="111">
        <v>43082</v>
      </c>
      <c r="D122" s="49">
        <v>878.71</v>
      </c>
    </row>
    <row r="123" spans="1:4" customFormat="1">
      <c r="A123" s="863" t="s">
        <v>1263</v>
      </c>
      <c r="B123" s="863" t="s">
        <v>1264</v>
      </c>
      <c r="C123" s="862">
        <v>43082</v>
      </c>
      <c r="D123" s="866">
        <v>720.92700000000002</v>
      </c>
    </row>
    <row r="124" spans="1:4" customFormat="1">
      <c r="A124" t="s">
        <v>899</v>
      </c>
      <c r="B124" t="s">
        <v>605</v>
      </c>
      <c r="C124" s="111">
        <v>43083</v>
      </c>
      <c r="D124" s="49">
        <v>800</v>
      </c>
    </row>
    <row r="125" spans="1:4" customFormat="1">
      <c r="A125" t="s">
        <v>139</v>
      </c>
      <c r="B125" t="s">
        <v>138</v>
      </c>
      <c r="C125" s="111">
        <v>43083</v>
      </c>
      <c r="D125" s="49">
        <v>1397.9</v>
      </c>
    </row>
    <row r="126" spans="1:4" customFormat="1">
      <c r="A126" t="s">
        <v>761</v>
      </c>
      <c r="B126" t="s">
        <v>791</v>
      </c>
      <c r="C126" s="111">
        <v>43083</v>
      </c>
      <c r="D126" s="49">
        <v>453.41</v>
      </c>
    </row>
    <row r="127" spans="1:4" customFormat="1">
      <c r="A127" t="s">
        <v>278</v>
      </c>
      <c r="B127" t="s">
        <v>277</v>
      </c>
      <c r="C127" s="111">
        <v>43084</v>
      </c>
      <c r="D127" s="49">
        <v>1000</v>
      </c>
    </row>
    <row r="128" spans="1:4" customFormat="1">
      <c r="A128" t="s">
        <v>794</v>
      </c>
      <c r="B128" t="s">
        <v>795</v>
      </c>
      <c r="C128" s="111">
        <v>43084</v>
      </c>
      <c r="D128" s="49">
        <v>570.39</v>
      </c>
    </row>
    <row r="129" spans="1:4" customFormat="1">
      <c r="A129" t="s">
        <v>276</v>
      </c>
      <c r="B129" t="s">
        <v>275</v>
      </c>
      <c r="C129" s="111">
        <v>43084</v>
      </c>
      <c r="D129" s="49">
        <v>400</v>
      </c>
    </row>
    <row r="130" spans="1:4" customFormat="1">
      <c r="A130" t="s">
        <v>644</v>
      </c>
      <c r="B130" t="s">
        <v>645</v>
      </c>
      <c r="C130" s="111">
        <v>43084</v>
      </c>
      <c r="D130" s="49">
        <v>1400</v>
      </c>
    </row>
    <row r="131" spans="1:4" customFormat="1">
      <c r="A131" t="s">
        <v>201</v>
      </c>
      <c r="B131" t="s">
        <v>200</v>
      </c>
      <c r="C131" s="111">
        <v>43084</v>
      </c>
      <c r="D131" s="49">
        <v>1174.5999999999999</v>
      </c>
    </row>
    <row r="132" spans="1:4" customFormat="1">
      <c r="A132" t="s">
        <v>948</v>
      </c>
      <c r="B132" t="s">
        <v>947</v>
      </c>
      <c r="C132" s="111">
        <v>43084</v>
      </c>
      <c r="D132" s="49">
        <v>1400</v>
      </c>
    </row>
    <row r="133" spans="1:4" customFormat="1">
      <c r="A133" t="s">
        <v>495</v>
      </c>
      <c r="B133" t="s">
        <v>496</v>
      </c>
      <c r="C133" s="111">
        <v>43084</v>
      </c>
      <c r="D133" s="49">
        <v>939.09</v>
      </c>
    </row>
    <row r="134" spans="1:4" customFormat="1">
      <c r="A134" t="s">
        <v>740</v>
      </c>
      <c r="B134" t="s">
        <v>238</v>
      </c>
      <c r="C134" s="111">
        <v>43084</v>
      </c>
      <c r="D134" s="49">
        <v>800</v>
      </c>
    </row>
    <row r="135" spans="1:4" customFormat="1">
      <c r="A135" t="s">
        <v>314</v>
      </c>
      <c r="B135" t="s">
        <v>315</v>
      </c>
      <c r="C135" s="111">
        <v>43084</v>
      </c>
      <c r="D135" s="49">
        <v>2000</v>
      </c>
    </row>
    <row r="136" spans="1:4" customFormat="1">
      <c r="A136" t="s">
        <v>1085</v>
      </c>
      <c r="B136" t="s">
        <v>1084</v>
      </c>
      <c r="C136" s="111">
        <v>43084</v>
      </c>
      <c r="D136" s="49">
        <v>171</v>
      </c>
    </row>
    <row r="137" spans="1:4" customFormat="1">
      <c r="A137" t="s">
        <v>161</v>
      </c>
      <c r="B137" t="s">
        <v>160</v>
      </c>
      <c r="C137" s="111">
        <v>43084</v>
      </c>
      <c r="D137" s="49">
        <v>2656.05</v>
      </c>
    </row>
    <row r="138" spans="1:4" customFormat="1">
      <c r="A138" t="s">
        <v>726</v>
      </c>
      <c r="B138" t="s">
        <v>835</v>
      </c>
      <c r="C138" s="111">
        <v>43084</v>
      </c>
      <c r="D138" s="49">
        <v>2000</v>
      </c>
    </row>
    <row r="139" spans="1:4" customFormat="1">
      <c r="A139" t="s">
        <v>653</v>
      </c>
      <c r="B139" t="s">
        <v>654</v>
      </c>
      <c r="C139" s="111">
        <v>43084</v>
      </c>
      <c r="D139" s="49">
        <v>1160</v>
      </c>
    </row>
    <row r="140" spans="1:4" customFormat="1">
      <c r="A140" t="s">
        <v>710</v>
      </c>
      <c r="B140" t="s">
        <v>709</v>
      </c>
      <c r="C140" s="111">
        <v>43084</v>
      </c>
      <c r="D140" s="49">
        <v>4954.8999999999996</v>
      </c>
    </row>
    <row r="141" spans="1:4" customFormat="1">
      <c r="A141" t="s">
        <v>172</v>
      </c>
      <c r="B141" t="s">
        <v>171</v>
      </c>
      <c r="C141" s="111">
        <v>43084</v>
      </c>
      <c r="D141" s="49">
        <v>3844.63</v>
      </c>
    </row>
    <row r="142" spans="1:4" customFormat="1">
      <c r="A142" t="s">
        <v>954</v>
      </c>
      <c r="B142" t="s">
        <v>953</v>
      </c>
      <c r="C142" s="111">
        <v>43084</v>
      </c>
      <c r="D142" s="49">
        <v>2134.33</v>
      </c>
    </row>
    <row r="143" spans="1:4" customFormat="1">
      <c r="A143" t="s">
        <v>159</v>
      </c>
      <c r="B143" t="s">
        <v>158</v>
      </c>
      <c r="C143" s="111">
        <v>43084</v>
      </c>
      <c r="D143" s="49">
        <v>1073.44</v>
      </c>
    </row>
    <row r="144" spans="1:4" customFormat="1">
      <c r="A144" t="s">
        <v>747</v>
      </c>
      <c r="B144" t="s">
        <v>748</v>
      </c>
      <c r="C144" s="111">
        <v>43084</v>
      </c>
      <c r="D144" s="49">
        <v>462.71</v>
      </c>
    </row>
    <row r="145" spans="1:4" customFormat="1">
      <c r="A145" t="s">
        <v>801</v>
      </c>
      <c r="B145" t="s">
        <v>802</v>
      </c>
      <c r="C145" s="111">
        <v>43084</v>
      </c>
      <c r="D145" s="49">
        <v>1722.13</v>
      </c>
    </row>
    <row r="146" spans="1:4" customFormat="1">
      <c r="A146" t="s">
        <v>390</v>
      </c>
      <c r="B146" t="s">
        <v>337</v>
      </c>
      <c r="C146" s="111">
        <v>43084</v>
      </c>
      <c r="D146" s="49">
        <v>4317.4399999999996</v>
      </c>
    </row>
    <row r="147" spans="1:4" customFormat="1">
      <c r="A147" t="s">
        <v>566</v>
      </c>
      <c r="B147" t="s">
        <v>230</v>
      </c>
      <c r="C147" s="111">
        <v>43084</v>
      </c>
      <c r="D147" s="49">
        <v>1306.7</v>
      </c>
    </row>
    <row r="148" spans="1:4" customFormat="1">
      <c r="A148" t="s">
        <v>762</v>
      </c>
      <c r="B148" t="s">
        <v>153</v>
      </c>
      <c r="C148" s="111">
        <v>43084</v>
      </c>
      <c r="D148" s="49">
        <v>5000</v>
      </c>
    </row>
    <row r="149" spans="1:4" customFormat="1">
      <c r="A149" t="s">
        <v>392</v>
      </c>
      <c r="B149" t="s">
        <v>153</v>
      </c>
      <c r="C149" s="111">
        <v>43084</v>
      </c>
      <c r="D149" s="49">
        <v>5000</v>
      </c>
    </row>
    <row r="150" spans="1:4" customFormat="1">
      <c r="A150" t="s">
        <v>574</v>
      </c>
      <c r="B150" t="s">
        <v>229</v>
      </c>
      <c r="C150" s="111">
        <v>43084</v>
      </c>
      <c r="D150" s="49">
        <v>2141.0500000000002</v>
      </c>
    </row>
    <row r="151" spans="1:4" customFormat="1">
      <c r="A151" t="s">
        <v>508</v>
      </c>
      <c r="B151" t="s">
        <v>184</v>
      </c>
      <c r="C151" s="111">
        <v>43084</v>
      </c>
      <c r="D151" s="49">
        <v>1800</v>
      </c>
    </row>
    <row r="152" spans="1:4" customFormat="1">
      <c r="A152" t="s">
        <v>627</v>
      </c>
      <c r="B152" t="s">
        <v>565</v>
      </c>
      <c r="C152" s="111">
        <v>43084</v>
      </c>
      <c r="D152" s="49">
        <v>687.45</v>
      </c>
    </row>
    <row r="153" spans="1:4" customFormat="1">
      <c r="A153" t="s">
        <v>483</v>
      </c>
      <c r="B153" t="s">
        <v>484</v>
      </c>
      <c r="C153" s="111">
        <v>43084</v>
      </c>
      <c r="D153" s="49">
        <v>1665.39</v>
      </c>
    </row>
    <row r="154" spans="1:4" customFormat="1">
      <c r="A154" t="s">
        <v>575</v>
      </c>
      <c r="B154" t="s">
        <v>186</v>
      </c>
      <c r="C154" s="111">
        <v>43084</v>
      </c>
      <c r="D154" s="49">
        <v>1600</v>
      </c>
    </row>
    <row r="155" spans="1:4" customFormat="1">
      <c r="A155" t="s">
        <v>365</v>
      </c>
      <c r="B155" t="s">
        <v>186</v>
      </c>
      <c r="C155" s="111">
        <v>43084</v>
      </c>
      <c r="D155" s="49">
        <v>998.49</v>
      </c>
    </row>
    <row r="156" spans="1:4" customFormat="1">
      <c r="A156" t="s">
        <v>811</v>
      </c>
      <c r="B156" t="s">
        <v>812</v>
      </c>
      <c r="C156" s="111">
        <v>43084</v>
      </c>
      <c r="D156" s="49">
        <v>501.19</v>
      </c>
    </row>
    <row r="157" spans="1:4" customFormat="1">
      <c r="A157" t="s">
        <v>984</v>
      </c>
      <c r="B157" t="s">
        <v>983</v>
      </c>
      <c r="C157" s="111">
        <v>43084</v>
      </c>
      <c r="D157" s="49">
        <v>1288.75</v>
      </c>
    </row>
    <row r="158" spans="1:4" customFormat="1">
      <c r="A158" t="s">
        <v>381</v>
      </c>
      <c r="B158" t="s">
        <v>189</v>
      </c>
      <c r="C158" s="111">
        <v>43084</v>
      </c>
      <c r="D158" s="49">
        <v>958.88</v>
      </c>
    </row>
    <row r="159" spans="1:4" customFormat="1">
      <c r="A159" t="s">
        <v>551</v>
      </c>
      <c r="B159" t="s">
        <v>550</v>
      </c>
      <c r="C159" s="111">
        <v>43084</v>
      </c>
      <c r="D159" s="49">
        <v>1585.71</v>
      </c>
    </row>
    <row r="160" spans="1:4" customFormat="1">
      <c r="A160" t="s">
        <v>191</v>
      </c>
      <c r="B160" t="s">
        <v>190</v>
      </c>
      <c r="C160" s="111">
        <v>43084</v>
      </c>
      <c r="D160" s="49">
        <v>5000</v>
      </c>
    </row>
    <row r="161" spans="1:4" customFormat="1">
      <c r="A161" t="s">
        <v>763</v>
      </c>
      <c r="B161" t="s">
        <v>266</v>
      </c>
      <c r="C161" s="111">
        <v>43084</v>
      </c>
      <c r="D161" s="49">
        <v>8279.99</v>
      </c>
    </row>
    <row r="162" spans="1:4" customFormat="1">
      <c r="A162" t="s">
        <v>800</v>
      </c>
      <c r="B162" t="s">
        <v>836</v>
      </c>
      <c r="C162" s="111">
        <v>43084</v>
      </c>
      <c r="D162" s="49">
        <v>2666.03</v>
      </c>
    </row>
    <row r="163" spans="1:4" customFormat="1">
      <c r="A163" t="s">
        <v>665</v>
      </c>
      <c r="B163" t="s">
        <v>664</v>
      </c>
      <c r="C163" s="111">
        <v>43084</v>
      </c>
      <c r="D163" s="49">
        <v>800</v>
      </c>
    </row>
    <row r="164" spans="1:4" customFormat="1">
      <c r="A164" t="s">
        <v>271</v>
      </c>
      <c r="B164" t="s">
        <v>463</v>
      </c>
      <c r="C164" s="111">
        <v>43084</v>
      </c>
      <c r="D164" s="49">
        <v>1500</v>
      </c>
    </row>
    <row r="165" spans="1:4" customFormat="1">
      <c r="A165" t="s">
        <v>271</v>
      </c>
      <c r="B165" t="s">
        <v>463</v>
      </c>
      <c r="C165" s="111">
        <v>43084</v>
      </c>
      <c r="D165" s="49">
        <v>1500</v>
      </c>
    </row>
    <row r="166" spans="1:4" customFormat="1">
      <c r="A166" s="863" t="s">
        <v>1263</v>
      </c>
      <c r="B166" s="863" t="s">
        <v>1264</v>
      </c>
      <c r="C166" s="862">
        <v>43084</v>
      </c>
      <c r="D166" s="866">
        <v>730.97799999999995</v>
      </c>
    </row>
    <row r="167" spans="1:4" customFormat="1">
      <c r="A167" s="863" t="s">
        <v>1152</v>
      </c>
      <c r="B167" s="863" t="s">
        <v>1151</v>
      </c>
      <c r="C167" s="862">
        <v>43084</v>
      </c>
      <c r="D167" s="866">
        <v>123.38</v>
      </c>
    </row>
    <row r="168" spans="1:4" customFormat="1">
      <c r="A168" t="s">
        <v>604</v>
      </c>
      <c r="B168" t="s">
        <v>578</v>
      </c>
      <c r="C168" s="111">
        <v>43085</v>
      </c>
      <c r="D168" s="49">
        <v>290</v>
      </c>
    </row>
    <row r="169" spans="1:4" customFormat="1">
      <c r="A169" t="s">
        <v>240</v>
      </c>
      <c r="B169" t="s">
        <v>239</v>
      </c>
      <c r="C169" s="111">
        <v>43085</v>
      </c>
      <c r="D169" s="49">
        <v>621.11</v>
      </c>
    </row>
    <row r="170" spans="1:4" customFormat="1">
      <c r="A170" t="s">
        <v>240</v>
      </c>
      <c r="B170" t="s">
        <v>239</v>
      </c>
      <c r="C170" s="111">
        <v>43085</v>
      </c>
      <c r="D170" s="49">
        <v>753.5</v>
      </c>
    </row>
    <row r="171" spans="1:4" customFormat="1">
      <c r="A171" t="s">
        <v>412</v>
      </c>
      <c r="B171" t="s">
        <v>293</v>
      </c>
      <c r="C171" s="111">
        <v>43085</v>
      </c>
      <c r="D171" s="49">
        <v>1064</v>
      </c>
    </row>
    <row r="172" spans="1:4" customFormat="1">
      <c r="A172" t="s">
        <v>753</v>
      </c>
      <c r="B172" t="s">
        <v>630</v>
      </c>
      <c r="C172" s="111">
        <v>43085</v>
      </c>
      <c r="D172" s="49">
        <v>1280.02</v>
      </c>
    </row>
    <row r="173" spans="1:4" customFormat="1">
      <c r="A173" s="863" t="s">
        <v>520</v>
      </c>
      <c r="B173" s="863" t="s">
        <v>1233</v>
      </c>
      <c r="C173" s="862">
        <v>43085</v>
      </c>
      <c r="D173" s="866">
        <v>612.23</v>
      </c>
    </row>
    <row r="174" spans="1:4" customFormat="1">
      <c r="A174" t="s">
        <v>402</v>
      </c>
      <c r="B174" t="s">
        <v>403</v>
      </c>
      <c r="C174" s="111">
        <v>43086</v>
      </c>
      <c r="D174" s="49">
        <v>3325.67</v>
      </c>
    </row>
    <row r="175" spans="1:4" customFormat="1">
      <c r="A175" t="s">
        <v>744</v>
      </c>
      <c r="B175" t="s">
        <v>210</v>
      </c>
      <c r="C175" s="111">
        <v>43086</v>
      </c>
      <c r="D175" s="49">
        <v>3233.13</v>
      </c>
    </row>
    <row r="176" spans="1:4" customFormat="1">
      <c r="A176" t="s">
        <v>521</v>
      </c>
      <c r="B176" t="s">
        <v>192</v>
      </c>
      <c r="C176" s="111">
        <v>43086</v>
      </c>
      <c r="D176" s="49">
        <v>683</v>
      </c>
    </row>
    <row r="177" spans="1:4" customFormat="1">
      <c r="A177" t="s">
        <v>474</v>
      </c>
      <c r="B177" t="s">
        <v>475</v>
      </c>
      <c r="C177" s="111">
        <v>43087</v>
      </c>
      <c r="D177" s="49">
        <v>800</v>
      </c>
    </row>
    <row r="178" spans="1:4" customFormat="1">
      <c r="A178" s="863" t="s">
        <v>1148</v>
      </c>
      <c r="B178" s="863" t="s">
        <v>1147</v>
      </c>
      <c r="C178" s="862">
        <v>43087</v>
      </c>
      <c r="D178" s="866">
        <v>1616.5309999999999</v>
      </c>
    </row>
    <row r="179" spans="1:4" customFormat="1">
      <c r="A179" t="s">
        <v>548</v>
      </c>
      <c r="B179" t="s">
        <v>547</v>
      </c>
      <c r="C179" s="111">
        <v>43088</v>
      </c>
      <c r="D179" s="49">
        <v>339</v>
      </c>
    </row>
    <row r="180" spans="1:4" customFormat="1">
      <c r="A180" t="s">
        <v>843</v>
      </c>
      <c r="B180" t="s">
        <v>261</v>
      </c>
      <c r="C180" s="111">
        <v>43088</v>
      </c>
      <c r="D180" s="49">
        <v>149.03</v>
      </c>
    </row>
    <row r="181" spans="1:4" customFormat="1">
      <c r="A181" t="s">
        <v>810</v>
      </c>
      <c r="B181" t="s">
        <v>194</v>
      </c>
      <c r="C181" s="111">
        <v>43088</v>
      </c>
      <c r="D181" s="49">
        <v>780</v>
      </c>
    </row>
    <row r="182" spans="1:4" customFormat="1">
      <c r="A182" t="s">
        <v>440</v>
      </c>
      <c r="B182" t="s">
        <v>441</v>
      </c>
      <c r="C182" s="111">
        <v>43088</v>
      </c>
      <c r="D182" s="49">
        <v>2000</v>
      </c>
    </row>
    <row r="183" spans="1:4" customFormat="1">
      <c r="A183" t="s">
        <v>299</v>
      </c>
      <c r="B183" t="s">
        <v>300</v>
      </c>
      <c r="C183" s="111">
        <v>43088</v>
      </c>
      <c r="D183" s="49">
        <v>4199</v>
      </c>
    </row>
    <row r="184" spans="1:4" customFormat="1">
      <c r="A184" t="s">
        <v>278</v>
      </c>
      <c r="B184" t="s">
        <v>277</v>
      </c>
      <c r="C184" s="111">
        <v>43089</v>
      </c>
      <c r="D184" s="49">
        <v>1140.1099999999999</v>
      </c>
    </row>
    <row r="185" spans="1:4" customFormat="1">
      <c r="A185" t="s">
        <v>276</v>
      </c>
      <c r="B185" t="s">
        <v>275</v>
      </c>
      <c r="C185" s="111">
        <v>43089</v>
      </c>
      <c r="D185" s="49">
        <v>345</v>
      </c>
    </row>
    <row r="186" spans="1:4" customFormat="1">
      <c r="A186" t="s">
        <v>276</v>
      </c>
      <c r="B186" t="s">
        <v>275</v>
      </c>
      <c r="C186" s="111">
        <v>43089</v>
      </c>
      <c r="D186" s="49">
        <v>400</v>
      </c>
    </row>
    <row r="187" spans="1:4" customFormat="1">
      <c r="A187" t="s">
        <v>604</v>
      </c>
      <c r="B187" t="s">
        <v>578</v>
      </c>
      <c r="C187" s="111">
        <v>43089</v>
      </c>
      <c r="D187" s="49">
        <v>150</v>
      </c>
    </row>
    <row r="188" spans="1:4" customFormat="1">
      <c r="A188" t="s">
        <v>644</v>
      </c>
      <c r="B188" t="s">
        <v>645</v>
      </c>
      <c r="C188" s="111">
        <v>43089</v>
      </c>
      <c r="D188" s="49">
        <v>1173.24</v>
      </c>
    </row>
    <row r="189" spans="1:4" customFormat="1">
      <c r="A189" t="s">
        <v>370</v>
      </c>
      <c r="B189" t="s">
        <v>371</v>
      </c>
      <c r="C189" s="111">
        <v>43089</v>
      </c>
      <c r="D189" s="49">
        <v>3298.75</v>
      </c>
    </row>
    <row r="190" spans="1:4" customFormat="1">
      <c r="A190" t="s">
        <v>536</v>
      </c>
      <c r="B190" t="s">
        <v>535</v>
      </c>
      <c r="C190" s="111">
        <v>43089</v>
      </c>
      <c r="D190" s="49">
        <v>2164</v>
      </c>
    </row>
    <row r="191" spans="1:4" customFormat="1">
      <c r="A191" t="s">
        <v>314</v>
      </c>
      <c r="B191" t="s">
        <v>315</v>
      </c>
      <c r="C191" s="111">
        <v>43089</v>
      </c>
      <c r="D191" s="49">
        <v>2000</v>
      </c>
    </row>
    <row r="192" spans="1:4" customFormat="1">
      <c r="A192" t="s">
        <v>1083</v>
      </c>
      <c r="B192" t="s">
        <v>1082</v>
      </c>
      <c r="C192" s="111">
        <v>43089</v>
      </c>
      <c r="D192" s="49">
        <v>400</v>
      </c>
    </row>
    <row r="193" spans="1:4" customFormat="1">
      <c r="A193" t="s">
        <v>259</v>
      </c>
      <c r="B193" t="s">
        <v>258</v>
      </c>
      <c r="C193" s="111">
        <v>43089</v>
      </c>
      <c r="D193" s="49">
        <v>1369.93</v>
      </c>
    </row>
    <row r="194" spans="1:4" customFormat="1">
      <c r="A194" t="s">
        <v>228</v>
      </c>
      <c r="B194" t="s">
        <v>227</v>
      </c>
      <c r="C194" s="111">
        <v>43089</v>
      </c>
      <c r="D194" s="49">
        <v>440</v>
      </c>
    </row>
    <row r="195" spans="1:4" customFormat="1">
      <c r="A195" t="s">
        <v>616</v>
      </c>
      <c r="B195" t="s">
        <v>617</v>
      </c>
      <c r="C195" s="111">
        <v>43089</v>
      </c>
      <c r="D195" s="49">
        <v>2048.79</v>
      </c>
    </row>
    <row r="196" spans="1:4" customFormat="1">
      <c r="A196" t="s">
        <v>308</v>
      </c>
      <c r="B196" t="s">
        <v>309</v>
      </c>
      <c r="C196" s="111">
        <v>43089</v>
      </c>
      <c r="D196" s="49">
        <v>570</v>
      </c>
    </row>
    <row r="197" spans="1:4" customFormat="1">
      <c r="A197" t="s">
        <v>764</v>
      </c>
      <c r="B197" t="s">
        <v>330</v>
      </c>
      <c r="C197" s="111">
        <v>43089</v>
      </c>
      <c r="D197" s="49">
        <v>1135.25</v>
      </c>
    </row>
    <row r="198" spans="1:4" customFormat="1">
      <c r="A198" t="s">
        <v>573</v>
      </c>
      <c r="B198" t="s">
        <v>417</v>
      </c>
      <c r="C198" s="111">
        <v>43089</v>
      </c>
      <c r="D198" s="49">
        <v>15800</v>
      </c>
    </row>
    <row r="199" spans="1:4" customFormat="1">
      <c r="A199" t="s">
        <v>385</v>
      </c>
      <c r="B199" t="s">
        <v>185</v>
      </c>
      <c r="C199" s="111">
        <v>43089</v>
      </c>
      <c r="D199" s="49">
        <v>2000</v>
      </c>
    </row>
    <row r="200" spans="1:4" customFormat="1">
      <c r="A200" t="s">
        <v>525</v>
      </c>
      <c r="B200" t="s">
        <v>208</v>
      </c>
      <c r="C200" s="111">
        <v>43089</v>
      </c>
      <c r="D200" s="49">
        <v>4500</v>
      </c>
    </row>
    <row r="201" spans="1:4" customFormat="1">
      <c r="A201" t="s">
        <v>135</v>
      </c>
      <c r="B201" t="s">
        <v>134</v>
      </c>
      <c r="C201" s="111">
        <v>43089</v>
      </c>
      <c r="D201" s="49">
        <v>1000</v>
      </c>
    </row>
    <row r="202" spans="1:4" customFormat="1">
      <c r="A202" t="s">
        <v>844</v>
      </c>
      <c r="B202" t="s">
        <v>610</v>
      </c>
      <c r="C202" s="111">
        <v>43089</v>
      </c>
      <c r="D202" s="49">
        <v>1196.8800000000001</v>
      </c>
    </row>
    <row r="203" spans="1:4" customFormat="1">
      <c r="A203" t="s">
        <v>365</v>
      </c>
      <c r="B203" t="s">
        <v>186</v>
      </c>
      <c r="C203" s="111">
        <v>43089</v>
      </c>
      <c r="D203" s="49">
        <v>700</v>
      </c>
    </row>
    <row r="204" spans="1:4" customFormat="1">
      <c r="A204" t="s">
        <v>575</v>
      </c>
      <c r="B204" t="s">
        <v>186</v>
      </c>
      <c r="C204" s="111">
        <v>43089</v>
      </c>
      <c r="D204" s="49">
        <v>1400</v>
      </c>
    </row>
    <row r="205" spans="1:4" customFormat="1">
      <c r="A205" t="s">
        <v>703</v>
      </c>
      <c r="B205" t="s">
        <v>245</v>
      </c>
      <c r="C205" s="111">
        <v>43089</v>
      </c>
      <c r="D205" s="49">
        <v>2048.77</v>
      </c>
    </row>
    <row r="206" spans="1:4" customFormat="1">
      <c r="A206" t="s">
        <v>663</v>
      </c>
      <c r="B206" t="s">
        <v>187</v>
      </c>
      <c r="C206" s="111">
        <v>43089</v>
      </c>
      <c r="D206" s="49">
        <v>1925.71</v>
      </c>
    </row>
    <row r="207" spans="1:4" customFormat="1">
      <c r="A207" t="s">
        <v>765</v>
      </c>
      <c r="B207" t="s">
        <v>766</v>
      </c>
      <c r="C207" s="111">
        <v>43089</v>
      </c>
      <c r="D207" s="49">
        <v>2937.58</v>
      </c>
    </row>
    <row r="208" spans="1:4" customFormat="1">
      <c r="A208" t="s">
        <v>442</v>
      </c>
      <c r="B208" t="s">
        <v>784</v>
      </c>
      <c r="C208" s="111">
        <v>43089</v>
      </c>
      <c r="D208" s="49">
        <v>1100</v>
      </c>
    </row>
    <row r="209" spans="1:4" customFormat="1">
      <c r="A209" t="s">
        <v>255</v>
      </c>
      <c r="B209" t="s">
        <v>254</v>
      </c>
      <c r="C209" s="111">
        <v>43089</v>
      </c>
      <c r="D209" s="49">
        <v>698.14</v>
      </c>
    </row>
    <row r="210" spans="1:4" customFormat="1">
      <c r="A210" t="s">
        <v>737</v>
      </c>
      <c r="B210" t="s">
        <v>270</v>
      </c>
      <c r="C210" s="111">
        <v>43089</v>
      </c>
      <c r="D210" s="49">
        <v>2110.25</v>
      </c>
    </row>
    <row r="211" spans="1:4" customFormat="1">
      <c r="A211" t="s">
        <v>662</v>
      </c>
      <c r="B211" t="s">
        <v>145</v>
      </c>
      <c r="C211" s="111">
        <v>43089</v>
      </c>
      <c r="D211" s="49">
        <v>1674</v>
      </c>
    </row>
    <row r="212" spans="1:4" customFormat="1">
      <c r="A212" t="s">
        <v>271</v>
      </c>
      <c r="B212" t="s">
        <v>463</v>
      </c>
      <c r="C212" s="111">
        <v>43089</v>
      </c>
      <c r="D212" s="49">
        <v>2000</v>
      </c>
    </row>
    <row r="213" spans="1:4" customFormat="1">
      <c r="A213" t="s">
        <v>274</v>
      </c>
      <c r="B213" t="s">
        <v>273</v>
      </c>
      <c r="C213" s="111">
        <v>43089</v>
      </c>
      <c r="D213" s="49">
        <v>600</v>
      </c>
    </row>
    <row r="214" spans="1:4" customFormat="1">
      <c r="A214" t="s">
        <v>274</v>
      </c>
      <c r="B214" t="s">
        <v>273</v>
      </c>
      <c r="C214" s="111">
        <v>43089</v>
      </c>
      <c r="D214" s="49">
        <v>600</v>
      </c>
    </row>
    <row r="215" spans="1:4" customFormat="1">
      <c r="A215" t="s">
        <v>257</v>
      </c>
      <c r="B215" t="s">
        <v>256</v>
      </c>
      <c r="C215" s="111">
        <v>43090</v>
      </c>
      <c r="D215" s="49">
        <v>1230</v>
      </c>
    </row>
    <row r="216" spans="1:4" customFormat="1">
      <c r="A216" t="s">
        <v>512</v>
      </c>
      <c r="B216" t="s">
        <v>511</v>
      </c>
      <c r="C216" s="111">
        <v>43090</v>
      </c>
      <c r="D216" s="49">
        <v>1773</v>
      </c>
    </row>
    <row r="217" spans="1:4" customFormat="1">
      <c r="A217" t="s">
        <v>555</v>
      </c>
      <c r="B217" t="s">
        <v>174</v>
      </c>
      <c r="C217" s="111">
        <v>43090</v>
      </c>
      <c r="D217" s="49">
        <v>3463.98</v>
      </c>
    </row>
    <row r="218" spans="1:4" customFormat="1">
      <c r="A218" t="s">
        <v>384</v>
      </c>
      <c r="B218" t="s">
        <v>168</v>
      </c>
      <c r="C218" s="111">
        <v>43090</v>
      </c>
      <c r="D218" s="49">
        <v>878.72</v>
      </c>
    </row>
    <row r="219" spans="1:4" customFormat="1">
      <c r="A219" t="s">
        <v>845</v>
      </c>
      <c r="B219" t="s">
        <v>846</v>
      </c>
      <c r="C219" s="111">
        <v>43090</v>
      </c>
      <c r="D219" s="49">
        <v>1121.28</v>
      </c>
    </row>
    <row r="220" spans="1:4" customFormat="1">
      <c r="A220" s="863" t="s">
        <v>1263</v>
      </c>
      <c r="B220" s="863" t="s">
        <v>1264</v>
      </c>
      <c r="C220" s="862">
        <v>43090</v>
      </c>
      <c r="D220" s="866">
        <v>720.92700000000002</v>
      </c>
    </row>
    <row r="221" spans="1:4" customFormat="1">
      <c r="A221" t="s">
        <v>628</v>
      </c>
      <c r="B221" t="s">
        <v>366</v>
      </c>
      <c r="C221" s="111">
        <v>43091</v>
      </c>
      <c r="D221" s="49">
        <v>1494.76</v>
      </c>
    </row>
    <row r="222" spans="1:4" customFormat="1">
      <c r="A222" t="s">
        <v>520</v>
      </c>
      <c r="B222" t="s">
        <v>320</v>
      </c>
      <c r="C222" s="111">
        <v>43091</v>
      </c>
      <c r="D222" s="49">
        <v>1868.42</v>
      </c>
    </row>
    <row r="223" spans="1:4" customFormat="1">
      <c r="A223" t="s">
        <v>412</v>
      </c>
      <c r="B223" t="s">
        <v>293</v>
      </c>
      <c r="C223" s="111">
        <v>43091</v>
      </c>
      <c r="D223" s="49">
        <v>1212.3699999999999</v>
      </c>
    </row>
    <row r="224" spans="1:4" customFormat="1">
      <c r="A224" t="s">
        <v>668</v>
      </c>
      <c r="B224" t="s">
        <v>667</v>
      </c>
      <c r="C224" s="111">
        <v>43091</v>
      </c>
      <c r="D224" s="49">
        <v>1676.54</v>
      </c>
    </row>
    <row r="225" spans="1:4" customFormat="1">
      <c r="A225" t="s">
        <v>518</v>
      </c>
      <c r="B225" t="s">
        <v>155</v>
      </c>
      <c r="C225" s="111">
        <v>43091</v>
      </c>
      <c r="D225" s="49">
        <v>850</v>
      </c>
    </row>
    <row r="226" spans="1:4" customFormat="1">
      <c r="A226" t="s">
        <v>135</v>
      </c>
      <c r="B226" t="s">
        <v>134</v>
      </c>
      <c r="C226" s="111">
        <v>43091</v>
      </c>
      <c r="D226" s="49">
        <v>1000</v>
      </c>
    </row>
    <row r="227" spans="1:4" customFormat="1">
      <c r="A227" t="s">
        <v>643</v>
      </c>
      <c r="B227" t="s">
        <v>189</v>
      </c>
      <c r="C227" s="111">
        <v>43091</v>
      </c>
      <c r="D227" s="49">
        <v>635</v>
      </c>
    </row>
    <row r="228" spans="1:4" customFormat="1">
      <c r="A228" t="s">
        <v>942</v>
      </c>
      <c r="B228" t="s">
        <v>451</v>
      </c>
      <c r="C228" s="111">
        <v>43091</v>
      </c>
      <c r="D228" s="49">
        <v>595</v>
      </c>
    </row>
    <row r="229" spans="1:4" customFormat="1">
      <c r="A229" s="863" t="s">
        <v>1263</v>
      </c>
      <c r="B229" s="863" t="s">
        <v>1264</v>
      </c>
      <c r="C229" s="862">
        <v>43091</v>
      </c>
      <c r="D229" s="866">
        <v>730.97799999999995</v>
      </c>
    </row>
    <row r="230" spans="1:4" customFormat="1">
      <c r="A230" t="s">
        <v>548</v>
      </c>
      <c r="B230" t="s">
        <v>547</v>
      </c>
      <c r="C230" s="111">
        <v>43092</v>
      </c>
      <c r="D230" s="49">
        <v>339</v>
      </c>
    </row>
    <row r="231" spans="1:4" customFormat="1">
      <c r="A231" t="s">
        <v>240</v>
      </c>
      <c r="B231" t="s">
        <v>239</v>
      </c>
      <c r="C231" s="111">
        <v>43092</v>
      </c>
      <c r="D231" s="49">
        <v>753.5</v>
      </c>
    </row>
    <row r="232" spans="1:4" customFormat="1">
      <c r="A232" t="s">
        <v>240</v>
      </c>
      <c r="B232" t="s">
        <v>239</v>
      </c>
      <c r="C232" s="111">
        <v>43092</v>
      </c>
      <c r="D232" s="49">
        <v>621.11</v>
      </c>
    </row>
    <row r="233" spans="1:4" customFormat="1">
      <c r="A233" t="s">
        <v>653</v>
      </c>
      <c r="B233" t="s">
        <v>654</v>
      </c>
      <c r="C233" s="111">
        <v>43092</v>
      </c>
      <c r="D233" s="49">
        <v>1160</v>
      </c>
    </row>
    <row r="234" spans="1:4" customFormat="1">
      <c r="A234" t="s">
        <v>478</v>
      </c>
      <c r="B234" t="s">
        <v>479</v>
      </c>
      <c r="C234" s="111">
        <v>43092</v>
      </c>
      <c r="D234" s="49">
        <v>680</v>
      </c>
    </row>
    <row r="235" spans="1:4" customFormat="1">
      <c r="A235" t="s">
        <v>481</v>
      </c>
      <c r="B235" t="s">
        <v>482</v>
      </c>
      <c r="C235" s="111">
        <v>43092</v>
      </c>
      <c r="D235" s="49">
        <v>2500</v>
      </c>
    </row>
    <row r="236" spans="1:4" customFormat="1">
      <c r="A236" t="s">
        <v>404</v>
      </c>
      <c r="B236" t="s">
        <v>192</v>
      </c>
      <c r="C236" s="111">
        <v>43092</v>
      </c>
      <c r="D236" s="49">
        <v>927.44</v>
      </c>
    </row>
    <row r="237" spans="1:4" customFormat="1">
      <c r="A237" s="863" t="s">
        <v>1263</v>
      </c>
      <c r="B237" s="863" t="s">
        <v>1264</v>
      </c>
      <c r="C237" s="862">
        <v>43092</v>
      </c>
      <c r="D237" s="866">
        <v>720.92700000000002</v>
      </c>
    </row>
    <row r="238" spans="1:4" customFormat="1">
      <c r="A238" t="s">
        <v>135</v>
      </c>
      <c r="B238" t="s">
        <v>134</v>
      </c>
      <c r="C238" s="111">
        <v>43093</v>
      </c>
      <c r="D238" s="49">
        <v>1000</v>
      </c>
    </row>
    <row r="239" spans="1:4" customFormat="1">
      <c r="A239" t="s">
        <v>741</v>
      </c>
      <c r="B239" t="s">
        <v>788</v>
      </c>
      <c r="C239" s="111">
        <v>43093</v>
      </c>
      <c r="D239" s="49">
        <v>552.59</v>
      </c>
    </row>
    <row r="240" spans="1:4" customFormat="1">
      <c r="A240" t="s">
        <v>614</v>
      </c>
      <c r="B240" t="s">
        <v>615</v>
      </c>
      <c r="C240" s="111">
        <v>43094</v>
      </c>
      <c r="D240" s="49">
        <v>297.57</v>
      </c>
    </row>
    <row r="241" spans="1:4" customFormat="1">
      <c r="A241" t="s">
        <v>157</v>
      </c>
      <c r="B241" t="s">
        <v>156</v>
      </c>
      <c r="C241" s="111">
        <v>43094</v>
      </c>
      <c r="D241" s="49">
        <v>1000</v>
      </c>
    </row>
    <row r="242" spans="1:4" customFormat="1">
      <c r="A242" t="s">
        <v>948</v>
      </c>
      <c r="B242" t="s">
        <v>947</v>
      </c>
      <c r="C242" s="111">
        <v>43094</v>
      </c>
      <c r="D242" s="49">
        <v>1400</v>
      </c>
    </row>
    <row r="243" spans="1:4" customFormat="1">
      <c r="A243" t="s">
        <v>314</v>
      </c>
      <c r="B243" t="s">
        <v>315</v>
      </c>
      <c r="C243" s="111">
        <v>43094</v>
      </c>
      <c r="D243" s="49">
        <v>2000</v>
      </c>
    </row>
    <row r="244" spans="1:4" customFormat="1">
      <c r="A244" t="s">
        <v>133</v>
      </c>
      <c r="B244" t="s">
        <v>132</v>
      </c>
      <c r="C244" s="111">
        <v>43094</v>
      </c>
      <c r="D244" s="49">
        <v>3000</v>
      </c>
    </row>
    <row r="245" spans="1:4" customFormat="1">
      <c r="A245" t="s">
        <v>165</v>
      </c>
      <c r="B245" t="s">
        <v>164</v>
      </c>
      <c r="C245" s="111">
        <v>43094</v>
      </c>
      <c r="D245" s="49">
        <v>7000</v>
      </c>
    </row>
    <row r="246" spans="1:4" customFormat="1">
      <c r="A246" t="s">
        <v>710</v>
      </c>
      <c r="B246" t="s">
        <v>709</v>
      </c>
      <c r="C246" s="111">
        <v>43094</v>
      </c>
      <c r="D246" s="49">
        <v>2883.25</v>
      </c>
    </row>
    <row r="247" spans="1:4" customFormat="1">
      <c r="A247" t="s">
        <v>489</v>
      </c>
      <c r="B247" t="s">
        <v>490</v>
      </c>
      <c r="C247" s="111">
        <v>43094</v>
      </c>
      <c r="D247" s="49">
        <v>353.28</v>
      </c>
    </row>
    <row r="248" spans="1:4" customFormat="1">
      <c r="A248" t="s">
        <v>489</v>
      </c>
      <c r="B248" t="s">
        <v>490</v>
      </c>
      <c r="C248" s="111">
        <v>43094</v>
      </c>
      <c r="D248" s="49">
        <v>589.14</v>
      </c>
    </row>
    <row r="249" spans="1:4" customFormat="1">
      <c r="A249" t="s">
        <v>631</v>
      </c>
      <c r="B249" t="s">
        <v>632</v>
      </c>
      <c r="C249" s="111">
        <v>43094</v>
      </c>
      <c r="D249" s="49">
        <v>1200</v>
      </c>
    </row>
    <row r="250" spans="1:4" customFormat="1">
      <c r="A250" t="s">
        <v>640</v>
      </c>
      <c r="B250" t="s">
        <v>469</v>
      </c>
      <c r="C250" s="111">
        <v>43094</v>
      </c>
      <c r="D250" s="49">
        <v>3305.03</v>
      </c>
    </row>
    <row r="251" spans="1:4" customFormat="1">
      <c r="A251" t="s">
        <v>1002</v>
      </c>
      <c r="B251" t="s">
        <v>309</v>
      </c>
      <c r="C251" s="111">
        <v>43094</v>
      </c>
      <c r="D251" s="49">
        <v>500</v>
      </c>
    </row>
    <row r="252" spans="1:4" customFormat="1">
      <c r="A252" t="s">
        <v>308</v>
      </c>
      <c r="B252" t="s">
        <v>309</v>
      </c>
      <c r="C252" s="111">
        <v>43094</v>
      </c>
      <c r="D252" s="49">
        <v>750</v>
      </c>
    </row>
    <row r="253" spans="1:4" customFormat="1">
      <c r="A253" t="s">
        <v>369</v>
      </c>
      <c r="B253" t="s">
        <v>230</v>
      </c>
      <c r="C253" s="111">
        <v>43094</v>
      </c>
      <c r="D253" s="49">
        <v>1160.8</v>
      </c>
    </row>
    <row r="254" spans="1:4" customFormat="1">
      <c r="A254" t="s">
        <v>474</v>
      </c>
      <c r="B254" t="s">
        <v>475</v>
      </c>
      <c r="C254" s="111">
        <v>43094</v>
      </c>
      <c r="D254" s="49">
        <v>800</v>
      </c>
    </row>
    <row r="255" spans="1:4" customFormat="1">
      <c r="A255" t="s">
        <v>649</v>
      </c>
      <c r="B255" t="s">
        <v>251</v>
      </c>
      <c r="C255" s="111">
        <v>43094</v>
      </c>
      <c r="D255" s="49">
        <v>1818.09</v>
      </c>
    </row>
    <row r="256" spans="1:4" customFormat="1">
      <c r="A256" t="s">
        <v>380</v>
      </c>
      <c r="B256" t="s">
        <v>292</v>
      </c>
      <c r="C256" s="111">
        <v>43094</v>
      </c>
      <c r="D256" s="49">
        <v>3061.28</v>
      </c>
    </row>
    <row r="257" spans="1:4" customFormat="1">
      <c r="A257" t="s">
        <v>611</v>
      </c>
      <c r="B257" t="s">
        <v>292</v>
      </c>
      <c r="C257" s="111">
        <v>43094</v>
      </c>
      <c r="D257" s="49">
        <v>3571.5</v>
      </c>
    </row>
    <row r="258" spans="1:4" customFormat="1">
      <c r="A258" t="s">
        <v>139</v>
      </c>
      <c r="B258" t="s">
        <v>138</v>
      </c>
      <c r="C258" s="111">
        <v>43094</v>
      </c>
      <c r="D258" s="49">
        <v>1397.9</v>
      </c>
    </row>
    <row r="259" spans="1:4" customFormat="1">
      <c r="A259" t="s">
        <v>365</v>
      </c>
      <c r="B259" t="s">
        <v>186</v>
      </c>
      <c r="C259" s="111">
        <v>43094</v>
      </c>
      <c r="D259" s="49">
        <v>998.49</v>
      </c>
    </row>
    <row r="260" spans="1:4" customFormat="1">
      <c r="A260" t="s">
        <v>1081</v>
      </c>
      <c r="B260" t="s">
        <v>487</v>
      </c>
      <c r="C260" s="111">
        <v>43094</v>
      </c>
      <c r="D260" s="49">
        <v>3219.04</v>
      </c>
    </row>
    <row r="261" spans="1:4" customFormat="1">
      <c r="A261" t="s">
        <v>688</v>
      </c>
      <c r="B261" t="s">
        <v>177</v>
      </c>
      <c r="C261" s="111">
        <v>43094</v>
      </c>
      <c r="D261" s="49">
        <v>1404.07</v>
      </c>
    </row>
    <row r="262" spans="1:4" customFormat="1">
      <c r="A262" t="s">
        <v>191</v>
      </c>
      <c r="B262" t="s">
        <v>190</v>
      </c>
      <c r="C262" s="111">
        <v>43094</v>
      </c>
      <c r="D262" s="49">
        <v>5000</v>
      </c>
    </row>
    <row r="263" spans="1:4" customFormat="1">
      <c r="A263" t="s">
        <v>255</v>
      </c>
      <c r="B263" t="s">
        <v>254</v>
      </c>
      <c r="C263" s="111">
        <v>43094</v>
      </c>
      <c r="D263" s="49">
        <v>583.16999999999996</v>
      </c>
    </row>
    <row r="264" spans="1:4" customFormat="1">
      <c r="A264" t="s">
        <v>637</v>
      </c>
      <c r="B264" t="s">
        <v>321</v>
      </c>
      <c r="C264" s="111">
        <v>43094</v>
      </c>
      <c r="D264" s="49">
        <v>843.02</v>
      </c>
    </row>
    <row r="265" spans="1:4" customFormat="1">
      <c r="A265" t="s">
        <v>179</v>
      </c>
      <c r="B265" t="s">
        <v>178</v>
      </c>
      <c r="C265" s="111">
        <v>43094</v>
      </c>
      <c r="D265" s="49">
        <v>2700</v>
      </c>
    </row>
    <row r="266" spans="1:4" customFormat="1">
      <c r="A266" t="s">
        <v>271</v>
      </c>
      <c r="B266" t="s">
        <v>463</v>
      </c>
      <c r="C266" s="111">
        <v>43094</v>
      </c>
      <c r="D266" s="49">
        <v>1207.8699999999999</v>
      </c>
    </row>
    <row r="267" spans="1:4" customFormat="1">
      <c r="A267" s="863" t="s">
        <v>1263</v>
      </c>
      <c r="B267" s="863" t="s">
        <v>1264</v>
      </c>
      <c r="C267" s="862">
        <v>43094</v>
      </c>
      <c r="D267" s="866">
        <v>730.97799999999995</v>
      </c>
    </row>
    <row r="268" spans="1:4" customFormat="1">
      <c r="A268" s="863" t="s">
        <v>489</v>
      </c>
      <c r="B268" s="863" t="s">
        <v>1242</v>
      </c>
      <c r="C268" s="862">
        <v>43094</v>
      </c>
      <c r="D268" s="866">
        <v>601.25400000000002</v>
      </c>
    </row>
    <row r="269" spans="1:4" customFormat="1">
      <c r="A269" t="s">
        <v>135</v>
      </c>
      <c r="B269" t="s">
        <v>134</v>
      </c>
      <c r="C269" s="111">
        <v>43095</v>
      </c>
      <c r="D269" s="49">
        <v>1000</v>
      </c>
    </row>
    <row r="270" spans="1:4" customFormat="1">
      <c r="A270" t="s">
        <v>760</v>
      </c>
      <c r="B270" t="s">
        <v>444</v>
      </c>
      <c r="C270" s="111">
        <v>43095</v>
      </c>
      <c r="D270" s="49">
        <v>2799.04</v>
      </c>
    </row>
    <row r="271" spans="1:4" customFormat="1">
      <c r="A271" t="s">
        <v>541</v>
      </c>
      <c r="B271" t="s">
        <v>194</v>
      </c>
      <c r="C271" s="111">
        <v>43095</v>
      </c>
      <c r="D271" s="49">
        <v>780</v>
      </c>
    </row>
    <row r="272" spans="1:4" customFormat="1">
      <c r="A272" t="s">
        <v>797</v>
      </c>
      <c r="B272" t="s">
        <v>214</v>
      </c>
      <c r="C272" s="111">
        <v>43095</v>
      </c>
      <c r="D272" s="49">
        <v>2000</v>
      </c>
    </row>
    <row r="273" spans="1:4" customFormat="1">
      <c r="A273" t="s">
        <v>137</v>
      </c>
      <c r="B273" t="s">
        <v>136</v>
      </c>
      <c r="C273" s="111">
        <v>43096</v>
      </c>
      <c r="D273" s="49">
        <v>11772.89</v>
      </c>
    </row>
    <row r="274" spans="1:4" customFormat="1">
      <c r="A274" t="s">
        <v>389</v>
      </c>
      <c r="B274" t="s">
        <v>154</v>
      </c>
      <c r="C274" s="111">
        <v>43096</v>
      </c>
      <c r="D274" s="49">
        <v>2731.71</v>
      </c>
    </row>
    <row r="275" spans="1:4" customFormat="1">
      <c r="A275" t="s">
        <v>540</v>
      </c>
      <c r="B275" t="s">
        <v>539</v>
      </c>
      <c r="C275" s="111">
        <v>43096</v>
      </c>
      <c r="D275" s="49">
        <v>4988.5</v>
      </c>
    </row>
    <row r="276" spans="1:4" customFormat="1">
      <c r="A276" t="s">
        <v>412</v>
      </c>
      <c r="B276" t="s">
        <v>293</v>
      </c>
      <c r="C276" s="111">
        <v>43096</v>
      </c>
      <c r="D276" s="49">
        <v>1212.3699999999999</v>
      </c>
    </row>
    <row r="277" spans="1:4" customFormat="1">
      <c r="A277" t="s">
        <v>742</v>
      </c>
      <c r="B277" t="s">
        <v>1080</v>
      </c>
      <c r="C277" s="111">
        <v>43096</v>
      </c>
      <c r="D277" s="49">
        <v>683.9</v>
      </c>
    </row>
    <row r="278" spans="1:4" customFormat="1">
      <c r="A278" t="s">
        <v>212</v>
      </c>
      <c r="B278" t="s">
        <v>211</v>
      </c>
      <c r="C278" s="111">
        <v>43097</v>
      </c>
      <c r="D278" s="49">
        <v>1962.08</v>
      </c>
    </row>
    <row r="279" spans="1:4" customFormat="1">
      <c r="A279" t="s">
        <v>899</v>
      </c>
      <c r="B279" t="s">
        <v>605</v>
      </c>
      <c r="C279" s="111">
        <v>43097</v>
      </c>
      <c r="D279" s="49">
        <v>800</v>
      </c>
    </row>
    <row r="280" spans="1:4" customFormat="1">
      <c r="A280" t="s">
        <v>474</v>
      </c>
      <c r="B280" t="s">
        <v>475</v>
      </c>
      <c r="C280" s="111">
        <v>43097</v>
      </c>
      <c r="D280" s="49">
        <v>786.2</v>
      </c>
    </row>
    <row r="281" spans="1:4" customFormat="1">
      <c r="A281" t="s">
        <v>908</v>
      </c>
      <c r="B281" t="s">
        <v>339</v>
      </c>
      <c r="C281" s="111">
        <v>43097</v>
      </c>
      <c r="D281" s="49">
        <v>7998.4</v>
      </c>
    </row>
    <row r="282" spans="1:4" customFormat="1">
      <c r="A282" t="s">
        <v>767</v>
      </c>
      <c r="B282" t="s">
        <v>155</v>
      </c>
      <c r="C282" s="111">
        <v>43097</v>
      </c>
      <c r="D282" s="49">
        <v>894.3</v>
      </c>
    </row>
    <row r="283" spans="1:4" customFormat="1">
      <c r="A283" t="s">
        <v>135</v>
      </c>
      <c r="B283" t="s">
        <v>134</v>
      </c>
      <c r="C283" s="111">
        <v>43097</v>
      </c>
      <c r="D283" s="49">
        <v>633.85</v>
      </c>
    </row>
    <row r="284" spans="1:4" customFormat="1">
      <c r="A284" t="s">
        <v>942</v>
      </c>
      <c r="B284" t="s">
        <v>451</v>
      </c>
      <c r="C284" s="111">
        <v>43097</v>
      </c>
      <c r="D284" s="49">
        <v>595</v>
      </c>
    </row>
    <row r="285" spans="1:4" customFormat="1">
      <c r="A285" t="s">
        <v>695</v>
      </c>
      <c r="B285" t="s">
        <v>694</v>
      </c>
      <c r="C285" s="111">
        <v>43097</v>
      </c>
      <c r="D285" s="49">
        <v>1000</v>
      </c>
    </row>
    <row r="286" spans="1:4" customFormat="1">
      <c r="A286" s="863" t="s">
        <v>992</v>
      </c>
      <c r="B286" s="863" t="s">
        <v>991</v>
      </c>
      <c r="C286" s="862">
        <v>43097</v>
      </c>
      <c r="D286" s="866">
        <v>499.99200000000002</v>
      </c>
    </row>
    <row r="287" spans="1:4" customFormat="1">
      <c r="A287" t="s">
        <v>548</v>
      </c>
      <c r="B287" t="s">
        <v>547</v>
      </c>
      <c r="C287" s="111">
        <v>43098</v>
      </c>
      <c r="D287" s="49">
        <v>339</v>
      </c>
    </row>
    <row r="288" spans="1:4" customFormat="1">
      <c r="A288" t="s">
        <v>745</v>
      </c>
      <c r="B288" t="s">
        <v>746</v>
      </c>
      <c r="C288" s="111">
        <v>43098</v>
      </c>
      <c r="D288" s="49">
        <v>1477.11</v>
      </c>
    </row>
    <row r="289" spans="1:4" customFormat="1">
      <c r="A289" t="s">
        <v>687</v>
      </c>
      <c r="B289" t="s">
        <v>686</v>
      </c>
      <c r="C289" s="111">
        <v>43098</v>
      </c>
      <c r="D289" s="49">
        <v>755.49</v>
      </c>
    </row>
    <row r="290" spans="1:4" customFormat="1">
      <c r="A290" t="s">
        <v>257</v>
      </c>
      <c r="B290" t="s">
        <v>256</v>
      </c>
      <c r="C290" s="111">
        <v>43098</v>
      </c>
      <c r="D290" s="49">
        <v>1240</v>
      </c>
    </row>
    <row r="291" spans="1:4" customFormat="1">
      <c r="A291" t="s">
        <v>909</v>
      </c>
      <c r="B291" t="s">
        <v>804</v>
      </c>
      <c r="C291" s="111">
        <v>43098</v>
      </c>
      <c r="D291" s="49">
        <v>467.28</v>
      </c>
    </row>
    <row r="292" spans="1:4" customFormat="1">
      <c r="A292" t="s">
        <v>374</v>
      </c>
      <c r="B292" t="s">
        <v>281</v>
      </c>
      <c r="C292" s="111">
        <v>43098</v>
      </c>
      <c r="D292" s="49">
        <v>1500</v>
      </c>
    </row>
    <row r="293" spans="1:4" customFormat="1">
      <c r="A293" t="s">
        <v>619</v>
      </c>
      <c r="B293" t="s">
        <v>620</v>
      </c>
      <c r="C293" s="111">
        <v>43098</v>
      </c>
      <c r="D293" s="49">
        <v>550.79999999999995</v>
      </c>
    </row>
    <row r="294" spans="1:4" customFormat="1">
      <c r="A294" t="s">
        <v>847</v>
      </c>
      <c r="B294" t="s">
        <v>689</v>
      </c>
      <c r="C294" s="111">
        <v>43098</v>
      </c>
      <c r="D294" s="49">
        <v>493.18</v>
      </c>
    </row>
    <row r="295" spans="1:4" customFormat="1">
      <c r="A295" t="s">
        <v>534</v>
      </c>
      <c r="B295" t="s">
        <v>533</v>
      </c>
      <c r="C295" s="111">
        <v>43098</v>
      </c>
      <c r="D295" s="49">
        <v>515.73</v>
      </c>
    </row>
    <row r="296" spans="1:4" customFormat="1">
      <c r="A296" t="s">
        <v>139</v>
      </c>
      <c r="B296" t="s">
        <v>138</v>
      </c>
      <c r="C296" s="111">
        <v>43098</v>
      </c>
      <c r="D296" s="49">
        <v>1397.9</v>
      </c>
    </row>
    <row r="297" spans="1:4" customFormat="1">
      <c r="A297" t="s">
        <v>702</v>
      </c>
      <c r="B297" t="s">
        <v>701</v>
      </c>
      <c r="C297" s="111">
        <v>43098</v>
      </c>
      <c r="D297" s="49">
        <v>1345.4</v>
      </c>
    </row>
    <row r="298" spans="1:4" customFormat="1">
      <c r="A298" t="s">
        <v>997</v>
      </c>
      <c r="B298" t="s">
        <v>1079</v>
      </c>
      <c r="C298" s="111">
        <v>43098</v>
      </c>
      <c r="D298" s="49">
        <v>3258.06</v>
      </c>
    </row>
    <row r="299" spans="1:4" customFormat="1">
      <c r="A299" t="s">
        <v>571</v>
      </c>
      <c r="B299" t="s">
        <v>790</v>
      </c>
      <c r="C299" s="111">
        <v>43098</v>
      </c>
      <c r="D299" s="49">
        <v>1569.71</v>
      </c>
    </row>
    <row r="300" spans="1:4" customFormat="1">
      <c r="A300" t="s">
        <v>276</v>
      </c>
      <c r="B300" t="s">
        <v>275</v>
      </c>
      <c r="C300" s="111">
        <v>43099</v>
      </c>
      <c r="D300" s="49">
        <v>1000</v>
      </c>
    </row>
    <row r="301" spans="1:4" customFormat="1">
      <c r="A301" t="s">
        <v>604</v>
      </c>
      <c r="B301" t="s">
        <v>578</v>
      </c>
      <c r="C301" s="111">
        <v>43099</v>
      </c>
      <c r="D301" s="49">
        <v>275</v>
      </c>
    </row>
    <row r="302" spans="1:4" customFormat="1">
      <c r="A302" t="s">
        <v>952</v>
      </c>
      <c r="B302" t="s">
        <v>951</v>
      </c>
      <c r="C302" s="111">
        <v>43099</v>
      </c>
      <c r="D302" s="49">
        <v>967.7</v>
      </c>
    </row>
    <row r="303" spans="1:4" customFormat="1">
      <c r="A303" t="s">
        <v>207</v>
      </c>
      <c r="B303" t="s">
        <v>206</v>
      </c>
      <c r="C303" s="111">
        <v>43099</v>
      </c>
      <c r="D303" s="49">
        <v>2000</v>
      </c>
    </row>
    <row r="304" spans="1:4" customFormat="1">
      <c r="A304" t="s">
        <v>950</v>
      </c>
      <c r="B304" t="s">
        <v>949</v>
      </c>
      <c r="C304" s="111">
        <v>43099</v>
      </c>
      <c r="D304" s="49">
        <v>1200</v>
      </c>
    </row>
    <row r="305" spans="1:4" customFormat="1">
      <c r="A305" t="s">
        <v>805</v>
      </c>
      <c r="B305" t="s">
        <v>806</v>
      </c>
      <c r="C305" s="111">
        <v>43099</v>
      </c>
      <c r="D305" s="49">
        <v>12932.82</v>
      </c>
    </row>
    <row r="306" spans="1:4" customFormat="1">
      <c r="A306" t="s">
        <v>911</v>
      </c>
      <c r="B306" t="s">
        <v>912</v>
      </c>
      <c r="C306" s="111">
        <v>43099</v>
      </c>
      <c r="D306" s="49">
        <v>1448.14</v>
      </c>
    </row>
    <row r="307" spans="1:4" customFormat="1">
      <c r="A307" t="s">
        <v>707</v>
      </c>
      <c r="B307" t="s">
        <v>546</v>
      </c>
      <c r="C307" s="111">
        <v>43099</v>
      </c>
      <c r="D307" s="49">
        <v>3000</v>
      </c>
    </row>
    <row r="308" spans="1:4" customFormat="1">
      <c r="A308" t="s">
        <v>517</v>
      </c>
      <c r="B308" t="s">
        <v>516</v>
      </c>
      <c r="C308" s="111">
        <v>43099</v>
      </c>
      <c r="D308" s="49">
        <v>6465.16</v>
      </c>
    </row>
    <row r="309" spans="1:4" customFormat="1">
      <c r="A309" t="s">
        <v>314</v>
      </c>
      <c r="B309" t="s">
        <v>315</v>
      </c>
      <c r="C309" s="111">
        <v>43099</v>
      </c>
      <c r="D309" s="49">
        <v>2090.12</v>
      </c>
    </row>
    <row r="310" spans="1:4" customFormat="1">
      <c r="A310" t="s">
        <v>606</v>
      </c>
      <c r="B310" t="s">
        <v>607</v>
      </c>
      <c r="C310" s="111">
        <v>43099</v>
      </c>
      <c r="D310" s="49">
        <v>748.99</v>
      </c>
    </row>
    <row r="311" spans="1:4" customFormat="1">
      <c r="A311" t="s">
        <v>545</v>
      </c>
      <c r="B311" t="s">
        <v>544</v>
      </c>
      <c r="C311" s="111">
        <v>43099</v>
      </c>
      <c r="D311" s="49">
        <v>1494.24</v>
      </c>
    </row>
    <row r="312" spans="1:4" customFormat="1">
      <c r="A312" t="s">
        <v>848</v>
      </c>
      <c r="B312" t="s">
        <v>849</v>
      </c>
      <c r="C312" s="111">
        <v>43099</v>
      </c>
      <c r="D312" s="49">
        <v>202.52</v>
      </c>
    </row>
    <row r="313" spans="1:4" customFormat="1">
      <c r="A313" t="s">
        <v>226</v>
      </c>
      <c r="B313" t="s">
        <v>225</v>
      </c>
      <c r="C313" s="111">
        <v>43099</v>
      </c>
      <c r="D313" s="49">
        <v>1350.45</v>
      </c>
    </row>
    <row r="314" spans="1:4" customFormat="1">
      <c r="A314" t="s">
        <v>491</v>
      </c>
      <c r="B314" t="s">
        <v>492</v>
      </c>
      <c r="C314" s="111">
        <v>43099</v>
      </c>
      <c r="D314" s="49">
        <v>5805.75</v>
      </c>
    </row>
    <row r="315" spans="1:4" customFormat="1">
      <c r="A315" t="s">
        <v>747</v>
      </c>
      <c r="B315" t="s">
        <v>748</v>
      </c>
      <c r="C315" s="111">
        <v>43099</v>
      </c>
      <c r="D315" s="49">
        <v>462.71</v>
      </c>
    </row>
    <row r="316" spans="1:4" customFormat="1">
      <c r="A316" t="s">
        <v>1078</v>
      </c>
      <c r="B316" t="s">
        <v>1077</v>
      </c>
      <c r="C316" s="111">
        <v>43099</v>
      </c>
      <c r="D316" s="49">
        <v>198.36</v>
      </c>
    </row>
    <row r="317" spans="1:4" customFormat="1">
      <c r="A317" t="s">
        <v>750</v>
      </c>
      <c r="B317" t="s">
        <v>260</v>
      </c>
      <c r="C317" s="111">
        <v>43099</v>
      </c>
      <c r="D317" s="49">
        <v>727.89</v>
      </c>
    </row>
    <row r="318" spans="1:4" customFormat="1">
      <c r="A318" t="s">
        <v>814</v>
      </c>
      <c r="B318" t="s">
        <v>249</v>
      </c>
      <c r="C318" s="111">
        <v>43099</v>
      </c>
      <c r="D318" s="49">
        <v>1297.33</v>
      </c>
    </row>
    <row r="319" spans="1:4" customFormat="1">
      <c r="A319" t="s">
        <v>633</v>
      </c>
      <c r="B319" t="s">
        <v>247</v>
      </c>
      <c r="C319" s="111">
        <v>43099</v>
      </c>
      <c r="D319" s="49">
        <v>2997.78</v>
      </c>
    </row>
    <row r="320" spans="1:4" customFormat="1">
      <c r="A320" t="s">
        <v>752</v>
      </c>
      <c r="B320" t="s">
        <v>182</v>
      </c>
      <c r="C320" s="111">
        <v>43099</v>
      </c>
      <c r="D320" s="49">
        <v>839.91</v>
      </c>
    </row>
    <row r="321" spans="1:4" customFormat="1">
      <c r="A321" t="s">
        <v>762</v>
      </c>
      <c r="B321" t="s">
        <v>153</v>
      </c>
      <c r="C321" s="111">
        <v>43099</v>
      </c>
      <c r="D321" s="49">
        <v>5000</v>
      </c>
    </row>
    <row r="322" spans="1:4" customFormat="1">
      <c r="A322" t="s">
        <v>392</v>
      </c>
      <c r="B322" t="s">
        <v>153</v>
      </c>
      <c r="C322" s="111">
        <v>43099</v>
      </c>
      <c r="D322" s="49">
        <v>6182.07</v>
      </c>
    </row>
    <row r="323" spans="1:4" customFormat="1">
      <c r="A323" t="s">
        <v>728</v>
      </c>
      <c r="B323" t="s">
        <v>785</v>
      </c>
      <c r="C323" s="111">
        <v>43099</v>
      </c>
      <c r="D323" s="49">
        <v>262.48</v>
      </c>
    </row>
    <row r="324" spans="1:4" customFormat="1">
      <c r="A324" t="s">
        <v>770</v>
      </c>
      <c r="B324" t="s">
        <v>282</v>
      </c>
      <c r="C324" s="111">
        <v>43099</v>
      </c>
      <c r="D324" s="49">
        <v>1621.13</v>
      </c>
    </row>
    <row r="325" spans="1:4" customFormat="1">
      <c r="A325" t="s">
        <v>524</v>
      </c>
      <c r="B325" t="s">
        <v>523</v>
      </c>
      <c r="C325" s="111">
        <v>43099</v>
      </c>
      <c r="D325" s="49">
        <v>1942.1</v>
      </c>
    </row>
    <row r="326" spans="1:4" customFormat="1">
      <c r="A326" t="s">
        <v>768</v>
      </c>
      <c r="B326" t="s">
        <v>769</v>
      </c>
      <c r="C326" s="111">
        <v>43099</v>
      </c>
      <c r="D326" s="49">
        <v>628.26</v>
      </c>
    </row>
    <row r="327" spans="1:4" customFormat="1">
      <c r="A327" t="s">
        <v>372</v>
      </c>
      <c r="B327" t="s">
        <v>246</v>
      </c>
      <c r="C327" s="111">
        <v>43099</v>
      </c>
      <c r="D327" s="49">
        <v>2551.88</v>
      </c>
    </row>
    <row r="328" spans="1:4" customFormat="1">
      <c r="A328" t="s">
        <v>447</v>
      </c>
      <c r="B328" t="s">
        <v>342</v>
      </c>
      <c r="C328" s="111">
        <v>43099</v>
      </c>
      <c r="D328" s="49">
        <v>329.6</v>
      </c>
    </row>
    <row r="329" spans="1:4" customFormat="1">
      <c r="A329" t="s">
        <v>913</v>
      </c>
      <c r="B329" t="s">
        <v>696</v>
      </c>
      <c r="C329" s="111">
        <v>43099</v>
      </c>
      <c r="D329" s="49">
        <v>221</v>
      </c>
    </row>
    <row r="330" spans="1:4" customFormat="1">
      <c r="A330" t="s">
        <v>365</v>
      </c>
      <c r="B330" t="s">
        <v>186</v>
      </c>
      <c r="C330" s="111">
        <v>43099</v>
      </c>
      <c r="D330" s="49">
        <v>700</v>
      </c>
    </row>
    <row r="331" spans="1:4" customFormat="1">
      <c r="A331" t="s">
        <v>365</v>
      </c>
      <c r="B331" t="s">
        <v>186</v>
      </c>
      <c r="C331" s="111">
        <v>43099</v>
      </c>
      <c r="D331" s="49">
        <v>500</v>
      </c>
    </row>
    <row r="332" spans="1:4" customFormat="1">
      <c r="A332" t="s">
        <v>982</v>
      </c>
      <c r="B332" t="s">
        <v>981</v>
      </c>
      <c r="C332" s="111">
        <v>43099</v>
      </c>
      <c r="D332" s="49">
        <v>500.47</v>
      </c>
    </row>
    <row r="333" spans="1:4" customFormat="1">
      <c r="A333" t="s">
        <v>406</v>
      </c>
      <c r="B333" t="s">
        <v>236</v>
      </c>
      <c r="C333" s="111">
        <v>43099</v>
      </c>
      <c r="D333" s="49">
        <v>1385.86</v>
      </c>
    </row>
    <row r="334" spans="1:4" customFormat="1">
      <c r="A334" t="s">
        <v>442</v>
      </c>
      <c r="B334" t="s">
        <v>784</v>
      </c>
      <c r="C334" s="111">
        <v>43099</v>
      </c>
      <c r="D334" s="49">
        <v>1100</v>
      </c>
    </row>
    <row r="335" spans="1:4" customFormat="1">
      <c r="A335" t="s">
        <v>910</v>
      </c>
      <c r="B335" t="s">
        <v>787</v>
      </c>
      <c r="C335" s="111">
        <v>43099</v>
      </c>
      <c r="D335" s="49">
        <v>6188.65</v>
      </c>
    </row>
    <row r="336" spans="1:4" customFormat="1">
      <c r="A336" t="s">
        <v>559</v>
      </c>
      <c r="B336" t="s">
        <v>558</v>
      </c>
      <c r="C336" s="111">
        <v>43099</v>
      </c>
      <c r="D336" s="49">
        <v>1737.35</v>
      </c>
    </row>
    <row r="337" spans="1:4" customFormat="1">
      <c r="A337" t="s">
        <v>612</v>
      </c>
      <c r="B337" t="s">
        <v>613</v>
      </c>
      <c r="C337" s="111">
        <v>43099</v>
      </c>
      <c r="D337" s="49">
        <v>1494.04</v>
      </c>
    </row>
    <row r="338" spans="1:4" customFormat="1">
      <c r="A338" t="s">
        <v>378</v>
      </c>
      <c r="B338" t="s">
        <v>264</v>
      </c>
      <c r="C338" s="111">
        <v>43099</v>
      </c>
      <c r="D338" s="49">
        <v>1371.03</v>
      </c>
    </row>
    <row r="339" spans="1:4" customFormat="1">
      <c r="A339" t="s">
        <v>813</v>
      </c>
      <c r="B339" t="s">
        <v>708</v>
      </c>
      <c r="C339" s="111">
        <v>43099</v>
      </c>
      <c r="D339" s="49">
        <v>1660.98</v>
      </c>
    </row>
    <row r="340" spans="1:4" customFormat="1">
      <c r="A340" t="s">
        <v>268</v>
      </c>
      <c r="B340" t="s">
        <v>267</v>
      </c>
      <c r="C340" s="111">
        <v>43099</v>
      </c>
      <c r="D340" s="49">
        <v>681.58</v>
      </c>
    </row>
    <row r="341" spans="1:4" customFormat="1">
      <c r="A341" t="s">
        <v>465</v>
      </c>
      <c r="B341" t="s">
        <v>321</v>
      </c>
      <c r="C341" s="111">
        <v>43099</v>
      </c>
      <c r="D341" s="49">
        <v>843.02</v>
      </c>
    </row>
    <row r="342" spans="1:4" customFormat="1">
      <c r="A342" t="s">
        <v>440</v>
      </c>
      <c r="B342" t="s">
        <v>441</v>
      </c>
      <c r="C342" s="111">
        <v>43099</v>
      </c>
      <c r="D342" s="49">
        <v>2088.09</v>
      </c>
    </row>
    <row r="343" spans="1:4" customFormat="1">
      <c r="A343" t="s">
        <v>678</v>
      </c>
      <c r="B343" t="s">
        <v>237</v>
      </c>
      <c r="C343" s="111">
        <v>43099</v>
      </c>
      <c r="D343" s="49">
        <v>5304.42</v>
      </c>
    </row>
    <row r="344" spans="1:4" customFormat="1">
      <c r="A344" t="s">
        <v>1076</v>
      </c>
      <c r="B344" t="s">
        <v>1075</v>
      </c>
      <c r="C344" s="111">
        <v>43099</v>
      </c>
      <c r="D344" s="49">
        <v>956.93</v>
      </c>
    </row>
    <row r="345" spans="1:4" customFormat="1">
      <c r="A345" t="s">
        <v>570</v>
      </c>
      <c r="B345" t="s">
        <v>622</v>
      </c>
      <c r="C345" s="111">
        <v>43099</v>
      </c>
      <c r="D345" s="49">
        <v>2496</v>
      </c>
    </row>
    <row r="346" spans="1:4" customFormat="1">
      <c r="A346" t="s">
        <v>413</v>
      </c>
      <c r="B346" t="s">
        <v>405</v>
      </c>
      <c r="C346" s="111">
        <v>43099</v>
      </c>
      <c r="D346" s="49">
        <v>600</v>
      </c>
    </row>
    <row r="347" spans="1:4" customFormat="1">
      <c r="A347" t="s">
        <v>274</v>
      </c>
      <c r="B347" t="s">
        <v>273</v>
      </c>
      <c r="C347" s="111">
        <v>43099</v>
      </c>
      <c r="D347" s="49">
        <v>753.29</v>
      </c>
    </row>
    <row r="348" spans="1:4" customFormat="1">
      <c r="A348" t="s">
        <v>310</v>
      </c>
      <c r="B348" t="s">
        <v>311</v>
      </c>
      <c r="C348" s="111">
        <v>43099</v>
      </c>
      <c r="D348" s="49">
        <v>5389.36</v>
      </c>
    </row>
    <row r="349" spans="1:4" customFormat="1">
      <c r="A349" s="863" t="s">
        <v>1263</v>
      </c>
      <c r="B349" s="863" t="s">
        <v>1264</v>
      </c>
      <c r="C349" s="862">
        <v>43099</v>
      </c>
      <c r="D349" s="866">
        <v>730.97799999999995</v>
      </c>
    </row>
    <row r="350" spans="1:4" customFormat="1">
      <c r="A350" t="s">
        <v>278</v>
      </c>
      <c r="B350" t="s">
        <v>277</v>
      </c>
      <c r="C350" s="111">
        <v>43100</v>
      </c>
      <c r="D350" s="49">
        <v>1140.1099999999999</v>
      </c>
    </row>
    <row r="351" spans="1:4" customFormat="1">
      <c r="A351" t="s">
        <v>776</v>
      </c>
      <c r="B351" t="s">
        <v>777</v>
      </c>
      <c r="C351" s="111">
        <v>43100</v>
      </c>
      <c r="D351" s="49">
        <v>1335.71</v>
      </c>
    </row>
    <row r="352" spans="1:4" customFormat="1">
      <c r="A352" t="s">
        <v>778</v>
      </c>
      <c r="B352" t="s">
        <v>779</v>
      </c>
      <c r="C352" s="111">
        <v>43100</v>
      </c>
      <c r="D352" s="49">
        <v>2984.75</v>
      </c>
    </row>
    <row r="353" spans="1:4" customFormat="1">
      <c r="A353" t="s">
        <v>614</v>
      </c>
      <c r="B353" t="s">
        <v>615</v>
      </c>
      <c r="C353" s="111">
        <v>43100</v>
      </c>
      <c r="D353" s="49">
        <v>1420.36</v>
      </c>
    </row>
    <row r="354" spans="1:4" customFormat="1">
      <c r="A354" t="s">
        <v>738</v>
      </c>
      <c r="B354" t="s">
        <v>739</v>
      </c>
      <c r="C354" s="111">
        <v>43100</v>
      </c>
      <c r="D354" s="49">
        <v>6000</v>
      </c>
    </row>
    <row r="355" spans="1:4" customFormat="1">
      <c r="A355" t="s">
        <v>738</v>
      </c>
      <c r="B355" t="s">
        <v>739</v>
      </c>
      <c r="C355" s="111">
        <v>43100</v>
      </c>
      <c r="D355" s="49">
        <v>642.16</v>
      </c>
    </row>
    <row r="356" spans="1:4" customFormat="1">
      <c r="A356" t="s">
        <v>638</v>
      </c>
      <c r="B356" t="s">
        <v>639</v>
      </c>
      <c r="C356" s="111">
        <v>43100</v>
      </c>
      <c r="D356" s="49">
        <v>1081.26</v>
      </c>
    </row>
    <row r="357" spans="1:4" customFormat="1">
      <c r="A357" t="s">
        <v>493</v>
      </c>
      <c r="B357" t="s">
        <v>494</v>
      </c>
      <c r="C357" s="111">
        <v>43100</v>
      </c>
      <c r="D357" s="49">
        <v>1293.33</v>
      </c>
    </row>
    <row r="358" spans="1:4" customFormat="1">
      <c r="A358" t="s">
        <v>735</v>
      </c>
      <c r="B358" t="s">
        <v>553</v>
      </c>
      <c r="C358" s="111">
        <v>43100</v>
      </c>
      <c r="D358" s="49">
        <v>2939.64</v>
      </c>
    </row>
    <row r="359" spans="1:4" customFormat="1">
      <c r="A359" t="s">
        <v>367</v>
      </c>
      <c r="B359" t="s">
        <v>368</v>
      </c>
      <c r="C359" s="111">
        <v>43100</v>
      </c>
      <c r="D359" s="49">
        <v>965.68</v>
      </c>
    </row>
    <row r="360" spans="1:4" customFormat="1">
      <c r="A360" t="s">
        <v>850</v>
      </c>
      <c r="B360" t="s">
        <v>851</v>
      </c>
      <c r="C360" s="111">
        <v>43100</v>
      </c>
      <c r="D360" s="49">
        <v>1678.01</v>
      </c>
    </row>
    <row r="361" spans="1:4" customFormat="1">
      <c r="A361" t="s">
        <v>732</v>
      </c>
      <c r="B361" t="s">
        <v>733</v>
      </c>
      <c r="C361" s="111">
        <v>43100</v>
      </c>
      <c r="D361" s="49">
        <v>1645.3</v>
      </c>
    </row>
    <row r="362" spans="1:4" customFormat="1">
      <c r="A362" t="s">
        <v>203</v>
      </c>
      <c r="B362" t="s">
        <v>202</v>
      </c>
      <c r="C362" s="111">
        <v>43100</v>
      </c>
      <c r="D362" s="49">
        <v>19243.3</v>
      </c>
    </row>
    <row r="363" spans="1:4" customFormat="1">
      <c r="A363" t="s">
        <v>650</v>
      </c>
      <c r="B363" t="s">
        <v>651</v>
      </c>
      <c r="C363" s="111">
        <v>43100</v>
      </c>
      <c r="D363" s="49">
        <v>1821.81</v>
      </c>
    </row>
    <row r="364" spans="1:4" customFormat="1">
      <c r="A364" t="s">
        <v>240</v>
      </c>
      <c r="B364" t="s">
        <v>239</v>
      </c>
      <c r="C364" s="111">
        <v>43100</v>
      </c>
      <c r="D364" s="49">
        <v>754.06</v>
      </c>
    </row>
    <row r="365" spans="1:4" customFormat="1">
      <c r="A365" t="s">
        <v>706</v>
      </c>
      <c r="B365" t="s">
        <v>705</v>
      </c>
      <c r="C365" s="111">
        <v>43100</v>
      </c>
      <c r="D365" s="49">
        <v>1439.58</v>
      </c>
    </row>
    <row r="366" spans="1:4" customFormat="1">
      <c r="A366" t="s">
        <v>817</v>
      </c>
      <c r="B366" t="s">
        <v>818</v>
      </c>
      <c r="C366" s="111">
        <v>43100</v>
      </c>
      <c r="D366" s="49">
        <v>3875.12</v>
      </c>
    </row>
    <row r="367" spans="1:4" customFormat="1">
      <c r="A367" t="s">
        <v>133</v>
      </c>
      <c r="B367" t="s">
        <v>132</v>
      </c>
      <c r="C367" s="111">
        <v>43100</v>
      </c>
      <c r="D367" s="49">
        <v>3164.56</v>
      </c>
    </row>
    <row r="368" spans="1:4" customFormat="1">
      <c r="A368" t="s">
        <v>224</v>
      </c>
      <c r="B368" t="s">
        <v>223</v>
      </c>
      <c r="C368" s="111">
        <v>43100</v>
      </c>
      <c r="D368" s="49">
        <v>1420.93</v>
      </c>
    </row>
    <row r="369" spans="1:4" customFormat="1">
      <c r="A369" t="s">
        <v>170</v>
      </c>
      <c r="B369" t="s">
        <v>169</v>
      </c>
      <c r="C369" s="111">
        <v>43100</v>
      </c>
      <c r="D369" s="49">
        <v>2244.0700000000002</v>
      </c>
    </row>
    <row r="370" spans="1:4" customFormat="1">
      <c r="A370" t="s">
        <v>653</v>
      </c>
      <c r="B370" t="s">
        <v>654</v>
      </c>
      <c r="C370" s="111">
        <v>43100</v>
      </c>
      <c r="D370" s="49">
        <v>1159.83</v>
      </c>
    </row>
    <row r="371" spans="1:4" customFormat="1">
      <c r="A371" t="s">
        <v>198</v>
      </c>
      <c r="B371" t="s">
        <v>197</v>
      </c>
      <c r="C371" s="111">
        <v>43100</v>
      </c>
      <c r="D371" s="49">
        <v>1854.13</v>
      </c>
    </row>
    <row r="372" spans="1:4" customFormat="1">
      <c r="A372" t="s">
        <v>228</v>
      </c>
      <c r="B372" t="s">
        <v>227</v>
      </c>
      <c r="C372" s="111">
        <v>43100</v>
      </c>
      <c r="D372" s="49">
        <v>450.5</v>
      </c>
    </row>
    <row r="373" spans="1:4" customFormat="1">
      <c r="A373" t="s">
        <v>710</v>
      </c>
      <c r="B373" t="s">
        <v>709</v>
      </c>
      <c r="C373" s="111">
        <v>43100</v>
      </c>
      <c r="D373" s="49">
        <v>761.68</v>
      </c>
    </row>
    <row r="374" spans="1:4" customFormat="1">
      <c r="A374" t="s">
        <v>485</v>
      </c>
      <c r="B374" t="s">
        <v>486</v>
      </c>
      <c r="C374" s="111">
        <v>43100</v>
      </c>
      <c r="D374" s="49">
        <v>1450</v>
      </c>
    </row>
    <row r="375" spans="1:4" customFormat="1">
      <c r="A375" t="s">
        <v>172</v>
      </c>
      <c r="B375" t="s">
        <v>171</v>
      </c>
      <c r="C375" s="111">
        <v>43100</v>
      </c>
      <c r="D375" s="49">
        <v>3844.63</v>
      </c>
    </row>
    <row r="376" spans="1:4" customFormat="1">
      <c r="A376" t="s">
        <v>685</v>
      </c>
      <c r="B376" t="s">
        <v>684</v>
      </c>
      <c r="C376" s="111">
        <v>43100</v>
      </c>
      <c r="D376" s="49">
        <v>1773.58</v>
      </c>
    </row>
    <row r="377" spans="1:4" customFormat="1">
      <c r="A377" t="s">
        <v>222</v>
      </c>
      <c r="B377" t="s">
        <v>221</v>
      </c>
      <c r="C377" s="111">
        <v>43100</v>
      </c>
      <c r="D377" s="49">
        <v>265.06</v>
      </c>
    </row>
    <row r="378" spans="1:4" customFormat="1">
      <c r="A378" t="s">
        <v>159</v>
      </c>
      <c r="B378" t="s">
        <v>158</v>
      </c>
      <c r="C378" s="111">
        <v>43100</v>
      </c>
      <c r="D378" s="49">
        <v>1000</v>
      </c>
    </row>
    <row r="379" spans="1:4" customFormat="1">
      <c r="A379" t="s">
        <v>212</v>
      </c>
      <c r="B379" t="s">
        <v>211</v>
      </c>
      <c r="C379" s="111">
        <v>43100</v>
      </c>
      <c r="D379" s="49">
        <v>2543.0300000000002</v>
      </c>
    </row>
    <row r="380" spans="1:4" customFormat="1">
      <c r="A380" t="s">
        <v>512</v>
      </c>
      <c r="B380" t="s">
        <v>511</v>
      </c>
      <c r="C380" s="111">
        <v>43100</v>
      </c>
      <c r="D380" s="49">
        <v>1775.56</v>
      </c>
    </row>
    <row r="381" spans="1:4" customFormat="1">
      <c r="A381" t="s">
        <v>242</v>
      </c>
      <c r="B381" t="s">
        <v>241</v>
      </c>
      <c r="C381" s="111">
        <v>43100</v>
      </c>
      <c r="D381" s="49">
        <v>1024.07</v>
      </c>
    </row>
    <row r="382" spans="1:4" customFormat="1">
      <c r="A382" t="s">
        <v>407</v>
      </c>
      <c r="B382" t="s">
        <v>173</v>
      </c>
      <c r="C382" s="111">
        <v>43100</v>
      </c>
      <c r="D382" s="49">
        <v>1276.9000000000001</v>
      </c>
    </row>
    <row r="383" spans="1:4" customFormat="1">
      <c r="A383" t="s">
        <v>478</v>
      </c>
      <c r="B383" t="s">
        <v>479</v>
      </c>
      <c r="C383" s="111">
        <v>43100</v>
      </c>
      <c r="D383" s="49">
        <v>680.95</v>
      </c>
    </row>
    <row r="384" spans="1:4" customFormat="1">
      <c r="A384" t="s">
        <v>661</v>
      </c>
      <c r="B384" t="s">
        <v>175</v>
      </c>
      <c r="C384" s="111">
        <v>43100</v>
      </c>
      <c r="D384" s="49">
        <v>7435.67</v>
      </c>
    </row>
    <row r="385" spans="1:4" customFormat="1">
      <c r="A385" t="s">
        <v>660</v>
      </c>
      <c r="B385" t="s">
        <v>659</v>
      </c>
      <c r="C385" s="111">
        <v>43100</v>
      </c>
      <c r="D385" s="49">
        <v>1112.78</v>
      </c>
    </row>
    <row r="386" spans="1:4" customFormat="1">
      <c r="A386" t="s">
        <v>556</v>
      </c>
      <c r="B386" t="s">
        <v>250</v>
      </c>
      <c r="C386" s="111">
        <v>43100</v>
      </c>
      <c r="D386" s="49">
        <v>1433.14</v>
      </c>
    </row>
    <row r="387" spans="1:4" customFormat="1">
      <c r="A387" t="s">
        <v>758</v>
      </c>
      <c r="B387" t="s">
        <v>759</v>
      </c>
      <c r="C387" s="111">
        <v>43100</v>
      </c>
      <c r="D387" s="49">
        <v>2357.79</v>
      </c>
    </row>
    <row r="388" spans="1:4" customFormat="1">
      <c r="A388" t="s">
        <v>980</v>
      </c>
      <c r="B388" t="s">
        <v>979</v>
      </c>
      <c r="C388" s="111">
        <v>43100</v>
      </c>
      <c r="D388" s="49">
        <v>2374.8000000000002</v>
      </c>
    </row>
    <row r="389" spans="1:4" customFormat="1">
      <c r="A389" t="s">
        <v>853</v>
      </c>
      <c r="B389" t="s">
        <v>854</v>
      </c>
      <c r="C389" s="111">
        <v>43100</v>
      </c>
      <c r="D389" s="49">
        <v>2063.0300000000002</v>
      </c>
    </row>
    <row r="390" spans="1:4" customFormat="1">
      <c r="A390" t="s">
        <v>819</v>
      </c>
      <c r="B390" t="s">
        <v>529</v>
      </c>
      <c r="C390" s="111">
        <v>43100</v>
      </c>
      <c r="D390" s="49">
        <v>2276.64</v>
      </c>
    </row>
    <row r="391" spans="1:4" customFormat="1">
      <c r="A391" t="s">
        <v>1006</v>
      </c>
      <c r="B391" t="s">
        <v>618</v>
      </c>
      <c r="C391" s="111">
        <v>43100</v>
      </c>
      <c r="D391" s="49">
        <v>613.17999999999995</v>
      </c>
    </row>
    <row r="392" spans="1:4" customFormat="1">
      <c r="A392" t="s">
        <v>369</v>
      </c>
      <c r="B392" t="s">
        <v>230</v>
      </c>
      <c r="C392" s="111">
        <v>43100</v>
      </c>
      <c r="D392" s="49">
        <v>1155.5999999999999</v>
      </c>
    </row>
    <row r="393" spans="1:4" customFormat="1">
      <c r="A393" t="s">
        <v>573</v>
      </c>
      <c r="B393" t="s">
        <v>417</v>
      </c>
      <c r="C393" s="111">
        <v>43100</v>
      </c>
      <c r="D393" s="49">
        <v>15800</v>
      </c>
    </row>
    <row r="394" spans="1:4" customFormat="1">
      <c r="A394" t="s">
        <v>1074</v>
      </c>
      <c r="B394" t="s">
        <v>803</v>
      </c>
      <c r="C394" s="111">
        <v>43100</v>
      </c>
      <c r="D394" s="49">
        <v>575.24</v>
      </c>
    </row>
    <row r="395" spans="1:4" customFormat="1">
      <c r="A395" t="s">
        <v>916</v>
      </c>
      <c r="B395" t="s">
        <v>141</v>
      </c>
      <c r="C395" s="111">
        <v>43100</v>
      </c>
      <c r="D395" s="49">
        <v>250</v>
      </c>
    </row>
    <row r="396" spans="1:4" customFormat="1">
      <c r="A396" t="s">
        <v>510</v>
      </c>
      <c r="B396" t="s">
        <v>141</v>
      </c>
      <c r="C396" s="111">
        <v>43100</v>
      </c>
      <c r="D396" s="49">
        <v>545.51</v>
      </c>
    </row>
    <row r="397" spans="1:4" customFormat="1">
      <c r="A397" t="s">
        <v>474</v>
      </c>
      <c r="B397" t="s">
        <v>475</v>
      </c>
      <c r="C397" s="111">
        <v>43100</v>
      </c>
      <c r="D397" s="49">
        <v>800</v>
      </c>
    </row>
    <row r="398" spans="1:4" customFormat="1">
      <c r="A398" t="s">
        <v>692</v>
      </c>
      <c r="B398" t="s">
        <v>341</v>
      </c>
      <c r="C398" s="111">
        <v>43100</v>
      </c>
      <c r="D398" s="49">
        <v>6102.95</v>
      </c>
    </row>
    <row r="399" spans="1:4" customFormat="1">
      <c r="A399" t="s">
        <v>704</v>
      </c>
      <c r="B399" t="s">
        <v>252</v>
      </c>
      <c r="C399" s="111">
        <v>43100</v>
      </c>
      <c r="D399" s="49">
        <v>1250.06</v>
      </c>
    </row>
    <row r="400" spans="1:4" customFormat="1">
      <c r="A400" t="s">
        <v>476</v>
      </c>
      <c r="B400" t="s">
        <v>231</v>
      </c>
      <c r="C400" s="111">
        <v>43100</v>
      </c>
      <c r="D400" s="49">
        <v>1554.92</v>
      </c>
    </row>
    <row r="401" spans="1:4" customFormat="1">
      <c r="A401" t="s">
        <v>388</v>
      </c>
      <c r="B401" t="s">
        <v>316</v>
      </c>
      <c r="C401" s="111">
        <v>43100</v>
      </c>
      <c r="D401" s="49">
        <v>1449.38</v>
      </c>
    </row>
    <row r="402" spans="1:4" customFormat="1">
      <c r="A402" t="s">
        <v>816</v>
      </c>
      <c r="B402" t="s">
        <v>234</v>
      </c>
      <c r="C402" s="111">
        <v>43100</v>
      </c>
      <c r="D402" s="49">
        <v>1768.77</v>
      </c>
    </row>
    <row r="403" spans="1:4" customFormat="1">
      <c r="A403" t="s">
        <v>978</v>
      </c>
      <c r="B403" t="s">
        <v>977</v>
      </c>
      <c r="C403" s="111">
        <v>43100</v>
      </c>
      <c r="D403" s="49">
        <v>446.95</v>
      </c>
    </row>
    <row r="404" spans="1:4" customFormat="1">
      <c r="A404" t="s">
        <v>699</v>
      </c>
      <c r="B404" t="s">
        <v>698</v>
      </c>
      <c r="C404" s="111">
        <v>43100</v>
      </c>
      <c r="D404" s="49">
        <v>1206.1500000000001</v>
      </c>
    </row>
    <row r="405" spans="1:4" customFormat="1">
      <c r="A405" t="s">
        <v>976</v>
      </c>
      <c r="B405" t="s">
        <v>975</v>
      </c>
      <c r="C405" s="111">
        <v>43100</v>
      </c>
      <c r="D405" s="49">
        <v>706.95</v>
      </c>
    </row>
    <row r="406" spans="1:4" customFormat="1">
      <c r="A406" t="s">
        <v>409</v>
      </c>
      <c r="B406" t="s">
        <v>253</v>
      </c>
      <c r="C406" s="111">
        <v>43100</v>
      </c>
      <c r="D406" s="49">
        <v>3072.71</v>
      </c>
    </row>
    <row r="407" spans="1:4" customFormat="1">
      <c r="A407" t="s">
        <v>1009</v>
      </c>
      <c r="B407" t="s">
        <v>455</v>
      </c>
      <c r="C407" s="111">
        <v>43100</v>
      </c>
      <c r="D407" s="49">
        <v>1376.52</v>
      </c>
    </row>
    <row r="408" spans="1:4" customFormat="1">
      <c r="A408" t="s">
        <v>681</v>
      </c>
      <c r="B408" t="s">
        <v>680</v>
      </c>
      <c r="C408" s="111">
        <v>43100</v>
      </c>
      <c r="D408" s="49">
        <v>1443</v>
      </c>
    </row>
    <row r="409" spans="1:4" customFormat="1">
      <c r="A409" t="s">
        <v>621</v>
      </c>
      <c r="B409" t="s">
        <v>467</v>
      </c>
      <c r="C409" s="111">
        <v>43100</v>
      </c>
      <c r="D409" s="49">
        <v>1247.28</v>
      </c>
    </row>
    <row r="410" spans="1:4" customFormat="1">
      <c r="A410" t="s">
        <v>373</v>
      </c>
      <c r="B410" t="s">
        <v>340</v>
      </c>
      <c r="C410" s="111">
        <v>43100</v>
      </c>
      <c r="D410" s="49">
        <v>1508.4</v>
      </c>
    </row>
    <row r="411" spans="1:4" customFormat="1">
      <c r="A411" t="s">
        <v>697</v>
      </c>
      <c r="B411" t="s">
        <v>468</v>
      </c>
      <c r="C411" s="111">
        <v>43100</v>
      </c>
      <c r="D411" s="49">
        <v>1131.92</v>
      </c>
    </row>
    <row r="412" spans="1:4" customFormat="1">
      <c r="A412" t="s">
        <v>508</v>
      </c>
      <c r="B412" t="s">
        <v>184</v>
      </c>
      <c r="C412" s="111">
        <v>43100</v>
      </c>
      <c r="D412" s="49">
        <v>2109.37</v>
      </c>
    </row>
    <row r="413" spans="1:4" customFormat="1">
      <c r="A413" t="s">
        <v>729</v>
      </c>
      <c r="B413" t="s">
        <v>279</v>
      </c>
      <c r="C413" s="111">
        <v>43100</v>
      </c>
      <c r="D413" s="49">
        <v>3178.67</v>
      </c>
    </row>
    <row r="414" spans="1:4" customFormat="1">
      <c r="A414" t="s">
        <v>773</v>
      </c>
      <c r="B414" t="s">
        <v>774</v>
      </c>
      <c r="C414" s="111">
        <v>43100</v>
      </c>
      <c r="D414" s="49">
        <v>6385.57</v>
      </c>
    </row>
    <row r="415" spans="1:4" customFormat="1">
      <c r="A415" t="s">
        <v>642</v>
      </c>
      <c r="B415" t="s">
        <v>280</v>
      </c>
      <c r="C415" s="111">
        <v>43100</v>
      </c>
      <c r="D415" s="49">
        <v>1407.14</v>
      </c>
    </row>
    <row r="416" spans="1:4" customFormat="1">
      <c r="A416" t="s">
        <v>577</v>
      </c>
      <c r="B416" t="s">
        <v>232</v>
      </c>
      <c r="C416" s="111">
        <v>43100</v>
      </c>
      <c r="D416" s="49">
        <v>539.37</v>
      </c>
    </row>
    <row r="417" spans="1:4" customFormat="1">
      <c r="A417" t="s">
        <v>974</v>
      </c>
      <c r="B417" t="s">
        <v>973</v>
      </c>
      <c r="C417" s="111">
        <v>43100</v>
      </c>
      <c r="D417" s="49">
        <v>1796.5</v>
      </c>
    </row>
    <row r="418" spans="1:4" customFormat="1">
      <c r="A418" t="s">
        <v>972</v>
      </c>
      <c r="B418" t="s">
        <v>248</v>
      </c>
      <c r="C418" s="111">
        <v>43100</v>
      </c>
      <c r="D418" s="49">
        <v>1453.99</v>
      </c>
    </row>
    <row r="419" spans="1:4" customFormat="1">
      <c r="A419" t="s">
        <v>855</v>
      </c>
      <c r="B419" t="s">
        <v>691</v>
      </c>
      <c r="C419" s="111">
        <v>43100</v>
      </c>
      <c r="D419" s="49">
        <v>881.61</v>
      </c>
    </row>
    <row r="420" spans="1:4" customFormat="1">
      <c r="A420" t="s">
        <v>519</v>
      </c>
      <c r="B420" t="s">
        <v>484</v>
      </c>
      <c r="C420" s="111">
        <v>43100</v>
      </c>
      <c r="D420" s="49">
        <v>2214.9</v>
      </c>
    </row>
    <row r="421" spans="1:4" customFormat="1">
      <c r="A421" t="s">
        <v>856</v>
      </c>
      <c r="B421" t="s">
        <v>857</v>
      </c>
      <c r="C421" s="111">
        <v>43100</v>
      </c>
      <c r="D421" s="49">
        <v>491.26</v>
      </c>
    </row>
    <row r="422" spans="1:4" customFormat="1">
      <c r="A422" t="s">
        <v>575</v>
      </c>
      <c r="B422" t="s">
        <v>186</v>
      </c>
      <c r="C422" s="111">
        <v>43100</v>
      </c>
      <c r="D422" s="49">
        <v>700</v>
      </c>
    </row>
    <row r="423" spans="1:4" customFormat="1">
      <c r="A423" t="s">
        <v>408</v>
      </c>
      <c r="B423" t="s">
        <v>181</v>
      </c>
      <c r="C423" s="111">
        <v>43100</v>
      </c>
      <c r="D423" s="49">
        <v>2904.7</v>
      </c>
    </row>
    <row r="424" spans="1:4" customFormat="1">
      <c r="A424" t="s">
        <v>648</v>
      </c>
      <c r="B424" t="s">
        <v>150</v>
      </c>
      <c r="C424" s="111">
        <v>43100</v>
      </c>
      <c r="D424" s="49">
        <v>8387.7199999999993</v>
      </c>
    </row>
    <row r="425" spans="1:4" customFormat="1">
      <c r="A425" t="s">
        <v>452</v>
      </c>
      <c r="B425" t="s">
        <v>317</v>
      </c>
      <c r="C425" s="111">
        <v>43100</v>
      </c>
      <c r="D425" s="49">
        <v>843.66</v>
      </c>
    </row>
    <row r="426" spans="1:4" customFormat="1">
      <c r="A426" t="s">
        <v>497</v>
      </c>
      <c r="B426" t="s">
        <v>152</v>
      </c>
      <c r="C426" s="111">
        <v>43100</v>
      </c>
      <c r="D426" s="49">
        <v>1571.91</v>
      </c>
    </row>
    <row r="427" spans="1:4" customFormat="1">
      <c r="A427" t="s">
        <v>775</v>
      </c>
      <c r="B427" t="s">
        <v>543</v>
      </c>
      <c r="C427" s="111">
        <v>43100</v>
      </c>
      <c r="D427" s="49">
        <v>2435.9699999999998</v>
      </c>
    </row>
    <row r="428" spans="1:4" customFormat="1">
      <c r="A428" t="s">
        <v>839</v>
      </c>
      <c r="B428" t="s">
        <v>608</v>
      </c>
      <c r="C428" s="111">
        <v>43100</v>
      </c>
      <c r="D428" s="49">
        <v>3263.92</v>
      </c>
    </row>
    <row r="429" spans="1:4" customFormat="1">
      <c r="A429" t="s">
        <v>458</v>
      </c>
      <c r="B429" t="s">
        <v>187</v>
      </c>
      <c r="C429" s="111">
        <v>43100</v>
      </c>
      <c r="D429" s="49">
        <v>2750</v>
      </c>
    </row>
    <row r="430" spans="1:4" customFormat="1">
      <c r="A430" t="s">
        <v>902</v>
      </c>
      <c r="B430" t="s">
        <v>554</v>
      </c>
      <c r="C430" s="111">
        <v>43100</v>
      </c>
      <c r="D430" s="49">
        <v>758.41</v>
      </c>
    </row>
    <row r="431" spans="1:4" customFormat="1">
      <c r="A431" t="s">
        <v>971</v>
      </c>
      <c r="B431" t="s">
        <v>233</v>
      </c>
      <c r="C431" s="111">
        <v>43100</v>
      </c>
      <c r="D431" s="49">
        <v>791.03</v>
      </c>
    </row>
    <row r="432" spans="1:4" customFormat="1">
      <c r="A432" t="s">
        <v>414</v>
      </c>
      <c r="B432" t="s">
        <v>219</v>
      </c>
      <c r="C432" s="111">
        <v>43100</v>
      </c>
      <c r="D432" s="49">
        <v>4687.21</v>
      </c>
    </row>
    <row r="433" spans="1:4" customFormat="1">
      <c r="A433" t="s">
        <v>679</v>
      </c>
      <c r="B433" t="s">
        <v>903</v>
      </c>
      <c r="C433" s="111">
        <v>43100</v>
      </c>
      <c r="D433" s="49">
        <v>3124.21</v>
      </c>
    </row>
    <row r="434" spans="1:4" customFormat="1">
      <c r="A434" t="s">
        <v>852</v>
      </c>
      <c r="B434" t="s">
        <v>235</v>
      </c>
      <c r="C434" s="111">
        <v>43100</v>
      </c>
      <c r="D434" s="49">
        <v>1874.1</v>
      </c>
    </row>
    <row r="435" spans="1:4" customFormat="1">
      <c r="A435" t="s">
        <v>643</v>
      </c>
      <c r="B435" t="s">
        <v>189</v>
      </c>
      <c r="C435" s="111">
        <v>43100</v>
      </c>
      <c r="D435" s="49">
        <v>640</v>
      </c>
    </row>
    <row r="436" spans="1:4" customFormat="1">
      <c r="A436" t="s">
        <v>771</v>
      </c>
      <c r="B436" t="s">
        <v>772</v>
      </c>
      <c r="C436" s="111">
        <v>43100</v>
      </c>
      <c r="D436" s="49">
        <v>1703.99</v>
      </c>
    </row>
    <row r="437" spans="1:4" customFormat="1">
      <c r="A437" t="s">
        <v>386</v>
      </c>
      <c r="B437" t="s">
        <v>176</v>
      </c>
      <c r="C437" s="111">
        <v>43100</v>
      </c>
      <c r="D437" s="49">
        <v>1282.7</v>
      </c>
    </row>
    <row r="438" spans="1:4" customFormat="1">
      <c r="A438" t="s">
        <v>641</v>
      </c>
      <c r="B438" t="s">
        <v>531</v>
      </c>
      <c r="C438" s="111">
        <v>43100</v>
      </c>
      <c r="D438" s="49">
        <v>4679.6899999999996</v>
      </c>
    </row>
    <row r="439" spans="1:4" customFormat="1">
      <c r="A439" t="s">
        <v>557</v>
      </c>
      <c r="B439" t="s">
        <v>955</v>
      </c>
      <c r="C439" s="111">
        <v>43100</v>
      </c>
      <c r="D439" s="49">
        <v>1240.78</v>
      </c>
    </row>
    <row r="440" spans="1:4" customFormat="1">
      <c r="A440" t="s">
        <v>734</v>
      </c>
      <c r="B440" t="s">
        <v>944</v>
      </c>
      <c r="C440" s="111">
        <v>43100</v>
      </c>
      <c r="D440" s="49">
        <v>379.06</v>
      </c>
    </row>
    <row r="441" spans="1:4" s="770" customFormat="1">
      <c r="A441" t="s">
        <v>749</v>
      </c>
      <c r="B441" t="s">
        <v>552</v>
      </c>
      <c r="C441" s="111">
        <v>43100</v>
      </c>
      <c r="D441" s="49">
        <v>1100.92</v>
      </c>
    </row>
    <row r="442" spans="1:4" customFormat="1">
      <c r="A442" t="s">
        <v>858</v>
      </c>
      <c r="B442" t="s">
        <v>700</v>
      </c>
      <c r="C442" s="111">
        <v>43100</v>
      </c>
      <c r="D442" s="49">
        <v>870.51</v>
      </c>
    </row>
    <row r="443" spans="1:4" customFormat="1">
      <c r="A443" t="s">
        <v>815</v>
      </c>
      <c r="B443" t="s">
        <v>190</v>
      </c>
      <c r="C443" s="111">
        <v>43100</v>
      </c>
      <c r="D443" s="49">
        <v>5315.27</v>
      </c>
    </row>
    <row r="444" spans="1:4" customFormat="1">
      <c r="A444" t="s">
        <v>464</v>
      </c>
      <c r="B444" t="s">
        <v>220</v>
      </c>
      <c r="C444" s="111">
        <v>43100</v>
      </c>
      <c r="D444" s="49">
        <v>3582.72</v>
      </c>
    </row>
    <row r="445" spans="1:4" customFormat="1">
      <c r="A445" t="s">
        <v>665</v>
      </c>
      <c r="B445" t="s">
        <v>664</v>
      </c>
      <c r="C445" s="111">
        <v>43100</v>
      </c>
      <c r="D445" s="49">
        <v>916.9</v>
      </c>
    </row>
    <row r="446" spans="1:4" customFormat="1">
      <c r="A446" t="s">
        <v>568</v>
      </c>
      <c r="B446" t="s">
        <v>569</v>
      </c>
      <c r="C446" s="111">
        <v>43100</v>
      </c>
      <c r="D446" s="49">
        <v>2351.15</v>
      </c>
    </row>
    <row r="447" spans="1:4" customFormat="1">
      <c r="A447" t="s">
        <v>568</v>
      </c>
      <c r="B447" t="s">
        <v>569</v>
      </c>
      <c r="C447" s="111">
        <v>43100</v>
      </c>
      <c r="D447" s="49">
        <v>1463.67</v>
      </c>
    </row>
    <row r="448" spans="1:4" customFormat="1">
      <c r="A448" t="s">
        <v>677</v>
      </c>
      <c r="B448" t="s">
        <v>676</v>
      </c>
      <c r="C448" s="111">
        <v>43100</v>
      </c>
      <c r="D448" s="49">
        <v>3068.51</v>
      </c>
    </row>
    <row r="449" spans="1:4" customFormat="1">
      <c r="A449" t="s">
        <v>179</v>
      </c>
      <c r="B449" t="s">
        <v>178</v>
      </c>
      <c r="C449" s="111">
        <v>43100</v>
      </c>
      <c r="D449" s="49">
        <v>2843.94</v>
      </c>
    </row>
    <row r="450" spans="1:4" customFormat="1">
      <c r="A450" t="s">
        <v>675</v>
      </c>
      <c r="B450" t="s">
        <v>532</v>
      </c>
      <c r="C450" s="111">
        <v>43100</v>
      </c>
      <c r="D450" s="49">
        <v>3754.14</v>
      </c>
    </row>
    <row r="451" spans="1:4" customFormat="1">
      <c r="A451" t="s">
        <v>940</v>
      </c>
      <c r="B451" t="s">
        <v>939</v>
      </c>
      <c r="C451" s="111">
        <v>43100</v>
      </c>
      <c r="D451" s="49">
        <v>3601.32</v>
      </c>
    </row>
    <row r="452" spans="1:4" customFormat="1">
      <c r="A452" t="s">
        <v>411</v>
      </c>
      <c r="B452" t="s">
        <v>145</v>
      </c>
      <c r="C452" s="111">
        <v>43100</v>
      </c>
      <c r="D452" s="49">
        <v>1674</v>
      </c>
    </row>
    <row r="453" spans="1:4" customFormat="1">
      <c r="A453" t="s">
        <v>914</v>
      </c>
      <c r="B453" t="s">
        <v>915</v>
      </c>
      <c r="C453" s="111">
        <v>43100</v>
      </c>
      <c r="D453" s="49">
        <v>2427.16</v>
      </c>
    </row>
    <row r="454" spans="1:4" customFormat="1">
      <c r="A454" t="s">
        <v>322</v>
      </c>
      <c r="B454" t="s">
        <v>323</v>
      </c>
      <c r="C454" s="111">
        <v>43100</v>
      </c>
      <c r="D454" s="49">
        <v>4324.45</v>
      </c>
    </row>
    <row r="455" spans="1:4" customFormat="1">
      <c r="A455" t="s">
        <v>271</v>
      </c>
      <c r="B455" t="s">
        <v>463</v>
      </c>
      <c r="C455" s="111">
        <v>43100</v>
      </c>
      <c r="D455" s="49">
        <v>1500</v>
      </c>
    </row>
    <row r="456" spans="1:4" customFormat="1">
      <c r="A456" s="863" t="s">
        <v>458</v>
      </c>
      <c r="B456" s="863" t="s">
        <v>187</v>
      </c>
      <c r="C456" s="862">
        <v>43100</v>
      </c>
      <c r="D456" s="866">
        <v>1339.604</v>
      </c>
    </row>
    <row r="457" spans="1:4" customFormat="1" ht="15.75" thickBot="1">
      <c r="A457" s="863" t="s">
        <v>900</v>
      </c>
      <c r="B457" s="863" t="s">
        <v>1136</v>
      </c>
      <c r="C457" s="862">
        <v>43100</v>
      </c>
      <c r="D457" s="866">
        <v>376.18599999999998</v>
      </c>
    </row>
    <row r="458" spans="1:4" customFormat="1" ht="15.75" thickBot="1">
      <c r="A458" s="919" t="s">
        <v>1021</v>
      </c>
      <c r="B458" s="920"/>
      <c r="C458" s="920"/>
      <c r="D458" s="796">
        <f>SUM(D2:D457)</f>
        <v>856896.01400000078</v>
      </c>
    </row>
    <row r="459" spans="1:4" customFormat="1">
      <c r="A459" t="s">
        <v>240</v>
      </c>
      <c r="B459" t="s">
        <v>239</v>
      </c>
      <c r="C459" s="111">
        <v>43101</v>
      </c>
      <c r="D459" s="49">
        <v>621.11</v>
      </c>
    </row>
    <row r="460" spans="1:4" customFormat="1">
      <c r="A460" t="s">
        <v>623</v>
      </c>
      <c r="B460" t="s">
        <v>624</v>
      </c>
      <c r="C460" s="111">
        <v>43101</v>
      </c>
      <c r="D460" s="49">
        <v>9719.59</v>
      </c>
    </row>
    <row r="461" spans="1:4" customFormat="1">
      <c r="A461" s="863" t="s">
        <v>1263</v>
      </c>
      <c r="B461" s="863" t="s">
        <v>1264</v>
      </c>
      <c r="C461" s="862">
        <v>43101</v>
      </c>
      <c r="D461" s="866">
        <v>720.92700000000002</v>
      </c>
    </row>
    <row r="462" spans="1:4" customFormat="1">
      <c r="A462" t="s">
        <v>820</v>
      </c>
      <c r="B462" t="s">
        <v>821</v>
      </c>
      <c r="C462" s="111">
        <v>43102</v>
      </c>
      <c r="D462" s="49">
        <v>2166.27</v>
      </c>
    </row>
    <row r="463" spans="1:4" customFormat="1">
      <c r="A463" s="863" t="s">
        <v>1263</v>
      </c>
      <c r="B463" s="863" t="s">
        <v>1264</v>
      </c>
      <c r="C463" s="862">
        <v>43102</v>
      </c>
      <c r="D463" s="866">
        <v>730.97799999999995</v>
      </c>
    </row>
    <row r="464" spans="1:4" customFormat="1">
      <c r="A464" t="s">
        <v>822</v>
      </c>
      <c r="B464" t="s">
        <v>751</v>
      </c>
      <c r="C464" s="111">
        <v>43103</v>
      </c>
      <c r="D464" s="49">
        <v>1032.83</v>
      </c>
    </row>
    <row r="465" spans="1:4" customFormat="1">
      <c r="A465" t="s">
        <v>276</v>
      </c>
      <c r="B465" t="s">
        <v>275</v>
      </c>
      <c r="C465" s="111">
        <v>43105</v>
      </c>
      <c r="D465" s="49">
        <v>600</v>
      </c>
    </row>
    <row r="466" spans="1:4" customFormat="1">
      <c r="A466" t="s">
        <v>276</v>
      </c>
      <c r="B466" t="s">
        <v>275</v>
      </c>
      <c r="C466" s="111">
        <v>43105</v>
      </c>
      <c r="D466" s="49">
        <v>600</v>
      </c>
    </row>
    <row r="467" spans="1:4" customFormat="1">
      <c r="A467" t="s">
        <v>514</v>
      </c>
      <c r="B467" t="s">
        <v>513</v>
      </c>
      <c r="C467" s="111">
        <v>43105</v>
      </c>
      <c r="D467" s="49">
        <v>16119.39</v>
      </c>
    </row>
    <row r="468" spans="1:4" customFormat="1">
      <c r="A468" t="s">
        <v>157</v>
      </c>
      <c r="B468" t="s">
        <v>156</v>
      </c>
      <c r="C468" s="111">
        <v>43105</v>
      </c>
      <c r="D468" s="49">
        <v>922.97</v>
      </c>
    </row>
    <row r="469" spans="1:4" customFormat="1">
      <c r="A469" t="s">
        <v>402</v>
      </c>
      <c r="B469" t="s">
        <v>403</v>
      </c>
      <c r="C469" s="111">
        <v>43105</v>
      </c>
      <c r="D469" s="49">
        <v>2500</v>
      </c>
    </row>
    <row r="470" spans="1:4" customFormat="1">
      <c r="A470" t="s">
        <v>314</v>
      </c>
      <c r="B470" t="s">
        <v>315</v>
      </c>
      <c r="C470" s="111">
        <v>43105</v>
      </c>
      <c r="D470" s="49">
        <v>2440</v>
      </c>
    </row>
    <row r="471" spans="1:4" customFormat="1">
      <c r="A471" t="s">
        <v>859</v>
      </c>
      <c r="B471" t="s">
        <v>860</v>
      </c>
      <c r="C471" s="111">
        <v>43105</v>
      </c>
      <c r="D471" s="49">
        <v>184.57</v>
      </c>
    </row>
    <row r="472" spans="1:4" customFormat="1">
      <c r="A472" t="s">
        <v>861</v>
      </c>
      <c r="B472" t="s">
        <v>862</v>
      </c>
      <c r="C472" s="111">
        <v>43105</v>
      </c>
      <c r="D472" s="49">
        <v>1228.5</v>
      </c>
    </row>
    <row r="473" spans="1:4" customFormat="1">
      <c r="A473" t="s">
        <v>683</v>
      </c>
      <c r="B473" t="s">
        <v>457</v>
      </c>
      <c r="C473" s="111">
        <v>43105</v>
      </c>
      <c r="D473" s="49">
        <v>814.27</v>
      </c>
    </row>
    <row r="474" spans="1:4" customFormat="1">
      <c r="A474" t="s">
        <v>807</v>
      </c>
      <c r="B474" t="s">
        <v>808</v>
      </c>
      <c r="C474" s="111">
        <v>43105</v>
      </c>
      <c r="D474" s="49">
        <v>544.86</v>
      </c>
    </row>
    <row r="475" spans="1:4" customFormat="1">
      <c r="A475" t="s">
        <v>473</v>
      </c>
      <c r="B475" t="s">
        <v>343</v>
      </c>
      <c r="C475" s="111">
        <v>43105</v>
      </c>
      <c r="D475" s="49">
        <v>4510.7</v>
      </c>
    </row>
    <row r="476" spans="1:4" customFormat="1">
      <c r="A476" t="s">
        <v>369</v>
      </c>
      <c r="B476" t="s">
        <v>230</v>
      </c>
      <c r="C476" s="111">
        <v>43105</v>
      </c>
      <c r="D476" s="49">
        <v>1162.25</v>
      </c>
    </row>
    <row r="477" spans="1:4" customFormat="1">
      <c r="A477" t="s">
        <v>510</v>
      </c>
      <c r="B477" t="s">
        <v>141</v>
      </c>
      <c r="C477" s="111">
        <v>43105</v>
      </c>
      <c r="D477" s="49">
        <v>571</v>
      </c>
    </row>
    <row r="478" spans="1:4" customFormat="1">
      <c r="A478" t="s">
        <v>522</v>
      </c>
      <c r="B478" t="s">
        <v>166</v>
      </c>
      <c r="C478" s="111">
        <v>43105</v>
      </c>
      <c r="D478" s="49">
        <v>511.34</v>
      </c>
    </row>
    <row r="479" spans="1:4" customFormat="1">
      <c r="A479" t="s">
        <v>917</v>
      </c>
      <c r="B479" t="s">
        <v>419</v>
      </c>
      <c r="C479" s="111">
        <v>43105</v>
      </c>
      <c r="D479" s="49">
        <v>717.1</v>
      </c>
    </row>
    <row r="480" spans="1:4" customFormat="1">
      <c r="A480" t="s">
        <v>412</v>
      </c>
      <c r="B480" t="s">
        <v>293</v>
      </c>
      <c r="C480" s="111">
        <v>43105</v>
      </c>
      <c r="D480" s="49">
        <v>1212.3699999999999</v>
      </c>
    </row>
    <row r="481" spans="1:4" customFormat="1">
      <c r="A481" t="s">
        <v>837</v>
      </c>
      <c r="B481" t="s">
        <v>838</v>
      </c>
      <c r="C481" s="111">
        <v>43105</v>
      </c>
      <c r="D481" s="49">
        <v>1235.47</v>
      </c>
    </row>
    <row r="482" spans="1:4" customFormat="1">
      <c r="A482" t="s">
        <v>488</v>
      </c>
      <c r="B482" t="s">
        <v>364</v>
      </c>
      <c r="C482" s="111">
        <v>43105</v>
      </c>
      <c r="D482" s="49">
        <v>2170.42</v>
      </c>
    </row>
    <row r="483" spans="1:4" customFormat="1">
      <c r="A483" t="s">
        <v>918</v>
      </c>
      <c r="B483" t="s">
        <v>168</v>
      </c>
      <c r="C483" s="111">
        <v>43105</v>
      </c>
      <c r="D483" s="49">
        <v>700.63</v>
      </c>
    </row>
    <row r="484" spans="1:4" customFormat="1">
      <c r="A484" t="s">
        <v>139</v>
      </c>
      <c r="B484" t="s">
        <v>138</v>
      </c>
      <c r="C484" s="111">
        <v>43105</v>
      </c>
      <c r="D484" s="49">
        <v>1186.6099999999999</v>
      </c>
    </row>
    <row r="485" spans="1:4" customFormat="1">
      <c r="A485" t="s">
        <v>446</v>
      </c>
      <c r="B485" t="s">
        <v>188</v>
      </c>
      <c r="C485" s="111">
        <v>43105</v>
      </c>
      <c r="D485" s="49">
        <v>7510.41</v>
      </c>
    </row>
    <row r="486" spans="1:4" customFormat="1">
      <c r="A486" t="s">
        <v>625</v>
      </c>
      <c r="B486" t="s">
        <v>626</v>
      </c>
      <c r="C486" s="111">
        <v>43105</v>
      </c>
      <c r="D486" s="49">
        <v>7464.8</v>
      </c>
    </row>
    <row r="487" spans="1:4" customFormat="1">
      <c r="A487" t="s">
        <v>480</v>
      </c>
      <c r="B487" t="s">
        <v>199</v>
      </c>
      <c r="C487" s="111">
        <v>43105</v>
      </c>
      <c r="D487" s="49">
        <v>2099.88</v>
      </c>
    </row>
    <row r="488" spans="1:4" customFormat="1">
      <c r="A488" t="s">
        <v>456</v>
      </c>
      <c r="B488" t="s">
        <v>218</v>
      </c>
      <c r="C488" s="111">
        <v>43105</v>
      </c>
      <c r="D488" s="49">
        <v>2524.77</v>
      </c>
    </row>
    <row r="489" spans="1:4" customFormat="1">
      <c r="A489" t="s">
        <v>541</v>
      </c>
      <c r="B489" t="s">
        <v>194</v>
      </c>
      <c r="C489" s="111">
        <v>43105</v>
      </c>
      <c r="D489" s="49">
        <v>780</v>
      </c>
    </row>
    <row r="490" spans="1:4" customFormat="1">
      <c r="A490" t="s">
        <v>255</v>
      </c>
      <c r="B490" t="s">
        <v>254</v>
      </c>
      <c r="C490" s="111">
        <v>43105</v>
      </c>
      <c r="D490" s="49">
        <v>697</v>
      </c>
    </row>
    <row r="491" spans="1:4" customFormat="1">
      <c r="A491" s="863" t="s">
        <v>1263</v>
      </c>
      <c r="B491" s="863" t="s">
        <v>1264</v>
      </c>
      <c r="C491" s="862">
        <v>43105</v>
      </c>
      <c r="D491" s="866">
        <v>720.92700000000002</v>
      </c>
    </row>
    <row r="492" spans="1:4" customFormat="1">
      <c r="A492" s="863" t="s">
        <v>992</v>
      </c>
      <c r="B492" s="863" t="s">
        <v>991</v>
      </c>
      <c r="C492" s="862">
        <v>43105</v>
      </c>
      <c r="D492" s="866">
        <v>499.99200000000002</v>
      </c>
    </row>
    <row r="493" spans="1:4" customFormat="1">
      <c r="A493" t="s">
        <v>240</v>
      </c>
      <c r="B493" t="s">
        <v>239</v>
      </c>
      <c r="C493" s="111">
        <v>43106</v>
      </c>
      <c r="D493" s="49">
        <v>621.11</v>
      </c>
    </row>
    <row r="494" spans="1:4" customFormat="1">
      <c r="A494" t="s">
        <v>512</v>
      </c>
      <c r="B494" t="s">
        <v>511</v>
      </c>
      <c r="C494" s="111">
        <v>43106</v>
      </c>
      <c r="D494" s="49">
        <v>1200</v>
      </c>
    </row>
    <row r="495" spans="1:4" customFormat="1">
      <c r="A495" t="s">
        <v>899</v>
      </c>
      <c r="B495" t="s">
        <v>605</v>
      </c>
      <c r="C495" s="111">
        <v>43106</v>
      </c>
      <c r="D495" s="49">
        <v>761.16</v>
      </c>
    </row>
    <row r="496" spans="1:4" customFormat="1">
      <c r="A496" t="s">
        <v>1001</v>
      </c>
      <c r="B496" t="s">
        <v>213</v>
      </c>
      <c r="C496" s="111">
        <v>43106</v>
      </c>
      <c r="D496" s="49">
        <v>1317.79</v>
      </c>
    </row>
    <row r="497" spans="1:4" customFormat="1">
      <c r="A497" t="s">
        <v>389</v>
      </c>
      <c r="B497" t="s">
        <v>154</v>
      </c>
      <c r="C497" s="111">
        <v>43107</v>
      </c>
      <c r="D497" s="49">
        <v>2000</v>
      </c>
    </row>
    <row r="498" spans="1:4" customFormat="1">
      <c r="A498" t="s">
        <v>217</v>
      </c>
      <c r="B498" t="s">
        <v>216</v>
      </c>
      <c r="C498" s="111">
        <v>43107</v>
      </c>
      <c r="D498" s="49">
        <v>2423.7399999999998</v>
      </c>
    </row>
    <row r="499" spans="1:4" customFormat="1">
      <c r="A499" t="s">
        <v>643</v>
      </c>
      <c r="B499" t="s">
        <v>189</v>
      </c>
      <c r="C499" s="111">
        <v>43107</v>
      </c>
      <c r="D499" s="49">
        <v>650</v>
      </c>
    </row>
    <row r="500" spans="1:4" customFormat="1">
      <c r="A500" t="s">
        <v>658</v>
      </c>
      <c r="B500" t="s">
        <v>204</v>
      </c>
      <c r="C500" s="111">
        <v>43107</v>
      </c>
      <c r="D500" s="49">
        <v>3005.02</v>
      </c>
    </row>
    <row r="501" spans="1:4" customFormat="1">
      <c r="A501" t="s">
        <v>477</v>
      </c>
      <c r="B501" t="s">
        <v>180</v>
      </c>
      <c r="C501" s="111">
        <v>43107</v>
      </c>
      <c r="D501" s="49">
        <v>1864.8</v>
      </c>
    </row>
    <row r="502" spans="1:4" customFormat="1">
      <c r="A502" t="s">
        <v>521</v>
      </c>
      <c r="B502" t="s">
        <v>192</v>
      </c>
      <c r="C502" s="111">
        <v>43107</v>
      </c>
      <c r="D502" s="49">
        <v>603</v>
      </c>
    </row>
    <row r="503" spans="1:4" customFormat="1">
      <c r="A503" t="s">
        <v>147</v>
      </c>
      <c r="B503" t="s">
        <v>146</v>
      </c>
      <c r="C503" s="111">
        <v>43108</v>
      </c>
      <c r="D503" s="49">
        <v>1250</v>
      </c>
    </row>
    <row r="504" spans="1:4" customFormat="1">
      <c r="A504" t="s">
        <v>257</v>
      </c>
      <c r="B504" t="s">
        <v>256</v>
      </c>
      <c r="C504" s="111">
        <v>43108</v>
      </c>
      <c r="D504" s="49">
        <v>1260</v>
      </c>
    </row>
    <row r="505" spans="1:4" customFormat="1">
      <c r="A505" t="s">
        <v>755</v>
      </c>
      <c r="B505" t="s">
        <v>213</v>
      </c>
      <c r="C505" s="111">
        <v>43108</v>
      </c>
      <c r="D505" s="49">
        <v>1285.54</v>
      </c>
    </row>
    <row r="506" spans="1:4" customFormat="1">
      <c r="A506" t="s">
        <v>376</v>
      </c>
      <c r="B506" t="s">
        <v>377</v>
      </c>
      <c r="C506" s="111">
        <v>43108</v>
      </c>
      <c r="D506" s="49">
        <v>1744.77</v>
      </c>
    </row>
    <row r="507" spans="1:4" customFormat="1">
      <c r="A507" t="s">
        <v>271</v>
      </c>
      <c r="B507" t="s">
        <v>463</v>
      </c>
      <c r="C507" s="111">
        <v>43108</v>
      </c>
      <c r="D507" s="49">
        <v>1500</v>
      </c>
    </row>
    <row r="508" spans="1:4" customFormat="1">
      <c r="A508" t="s">
        <v>753</v>
      </c>
      <c r="B508" t="s">
        <v>630</v>
      </c>
      <c r="C508" s="111">
        <v>43109</v>
      </c>
      <c r="D508" s="49">
        <v>903.94</v>
      </c>
    </row>
    <row r="509" spans="1:4" customFormat="1">
      <c r="A509" t="s">
        <v>318</v>
      </c>
      <c r="B509" t="s">
        <v>319</v>
      </c>
      <c r="C509" s="111">
        <v>43110</v>
      </c>
      <c r="D509" s="49">
        <v>1624.89</v>
      </c>
    </row>
    <row r="510" spans="1:4" customFormat="1">
      <c r="A510" t="s">
        <v>756</v>
      </c>
      <c r="B510" t="s">
        <v>391</v>
      </c>
      <c r="C510" s="111">
        <v>43110</v>
      </c>
      <c r="D510" s="49">
        <v>297.57</v>
      </c>
    </row>
    <row r="511" spans="1:4" customFormat="1">
      <c r="A511" t="s">
        <v>628</v>
      </c>
      <c r="B511" t="s">
        <v>366</v>
      </c>
      <c r="C511" s="111">
        <v>43110</v>
      </c>
      <c r="D511" s="49">
        <v>1300</v>
      </c>
    </row>
    <row r="512" spans="1:4" customFormat="1">
      <c r="A512" t="s">
        <v>536</v>
      </c>
      <c r="B512" t="s">
        <v>535</v>
      </c>
      <c r="C512" s="111">
        <v>43110</v>
      </c>
      <c r="D512" s="49">
        <v>2164</v>
      </c>
    </row>
    <row r="513" spans="1:4" customFormat="1">
      <c r="A513" t="s">
        <v>740</v>
      </c>
      <c r="B513" t="s">
        <v>238</v>
      </c>
      <c r="C513" s="111">
        <v>43110</v>
      </c>
      <c r="D513" s="49">
        <v>853.53</v>
      </c>
    </row>
    <row r="514" spans="1:4" customFormat="1">
      <c r="A514" t="s">
        <v>314</v>
      </c>
      <c r="B514" t="s">
        <v>315</v>
      </c>
      <c r="C514" s="111">
        <v>43110</v>
      </c>
      <c r="D514" s="49">
        <v>2440</v>
      </c>
    </row>
    <row r="515" spans="1:4" customFormat="1">
      <c r="A515" t="s">
        <v>165</v>
      </c>
      <c r="B515" t="s">
        <v>164</v>
      </c>
      <c r="C515" s="111">
        <v>43110</v>
      </c>
      <c r="D515" s="49">
        <v>7049.32</v>
      </c>
    </row>
    <row r="516" spans="1:4" customFormat="1">
      <c r="A516" t="s">
        <v>198</v>
      </c>
      <c r="B516" t="s">
        <v>197</v>
      </c>
      <c r="C516" s="111">
        <v>43110</v>
      </c>
      <c r="D516" s="49">
        <v>600</v>
      </c>
    </row>
    <row r="517" spans="1:4" customFormat="1">
      <c r="A517" t="s">
        <v>263</v>
      </c>
      <c r="B517" t="s">
        <v>262</v>
      </c>
      <c r="C517" s="111">
        <v>43110</v>
      </c>
      <c r="D517" s="49">
        <v>3200.31</v>
      </c>
    </row>
    <row r="518" spans="1:4" customFormat="1">
      <c r="A518" t="s">
        <v>616</v>
      </c>
      <c r="B518" t="s">
        <v>617</v>
      </c>
      <c r="C518" s="111">
        <v>43110</v>
      </c>
      <c r="D518" s="49">
        <v>2503.58</v>
      </c>
    </row>
    <row r="519" spans="1:4" customFormat="1">
      <c r="A519" t="s">
        <v>159</v>
      </c>
      <c r="B519" t="s">
        <v>158</v>
      </c>
      <c r="C519" s="111">
        <v>43110</v>
      </c>
      <c r="D519" s="49">
        <v>1000</v>
      </c>
    </row>
    <row r="520" spans="1:4" customFormat="1">
      <c r="A520" t="s">
        <v>196</v>
      </c>
      <c r="B520" t="s">
        <v>195</v>
      </c>
      <c r="C520" s="111">
        <v>43110</v>
      </c>
      <c r="D520" s="49">
        <v>1566.67</v>
      </c>
    </row>
    <row r="521" spans="1:4" customFormat="1">
      <c r="A521" t="s">
        <v>308</v>
      </c>
      <c r="B521" t="s">
        <v>309</v>
      </c>
      <c r="C521" s="111">
        <v>43110</v>
      </c>
      <c r="D521" s="49">
        <v>750</v>
      </c>
    </row>
    <row r="522" spans="1:4" customFormat="1">
      <c r="A522" t="s">
        <v>374</v>
      </c>
      <c r="B522" t="s">
        <v>281</v>
      </c>
      <c r="C522" s="111">
        <v>43110</v>
      </c>
      <c r="D522" s="49">
        <v>1715.91</v>
      </c>
    </row>
    <row r="523" spans="1:4" customFormat="1">
      <c r="A523" t="s">
        <v>510</v>
      </c>
      <c r="B523" t="s">
        <v>141</v>
      </c>
      <c r="C523" s="111">
        <v>43110</v>
      </c>
      <c r="D523" s="49">
        <v>573</v>
      </c>
    </row>
    <row r="524" spans="1:4" customFormat="1">
      <c r="A524" t="s">
        <v>481</v>
      </c>
      <c r="B524" t="s">
        <v>482</v>
      </c>
      <c r="C524" s="111">
        <v>43110</v>
      </c>
      <c r="D524" s="49">
        <v>2554.91</v>
      </c>
    </row>
    <row r="525" spans="1:4" customFormat="1">
      <c r="A525" t="s">
        <v>380</v>
      </c>
      <c r="B525" t="s">
        <v>292</v>
      </c>
      <c r="C525" s="111">
        <v>43110</v>
      </c>
      <c r="D525" s="49">
        <v>3614.27</v>
      </c>
    </row>
    <row r="526" spans="1:4" customFormat="1">
      <c r="A526" t="s">
        <v>611</v>
      </c>
      <c r="B526" t="s">
        <v>292</v>
      </c>
      <c r="C526" s="111">
        <v>43110</v>
      </c>
      <c r="D526" s="49">
        <v>3571.5</v>
      </c>
    </row>
    <row r="527" spans="1:4" customFormat="1">
      <c r="A527" t="s">
        <v>634</v>
      </c>
      <c r="B527" t="s">
        <v>635</v>
      </c>
      <c r="C527" s="111">
        <v>43110</v>
      </c>
      <c r="D527" s="49">
        <v>1343.72</v>
      </c>
    </row>
    <row r="528" spans="1:4" customFormat="1">
      <c r="A528" t="s">
        <v>416</v>
      </c>
      <c r="B528" t="s">
        <v>379</v>
      </c>
      <c r="C528" s="111">
        <v>43110</v>
      </c>
      <c r="D528" s="49">
        <v>2839.41</v>
      </c>
    </row>
    <row r="529" spans="1:4" customFormat="1">
      <c r="A529" t="s">
        <v>442</v>
      </c>
      <c r="B529" t="s">
        <v>784</v>
      </c>
      <c r="C529" s="111">
        <v>43110</v>
      </c>
      <c r="D529" s="49">
        <v>1192.57</v>
      </c>
    </row>
    <row r="530" spans="1:4" customFormat="1">
      <c r="A530" t="s">
        <v>823</v>
      </c>
      <c r="B530" t="s">
        <v>267</v>
      </c>
      <c r="C530" s="111">
        <v>43110</v>
      </c>
      <c r="D530" s="49">
        <v>650</v>
      </c>
    </row>
    <row r="531" spans="1:4" customFormat="1">
      <c r="A531" t="s">
        <v>736</v>
      </c>
      <c r="B531" t="s">
        <v>796</v>
      </c>
      <c r="C531" s="111">
        <v>43110</v>
      </c>
      <c r="D531" s="49">
        <v>3804.89</v>
      </c>
    </row>
    <row r="532" spans="1:4" customFormat="1">
      <c r="A532" t="s">
        <v>736</v>
      </c>
      <c r="B532" t="s">
        <v>796</v>
      </c>
      <c r="C532" s="111">
        <v>43110</v>
      </c>
      <c r="D532" s="49">
        <v>2560</v>
      </c>
    </row>
    <row r="533" spans="1:4" customFormat="1">
      <c r="A533" t="s">
        <v>564</v>
      </c>
      <c r="B533" t="s">
        <v>563</v>
      </c>
      <c r="C533" s="111">
        <v>43110</v>
      </c>
      <c r="D533" s="49">
        <v>4000</v>
      </c>
    </row>
    <row r="534" spans="1:4" customFormat="1">
      <c r="A534" t="s">
        <v>322</v>
      </c>
      <c r="B534" t="s">
        <v>323</v>
      </c>
      <c r="C534" s="111">
        <v>43110</v>
      </c>
      <c r="D534" s="49">
        <v>5934.25</v>
      </c>
    </row>
    <row r="535" spans="1:4" customFormat="1">
      <c r="A535" t="s">
        <v>570</v>
      </c>
      <c r="B535" t="s">
        <v>622</v>
      </c>
      <c r="C535" s="111">
        <v>43110</v>
      </c>
      <c r="D535" s="49">
        <v>2052.29</v>
      </c>
    </row>
    <row r="536" spans="1:4" customFormat="1">
      <c r="A536" t="s">
        <v>938</v>
      </c>
      <c r="B536" t="s">
        <v>937</v>
      </c>
      <c r="C536" s="111">
        <v>43110</v>
      </c>
      <c r="D536" s="49">
        <v>2923.94</v>
      </c>
    </row>
    <row r="537" spans="1:4" customFormat="1">
      <c r="A537" s="863" t="s">
        <v>1263</v>
      </c>
      <c r="B537" s="863" t="s">
        <v>1264</v>
      </c>
      <c r="C537" s="862">
        <v>43110</v>
      </c>
      <c r="D537" s="866">
        <v>720.92700000000002</v>
      </c>
    </row>
    <row r="538" spans="1:4" customFormat="1">
      <c r="A538" s="863" t="s">
        <v>1248</v>
      </c>
      <c r="B538" s="863" t="s">
        <v>1249</v>
      </c>
      <c r="C538" s="862">
        <v>43110</v>
      </c>
      <c r="D538" s="866">
        <v>1578.704</v>
      </c>
    </row>
    <row r="539" spans="1:4" customFormat="1">
      <c r="A539" s="863" t="s">
        <v>1148</v>
      </c>
      <c r="B539" s="863" t="s">
        <v>1147</v>
      </c>
      <c r="C539" s="862">
        <v>43110</v>
      </c>
      <c r="D539" s="866">
        <v>1202.153</v>
      </c>
    </row>
    <row r="540" spans="1:4" customFormat="1">
      <c r="A540" s="863" t="s">
        <v>612</v>
      </c>
      <c r="B540" s="863" t="s">
        <v>613</v>
      </c>
      <c r="C540" s="862">
        <v>43110</v>
      </c>
      <c r="D540" s="866">
        <v>1237.8130000000001</v>
      </c>
    </row>
    <row r="541" spans="1:4" customFormat="1">
      <c r="A541" t="s">
        <v>257</v>
      </c>
      <c r="B541" t="s">
        <v>256</v>
      </c>
      <c r="C541" s="111">
        <v>43111</v>
      </c>
      <c r="D541" s="49">
        <v>1264.5</v>
      </c>
    </row>
    <row r="542" spans="1:4" s="770" customFormat="1">
      <c r="A542" t="s">
        <v>161</v>
      </c>
      <c r="B542" t="s">
        <v>160</v>
      </c>
      <c r="C542" s="111">
        <v>43112</v>
      </c>
      <c r="D542" s="49">
        <v>3334.95</v>
      </c>
    </row>
    <row r="543" spans="1:4" customFormat="1">
      <c r="A543" t="s">
        <v>826</v>
      </c>
      <c r="B543" t="s">
        <v>759</v>
      </c>
      <c r="C543" s="111">
        <v>43112</v>
      </c>
      <c r="D543" s="49">
        <v>1200</v>
      </c>
    </row>
    <row r="544" spans="1:4" customFormat="1">
      <c r="A544" t="s">
        <v>369</v>
      </c>
      <c r="B544" t="s">
        <v>230</v>
      </c>
      <c r="C544" s="111">
        <v>43112</v>
      </c>
      <c r="D544" s="49">
        <v>1150.9000000000001</v>
      </c>
    </row>
    <row r="545" spans="1:4" customFormat="1">
      <c r="A545" t="s">
        <v>139</v>
      </c>
      <c r="B545" t="s">
        <v>138</v>
      </c>
      <c r="C545" s="111">
        <v>43112</v>
      </c>
      <c r="D545" s="49">
        <v>1180</v>
      </c>
    </row>
    <row r="546" spans="1:4" customFormat="1">
      <c r="A546" t="s">
        <v>629</v>
      </c>
      <c r="B546" t="s">
        <v>261</v>
      </c>
      <c r="C546" s="111">
        <v>43112</v>
      </c>
      <c r="D546" s="49">
        <v>316.81</v>
      </c>
    </row>
    <row r="547" spans="1:4" customFormat="1">
      <c r="A547" t="s">
        <v>989</v>
      </c>
      <c r="B547" t="s">
        <v>1073</v>
      </c>
      <c r="C547" s="111">
        <v>43112</v>
      </c>
      <c r="D547" s="49">
        <v>671.08</v>
      </c>
    </row>
    <row r="548" spans="1:4" customFormat="1">
      <c r="A548" t="s">
        <v>824</v>
      </c>
      <c r="B548" t="s">
        <v>272</v>
      </c>
      <c r="C548" s="111">
        <v>43112</v>
      </c>
      <c r="D548" s="49">
        <v>4794.17</v>
      </c>
    </row>
    <row r="549" spans="1:4" customFormat="1">
      <c r="A549" t="s">
        <v>541</v>
      </c>
      <c r="B549" t="s">
        <v>194</v>
      </c>
      <c r="C549" s="111">
        <v>43112</v>
      </c>
      <c r="D549" s="49">
        <v>806.58</v>
      </c>
    </row>
    <row r="550" spans="1:4" customFormat="1">
      <c r="A550" t="s">
        <v>404</v>
      </c>
      <c r="B550" t="s">
        <v>192</v>
      </c>
      <c r="C550" s="111">
        <v>43112</v>
      </c>
      <c r="D550" s="49">
        <v>920</v>
      </c>
    </row>
    <row r="551" spans="1:4" customFormat="1">
      <c r="A551" t="s">
        <v>299</v>
      </c>
      <c r="B551" t="s">
        <v>300</v>
      </c>
      <c r="C551" s="111">
        <v>43112</v>
      </c>
      <c r="D551" s="49">
        <v>3737</v>
      </c>
    </row>
    <row r="552" spans="1:4" customFormat="1">
      <c r="A552" t="s">
        <v>402</v>
      </c>
      <c r="B552" t="s">
        <v>403</v>
      </c>
      <c r="C552" s="111">
        <v>43113</v>
      </c>
      <c r="D552" s="49">
        <v>2500</v>
      </c>
    </row>
    <row r="553" spans="1:4" customFormat="1">
      <c r="A553" t="s">
        <v>240</v>
      </c>
      <c r="B553" t="s">
        <v>239</v>
      </c>
      <c r="C553" s="111">
        <v>43113</v>
      </c>
      <c r="D553" s="49">
        <v>621.11</v>
      </c>
    </row>
    <row r="554" spans="1:4" customFormat="1">
      <c r="A554" t="s">
        <v>212</v>
      </c>
      <c r="B554" t="s">
        <v>211</v>
      </c>
      <c r="C554" s="111">
        <v>43113</v>
      </c>
      <c r="D554" s="49">
        <v>2543.0300000000002</v>
      </c>
    </row>
    <row r="555" spans="1:4" customFormat="1">
      <c r="A555" t="s">
        <v>825</v>
      </c>
      <c r="B555" t="s">
        <v>293</v>
      </c>
      <c r="C555" s="111">
        <v>43113</v>
      </c>
      <c r="D555" s="49">
        <v>1242.45</v>
      </c>
    </row>
    <row r="556" spans="1:4" customFormat="1">
      <c r="A556" t="s">
        <v>443</v>
      </c>
      <c r="B556" t="s">
        <v>418</v>
      </c>
      <c r="C556" s="111">
        <v>43113</v>
      </c>
      <c r="D556" s="49">
        <v>765.86</v>
      </c>
    </row>
    <row r="557" spans="1:4" customFormat="1">
      <c r="A557" t="s">
        <v>942</v>
      </c>
      <c r="B557" t="s">
        <v>451</v>
      </c>
      <c r="C557" s="111">
        <v>43113</v>
      </c>
      <c r="D557" s="49">
        <v>595</v>
      </c>
    </row>
    <row r="558" spans="1:4" customFormat="1">
      <c r="A558" t="s">
        <v>278</v>
      </c>
      <c r="B558" t="s">
        <v>277</v>
      </c>
      <c r="C558" s="111">
        <v>43115</v>
      </c>
      <c r="D558" s="49">
        <v>1000</v>
      </c>
    </row>
    <row r="559" spans="1:4" customFormat="1">
      <c r="A559" t="s">
        <v>738</v>
      </c>
      <c r="B559" t="s">
        <v>739</v>
      </c>
      <c r="C559" s="111">
        <v>43115</v>
      </c>
      <c r="D559" s="49">
        <v>6410.86</v>
      </c>
    </row>
    <row r="560" spans="1:4" customFormat="1">
      <c r="A560" t="s">
        <v>644</v>
      </c>
      <c r="B560" t="s">
        <v>645</v>
      </c>
      <c r="C560" s="111">
        <v>43115</v>
      </c>
      <c r="D560" s="49">
        <v>1322.74</v>
      </c>
    </row>
    <row r="561" spans="1:4" customFormat="1">
      <c r="A561" t="s">
        <v>948</v>
      </c>
      <c r="B561" t="s">
        <v>947</v>
      </c>
      <c r="C561" s="111">
        <v>43115</v>
      </c>
      <c r="D561" s="49">
        <v>1400</v>
      </c>
    </row>
    <row r="562" spans="1:4" customFormat="1">
      <c r="A562" t="s">
        <v>370</v>
      </c>
      <c r="B562" t="s">
        <v>371</v>
      </c>
      <c r="C562" s="111">
        <v>43115</v>
      </c>
      <c r="D562" s="49">
        <v>2021.54</v>
      </c>
    </row>
    <row r="563" spans="1:4" customFormat="1">
      <c r="A563" t="s">
        <v>707</v>
      </c>
      <c r="B563" t="s">
        <v>546</v>
      </c>
      <c r="C563" s="111">
        <v>43115</v>
      </c>
      <c r="D563" s="49">
        <v>2680.38</v>
      </c>
    </row>
    <row r="564" spans="1:4" customFormat="1">
      <c r="A564" t="s">
        <v>314</v>
      </c>
      <c r="B564" t="s">
        <v>315</v>
      </c>
      <c r="C564" s="111">
        <v>43115</v>
      </c>
      <c r="D564" s="49">
        <v>2440</v>
      </c>
    </row>
    <row r="565" spans="1:4" customFormat="1">
      <c r="A565" t="s">
        <v>203</v>
      </c>
      <c r="B565" t="s">
        <v>202</v>
      </c>
      <c r="C565" s="111">
        <v>43115</v>
      </c>
      <c r="D565" s="49">
        <v>5239.71</v>
      </c>
    </row>
    <row r="566" spans="1:4" customFormat="1">
      <c r="A566" t="s">
        <v>240</v>
      </c>
      <c r="B566" t="s">
        <v>239</v>
      </c>
      <c r="C566" s="111">
        <v>43115</v>
      </c>
      <c r="D566" s="49">
        <v>621.11</v>
      </c>
    </row>
    <row r="567" spans="1:4" customFormat="1">
      <c r="A567" t="s">
        <v>257</v>
      </c>
      <c r="B567" t="s">
        <v>256</v>
      </c>
      <c r="C567" s="111">
        <v>43115</v>
      </c>
      <c r="D567" s="49">
        <v>1100</v>
      </c>
    </row>
    <row r="568" spans="1:4" customFormat="1">
      <c r="A568" t="s">
        <v>228</v>
      </c>
      <c r="B568" t="s">
        <v>227</v>
      </c>
      <c r="C568" s="111">
        <v>43115</v>
      </c>
      <c r="D568" s="49">
        <v>647</v>
      </c>
    </row>
    <row r="569" spans="1:4" customFormat="1">
      <c r="A569" t="s">
        <v>485</v>
      </c>
      <c r="B569" t="s">
        <v>486</v>
      </c>
      <c r="C569" s="111">
        <v>43115</v>
      </c>
      <c r="D569" s="49">
        <v>1450.76</v>
      </c>
    </row>
    <row r="570" spans="1:4" customFormat="1">
      <c r="A570" t="s">
        <v>172</v>
      </c>
      <c r="B570" t="s">
        <v>171</v>
      </c>
      <c r="C570" s="111">
        <v>43115</v>
      </c>
      <c r="D570" s="49">
        <v>3474.83</v>
      </c>
    </row>
    <row r="571" spans="1:4" customFormat="1">
      <c r="A571" t="s">
        <v>540</v>
      </c>
      <c r="B571" t="s">
        <v>539</v>
      </c>
      <c r="C571" s="111">
        <v>43115</v>
      </c>
      <c r="D571" s="49">
        <v>3686.29</v>
      </c>
    </row>
    <row r="572" spans="1:4" customFormat="1">
      <c r="A572" t="s">
        <v>826</v>
      </c>
      <c r="B572" t="s">
        <v>759</v>
      </c>
      <c r="C572" s="111">
        <v>43115</v>
      </c>
      <c r="D572" s="49">
        <v>1263.46</v>
      </c>
    </row>
    <row r="573" spans="1:4" customFormat="1">
      <c r="A573" t="s">
        <v>390</v>
      </c>
      <c r="B573" t="s">
        <v>337</v>
      </c>
      <c r="C573" s="111">
        <v>43115</v>
      </c>
      <c r="D573" s="49">
        <v>3906.4</v>
      </c>
    </row>
    <row r="574" spans="1:4" customFormat="1">
      <c r="A574" t="s">
        <v>1072</v>
      </c>
      <c r="B574" t="s">
        <v>789</v>
      </c>
      <c r="C574" s="111">
        <v>43115</v>
      </c>
      <c r="D574" s="49">
        <v>986.47</v>
      </c>
    </row>
    <row r="575" spans="1:4" customFormat="1">
      <c r="A575" t="s">
        <v>510</v>
      </c>
      <c r="B575" t="s">
        <v>141</v>
      </c>
      <c r="C575" s="111">
        <v>43115</v>
      </c>
      <c r="D575" s="49">
        <v>540</v>
      </c>
    </row>
    <row r="576" spans="1:4" customFormat="1">
      <c r="A576" t="s">
        <v>762</v>
      </c>
      <c r="B576" t="s">
        <v>153</v>
      </c>
      <c r="C576" s="111">
        <v>43115</v>
      </c>
      <c r="D576" s="49">
        <v>5113.42</v>
      </c>
    </row>
    <row r="577" spans="1:4" customFormat="1">
      <c r="A577" t="s">
        <v>762</v>
      </c>
      <c r="B577" t="s">
        <v>153</v>
      </c>
      <c r="C577" s="111">
        <v>43115</v>
      </c>
      <c r="D577" s="49">
        <v>5000</v>
      </c>
    </row>
    <row r="578" spans="1:4" customFormat="1">
      <c r="A578" t="s">
        <v>392</v>
      </c>
      <c r="B578" t="s">
        <v>153</v>
      </c>
      <c r="C578" s="111">
        <v>43115</v>
      </c>
      <c r="D578" s="49">
        <v>6000</v>
      </c>
    </row>
    <row r="579" spans="1:4" customFormat="1">
      <c r="A579" t="s">
        <v>382</v>
      </c>
      <c r="B579" t="s">
        <v>193</v>
      </c>
      <c r="C579" s="111">
        <v>43115</v>
      </c>
      <c r="D579" s="49">
        <v>1766.86</v>
      </c>
    </row>
    <row r="580" spans="1:4" customFormat="1">
      <c r="A580" t="s">
        <v>574</v>
      </c>
      <c r="B580" t="s">
        <v>229</v>
      </c>
      <c r="C580" s="111">
        <v>43115</v>
      </c>
      <c r="D580" s="49">
        <v>1147.06</v>
      </c>
    </row>
    <row r="581" spans="1:4" customFormat="1">
      <c r="A581" t="s">
        <v>919</v>
      </c>
      <c r="B581" t="s">
        <v>316</v>
      </c>
      <c r="C581" s="111">
        <v>43115</v>
      </c>
      <c r="D581" s="49">
        <v>116.82</v>
      </c>
    </row>
    <row r="582" spans="1:4" customFormat="1">
      <c r="A582" t="s">
        <v>409</v>
      </c>
      <c r="B582" t="s">
        <v>253</v>
      </c>
      <c r="C582" s="111">
        <v>43115</v>
      </c>
      <c r="D582" s="49">
        <v>2682.83</v>
      </c>
    </row>
    <row r="583" spans="1:4" customFormat="1">
      <c r="A583" t="s">
        <v>380</v>
      </c>
      <c r="B583" t="s">
        <v>292</v>
      </c>
      <c r="C583" s="111">
        <v>43115</v>
      </c>
      <c r="D583" s="49">
        <v>3614.27</v>
      </c>
    </row>
    <row r="584" spans="1:4" customFormat="1">
      <c r="A584" t="s">
        <v>508</v>
      </c>
      <c r="B584" t="s">
        <v>184</v>
      </c>
      <c r="C584" s="111">
        <v>43115</v>
      </c>
      <c r="D584" s="49">
        <v>2109.37</v>
      </c>
    </row>
    <row r="585" spans="1:4" customFormat="1">
      <c r="A585" t="s">
        <v>538</v>
      </c>
      <c r="B585" t="s">
        <v>537</v>
      </c>
      <c r="C585" s="111">
        <v>43115</v>
      </c>
      <c r="D585" s="49">
        <v>3000</v>
      </c>
    </row>
    <row r="586" spans="1:4" customFormat="1">
      <c r="A586" t="s">
        <v>519</v>
      </c>
      <c r="B586" t="s">
        <v>484</v>
      </c>
      <c r="C586" s="111">
        <v>43115</v>
      </c>
      <c r="D586" s="49">
        <v>2214.9</v>
      </c>
    </row>
    <row r="587" spans="1:4" customFormat="1">
      <c r="A587" t="s">
        <v>509</v>
      </c>
      <c r="B587" t="s">
        <v>140</v>
      </c>
      <c r="C587" s="111">
        <v>43115</v>
      </c>
      <c r="D587" s="49">
        <v>4439.55</v>
      </c>
    </row>
    <row r="588" spans="1:4" customFormat="1">
      <c r="A588" t="s">
        <v>970</v>
      </c>
      <c r="B588" t="s">
        <v>245</v>
      </c>
      <c r="C588" s="111">
        <v>43115</v>
      </c>
      <c r="D588" s="49">
        <v>1206.93</v>
      </c>
    </row>
    <row r="589" spans="1:4" customFormat="1">
      <c r="A589" t="s">
        <v>470</v>
      </c>
      <c r="B589" t="s">
        <v>471</v>
      </c>
      <c r="C589" s="111">
        <v>43115</v>
      </c>
      <c r="D589" s="49">
        <v>1679.08</v>
      </c>
    </row>
    <row r="590" spans="1:4" customFormat="1">
      <c r="A590" t="s">
        <v>688</v>
      </c>
      <c r="B590" t="s">
        <v>177</v>
      </c>
      <c r="C590" s="111">
        <v>43115</v>
      </c>
      <c r="D590" s="49">
        <v>1000</v>
      </c>
    </row>
    <row r="591" spans="1:4" customFormat="1">
      <c r="A591" t="s">
        <v>643</v>
      </c>
      <c r="B591" t="s">
        <v>189</v>
      </c>
      <c r="C591" s="111">
        <v>43115</v>
      </c>
      <c r="D591" s="49">
        <v>630</v>
      </c>
    </row>
    <row r="592" spans="1:4" customFormat="1">
      <c r="A592" t="s">
        <v>163</v>
      </c>
      <c r="B592" t="s">
        <v>162</v>
      </c>
      <c r="C592" s="111">
        <v>43115</v>
      </c>
      <c r="D592" s="49">
        <v>1374.23</v>
      </c>
    </row>
    <row r="593" spans="1:4" customFormat="1">
      <c r="A593" t="s">
        <v>815</v>
      </c>
      <c r="B593" t="s">
        <v>190</v>
      </c>
      <c r="C593" s="111">
        <v>43115</v>
      </c>
      <c r="D593" s="49">
        <v>5000</v>
      </c>
    </row>
    <row r="594" spans="1:4" customFormat="1">
      <c r="A594" t="s">
        <v>763</v>
      </c>
      <c r="B594" t="s">
        <v>266</v>
      </c>
      <c r="C594" s="111">
        <v>43115</v>
      </c>
      <c r="D594" s="49">
        <v>4964.33</v>
      </c>
    </row>
    <row r="595" spans="1:4" customFormat="1">
      <c r="A595" t="s">
        <v>652</v>
      </c>
      <c r="B595" t="s">
        <v>254</v>
      </c>
      <c r="C595" s="111">
        <v>43115</v>
      </c>
      <c r="D595" s="49">
        <v>500</v>
      </c>
    </row>
    <row r="596" spans="1:4" customFormat="1">
      <c r="A596" t="s">
        <v>990</v>
      </c>
      <c r="B596" t="s">
        <v>441</v>
      </c>
      <c r="C596" s="111">
        <v>43115</v>
      </c>
      <c r="D596" s="49">
        <v>1500</v>
      </c>
    </row>
    <row r="597" spans="1:4" customFormat="1">
      <c r="A597" t="s">
        <v>215</v>
      </c>
      <c r="B597" t="s">
        <v>214</v>
      </c>
      <c r="C597" s="111">
        <v>43115</v>
      </c>
      <c r="D597" s="49">
        <v>2250</v>
      </c>
    </row>
    <row r="598" spans="1:4" customFormat="1">
      <c r="A598" t="s">
        <v>271</v>
      </c>
      <c r="B598" t="s">
        <v>463</v>
      </c>
      <c r="C598" s="111">
        <v>43115</v>
      </c>
      <c r="D598" s="49">
        <v>2000</v>
      </c>
    </row>
    <row r="599" spans="1:4" customFormat="1">
      <c r="A599" s="863" t="s">
        <v>794</v>
      </c>
      <c r="B599" s="863" t="s">
        <v>795</v>
      </c>
      <c r="C599" s="862">
        <v>43115</v>
      </c>
      <c r="D599" s="866">
        <v>606</v>
      </c>
    </row>
    <row r="600" spans="1:4" customFormat="1">
      <c r="A600" s="863" t="s">
        <v>1263</v>
      </c>
      <c r="B600" s="863" t="s">
        <v>1264</v>
      </c>
      <c r="C600" s="862">
        <v>43115</v>
      </c>
      <c r="D600" s="866">
        <v>720.92700000000002</v>
      </c>
    </row>
    <row r="601" spans="1:4" customFormat="1">
      <c r="A601" t="s">
        <v>389</v>
      </c>
      <c r="B601" t="s">
        <v>154</v>
      </c>
      <c r="C601" s="111">
        <v>43116</v>
      </c>
      <c r="D601" s="49">
        <v>2790.87</v>
      </c>
    </row>
    <row r="602" spans="1:4" customFormat="1">
      <c r="A602" t="s">
        <v>969</v>
      </c>
      <c r="B602" t="s">
        <v>968</v>
      </c>
      <c r="C602" s="111">
        <v>43116</v>
      </c>
      <c r="D602" s="49">
        <v>1047.26</v>
      </c>
    </row>
    <row r="603" spans="1:4" customFormat="1">
      <c r="A603" t="s">
        <v>753</v>
      </c>
      <c r="B603" t="s">
        <v>630</v>
      </c>
      <c r="C603" s="111">
        <v>43116</v>
      </c>
      <c r="D603" s="49">
        <v>903.94</v>
      </c>
    </row>
    <row r="604" spans="1:4" customFormat="1">
      <c r="A604" s="863" t="s">
        <v>1155</v>
      </c>
      <c r="B604" s="863" t="s">
        <v>1154</v>
      </c>
      <c r="C604" s="862">
        <v>43116</v>
      </c>
      <c r="D604" s="866">
        <v>1279.538</v>
      </c>
    </row>
    <row r="605" spans="1:4" customFormat="1">
      <c r="A605" s="863" t="s">
        <v>1155</v>
      </c>
      <c r="B605" s="863" t="s">
        <v>1154</v>
      </c>
      <c r="C605" s="862">
        <v>43116</v>
      </c>
      <c r="D605" s="866">
        <v>1209</v>
      </c>
    </row>
    <row r="606" spans="1:4" customFormat="1">
      <c r="A606" t="s">
        <v>495</v>
      </c>
      <c r="B606" t="s">
        <v>496</v>
      </c>
      <c r="C606" s="111">
        <v>43117</v>
      </c>
      <c r="D606" s="49">
        <v>1500</v>
      </c>
    </row>
    <row r="607" spans="1:4" customFormat="1">
      <c r="A607" t="s">
        <v>897</v>
      </c>
      <c r="B607" t="s">
        <v>898</v>
      </c>
      <c r="C607" s="111">
        <v>43117</v>
      </c>
      <c r="D607" s="49">
        <v>777.58</v>
      </c>
    </row>
    <row r="608" spans="1:4" customFormat="1">
      <c r="A608" t="s">
        <v>653</v>
      </c>
      <c r="B608" t="s">
        <v>654</v>
      </c>
      <c r="C608" s="111">
        <v>43117</v>
      </c>
      <c r="D608" s="49">
        <v>649.45000000000005</v>
      </c>
    </row>
    <row r="609" spans="1:4" customFormat="1">
      <c r="A609" t="s">
        <v>809</v>
      </c>
      <c r="B609" t="s">
        <v>183</v>
      </c>
      <c r="C609" s="111">
        <v>43117</v>
      </c>
      <c r="D609" s="49">
        <v>698.77</v>
      </c>
    </row>
    <row r="610" spans="1:4" s="770" customFormat="1">
      <c r="A610" t="s">
        <v>920</v>
      </c>
      <c r="B610" t="s">
        <v>210</v>
      </c>
      <c r="C610" s="111">
        <v>43117</v>
      </c>
      <c r="D610" s="49">
        <v>4258.1000000000004</v>
      </c>
    </row>
    <row r="611" spans="1:4" customFormat="1">
      <c r="A611" t="s">
        <v>521</v>
      </c>
      <c r="B611" t="s">
        <v>192</v>
      </c>
      <c r="C611" s="111">
        <v>43117</v>
      </c>
      <c r="D611" s="49">
        <v>604</v>
      </c>
    </row>
    <row r="612" spans="1:4" customFormat="1">
      <c r="A612" t="s">
        <v>147</v>
      </c>
      <c r="B612" t="s">
        <v>146</v>
      </c>
      <c r="C612" s="111">
        <v>43118</v>
      </c>
      <c r="D612" s="49">
        <v>1250</v>
      </c>
    </row>
    <row r="613" spans="1:4" customFormat="1">
      <c r="A613" t="s">
        <v>312</v>
      </c>
      <c r="B613" t="s">
        <v>313</v>
      </c>
      <c r="C613" s="111">
        <v>43118</v>
      </c>
      <c r="D613" s="49">
        <v>983.76</v>
      </c>
    </row>
    <row r="614" spans="1:4" customFormat="1">
      <c r="A614" t="s">
        <v>139</v>
      </c>
      <c r="B614" t="s">
        <v>138</v>
      </c>
      <c r="C614" s="111">
        <v>43118</v>
      </c>
      <c r="D614" s="49">
        <v>1500</v>
      </c>
    </row>
    <row r="615" spans="1:4" customFormat="1">
      <c r="A615" s="863" t="s">
        <v>1237</v>
      </c>
      <c r="B615" s="863" t="s">
        <v>418</v>
      </c>
      <c r="C615" s="862">
        <v>43118</v>
      </c>
      <c r="D615" s="866">
        <v>219.65600000000001</v>
      </c>
    </row>
    <row r="616" spans="1:4" customFormat="1">
      <c r="A616" t="s">
        <v>257</v>
      </c>
      <c r="B616" t="s">
        <v>256</v>
      </c>
      <c r="C616" s="111">
        <v>43119</v>
      </c>
      <c r="D616" s="49">
        <v>1110</v>
      </c>
    </row>
    <row r="617" spans="1:4" customFormat="1">
      <c r="A617" t="s">
        <v>825</v>
      </c>
      <c r="B617" t="s">
        <v>293</v>
      </c>
      <c r="C617" s="111">
        <v>43119</v>
      </c>
      <c r="D617" s="49">
        <v>1242.45</v>
      </c>
    </row>
    <row r="618" spans="1:4" customFormat="1">
      <c r="A618" t="s">
        <v>629</v>
      </c>
      <c r="B618" t="s">
        <v>261</v>
      </c>
      <c r="C618" s="111">
        <v>43119</v>
      </c>
      <c r="D618" s="49">
        <v>316.81</v>
      </c>
    </row>
    <row r="619" spans="1:4" customFormat="1">
      <c r="A619" t="s">
        <v>404</v>
      </c>
      <c r="B619" t="s">
        <v>192</v>
      </c>
      <c r="C619" s="111">
        <v>43119</v>
      </c>
      <c r="D619" s="49">
        <v>917</v>
      </c>
    </row>
    <row r="620" spans="1:4" customFormat="1">
      <c r="A620" t="s">
        <v>278</v>
      </c>
      <c r="B620" t="s">
        <v>277</v>
      </c>
      <c r="C620" s="111">
        <v>43120</v>
      </c>
      <c r="D620" s="49">
        <v>1000</v>
      </c>
    </row>
    <row r="621" spans="1:4" customFormat="1">
      <c r="A621" t="s">
        <v>604</v>
      </c>
      <c r="B621" t="s">
        <v>578</v>
      </c>
      <c r="C621" s="111">
        <v>43120</v>
      </c>
      <c r="D621" s="49">
        <v>700</v>
      </c>
    </row>
    <row r="622" spans="1:4" customFormat="1">
      <c r="A622" t="s">
        <v>318</v>
      </c>
      <c r="B622" t="s">
        <v>319</v>
      </c>
      <c r="C622" s="111">
        <v>43120</v>
      </c>
      <c r="D622" s="49">
        <v>1624.89</v>
      </c>
    </row>
    <row r="623" spans="1:4" customFormat="1">
      <c r="A623" t="s">
        <v>402</v>
      </c>
      <c r="B623" t="s">
        <v>403</v>
      </c>
      <c r="C623" s="111">
        <v>43120</v>
      </c>
      <c r="D623" s="49">
        <v>2000</v>
      </c>
    </row>
    <row r="624" spans="1:4" s="770" customFormat="1">
      <c r="A624" t="s">
        <v>536</v>
      </c>
      <c r="B624" t="s">
        <v>535</v>
      </c>
      <c r="C624" s="111">
        <v>43120</v>
      </c>
      <c r="D624" s="49">
        <v>2164</v>
      </c>
    </row>
    <row r="625" spans="1:4">
      <c r="A625" t="s">
        <v>314</v>
      </c>
      <c r="B625" t="s">
        <v>315</v>
      </c>
      <c r="C625" s="111">
        <v>43120</v>
      </c>
      <c r="D625" s="49">
        <v>2440</v>
      </c>
    </row>
    <row r="626" spans="1:4" s="770" customFormat="1">
      <c r="A626" t="s">
        <v>240</v>
      </c>
      <c r="B626" t="s">
        <v>239</v>
      </c>
      <c r="C626" s="111">
        <v>43120</v>
      </c>
      <c r="D626" s="49">
        <v>621.11</v>
      </c>
    </row>
    <row r="627" spans="1:4">
      <c r="A627" t="s">
        <v>921</v>
      </c>
      <c r="B627" t="s">
        <v>258</v>
      </c>
      <c r="C627" s="111">
        <v>43120</v>
      </c>
      <c r="D627" s="49">
        <v>1961.62</v>
      </c>
    </row>
    <row r="628" spans="1:4">
      <c r="A628" t="s">
        <v>212</v>
      </c>
      <c r="B628" t="s">
        <v>211</v>
      </c>
      <c r="C628" s="111">
        <v>43120</v>
      </c>
      <c r="D628" s="49">
        <v>2543.0300000000002</v>
      </c>
    </row>
    <row r="629" spans="1:4">
      <c r="A629" t="s">
        <v>747</v>
      </c>
      <c r="B629" t="s">
        <v>748</v>
      </c>
      <c r="C629" s="111">
        <v>43120</v>
      </c>
      <c r="D629" s="49">
        <v>457.84</v>
      </c>
    </row>
    <row r="630" spans="1:4">
      <c r="A630" t="s">
        <v>573</v>
      </c>
      <c r="B630" t="s">
        <v>417</v>
      </c>
      <c r="C630" s="111">
        <v>43120</v>
      </c>
      <c r="D630" s="49">
        <v>16000</v>
      </c>
    </row>
    <row r="631" spans="1:4">
      <c r="A631" t="s">
        <v>780</v>
      </c>
      <c r="B631" t="s">
        <v>185</v>
      </c>
      <c r="C631" s="111">
        <v>43120</v>
      </c>
      <c r="D631" s="49">
        <v>2800</v>
      </c>
    </row>
    <row r="632" spans="1:4">
      <c r="A632" t="s">
        <v>636</v>
      </c>
      <c r="B632" t="s">
        <v>265</v>
      </c>
      <c r="C632" s="111">
        <v>43120</v>
      </c>
      <c r="D632" s="49">
        <v>1420.13</v>
      </c>
    </row>
    <row r="633" spans="1:4">
      <c r="A633" t="s">
        <v>576</v>
      </c>
      <c r="B633" t="s">
        <v>610</v>
      </c>
      <c r="C633" s="111">
        <v>43120</v>
      </c>
      <c r="D633" s="49">
        <v>984.96</v>
      </c>
    </row>
    <row r="634" spans="1:4">
      <c r="A634" t="s">
        <v>458</v>
      </c>
      <c r="B634" t="s">
        <v>187</v>
      </c>
      <c r="C634" s="111">
        <v>43120</v>
      </c>
      <c r="D634" s="49">
        <v>2750.23</v>
      </c>
    </row>
    <row r="635" spans="1:4">
      <c r="A635" t="s">
        <v>679</v>
      </c>
      <c r="B635" t="s">
        <v>903</v>
      </c>
      <c r="C635" s="111">
        <v>43120</v>
      </c>
      <c r="D635" s="49">
        <v>6592.86</v>
      </c>
    </row>
    <row r="636" spans="1:4">
      <c r="A636" t="s">
        <v>442</v>
      </c>
      <c r="B636" t="s">
        <v>784</v>
      </c>
      <c r="C636" s="111">
        <v>43120</v>
      </c>
      <c r="D636" s="49">
        <v>750</v>
      </c>
    </row>
    <row r="637" spans="1:4">
      <c r="A637" t="s">
        <v>411</v>
      </c>
      <c r="B637" t="s">
        <v>145</v>
      </c>
      <c r="C637" s="111">
        <v>43120</v>
      </c>
      <c r="D637" s="49">
        <v>2135</v>
      </c>
    </row>
    <row r="638" spans="1:4">
      <c r="A638" t="s">
        <v>564</v>
      </c>
      <c r="B638" t="s">
        <v>563</v>
      </c>
      <c r="C638" s="111">
        <v>43120</v>
      </c>
      <c r="D638" s="49">
        <v>4000</v>
      </c>
    </row>
    <row r="639" spans="1:4">
      <c r="A639" s="863" t="s">
        <v>548</v>
      </c>
      <c r="B639" s="863" t="s">
        <v>547</v>
      </c>
      <c r="C639" s="862">
        <v>43120</v>
      </c>
      <c r="D639" s="866">
        <v>330</v>
      </c>
    </row>
    <row r="640" spans="1:4">
      <c r="A640" s="863" t="s">
        <v>1263</v>
      </c>
      <c r="B640" s="863" t="s">
        <v>1264</v>
      </c>
      <c r="C640" s="862">
        <v>43120</v>
      </c>
      <c r="D640" s="866">
        <v>730.97799999999995</v>
      </c>
    </row>
    <row r="641" spans="1:4">
      <c r="A641" s="863" t="s">
        <v>566</v>
      </c>
      <c r="B641" s="863" t="s">
        <v>1145</v>
      </c>
      <c r="C641" s="862">
        <v>43120</v>
      </c>
      <c r="D641" s="866">
        <v>1180.5999999999999</v>
      </c>
    </row>
    <row r="642" spans="1:4">
      <c r="A642" s="863" t="s">
        <v>753</v>
      </c>
      <c r="B642" s="863" t="s">
        <v>1236</v>
      </c>
      <c r="C642" s="862">
        <v>43120</v>
      </c>
      <c r="D642" s="866">
        <v>1566</v>
      </c>
    </row>
    <row r="643" spans="1:4">
      <c r="A643" t="s">
        <v>1071</v>
      </c>
      <c r="B643" t="s">
        <v>1070</v>
      </c>
      <c r="C643" s="111">
        <v>43121</v>
      </c>
      <c r="D643" s="49">
        <v>206.76</v>
      </c>
    </row>
    <row r="644" spans="1:4">
      <c r="A644" t="s">
        <v>826</v>
      </c>
      <c r="B644" t="s">
        <v>759</v>
      </c>
      <c r="C644" s="111">
        <v>43122</v>
      </c>
      <c r="D644" s="49">
        <v>1220</v>
      </c>
    </row>
    <row r="645" spans="1:4">
      <c r="A645" t="s">
        <v>135</v>
      </c>
      <c r="B645" t="s">
        <v>134</v>
      </c>
      <c r="C645" s="111">
        <v>43122</v>
      </c>
      <c r="D645" s="49">
        <v>1090</v>
      </c>
    </row>
    <row r="646" spans="1:4">
      <c r="A646" t="s">
        <v>139</v>
      </c>
      <c r="B646" t="s">
        <v>138</v>
      </c>
      <c r="C646" s="111">
        <v>43122</v>
      </c>
      <c r="D646" s="49">
        <v>1180</v>
      </c>
    </row>
    <row r="647" spans="1:4">
      <c r="A647" t="s">
        <v>365</v>
      </c>
      <c r="B647" t="s">
        <v>186</v>
      </c>
      <c r="C647" s="111">
        <v>43122</v>
      </c>
      <c r="D647" s="49">
        <v>1500</v>
      </c>
    </row>
    <row r="648" spans="1:4">
      <c r="A648" t="s">
        <v>1007</v>
      </c>
      <c r="B648" t="s">
        <v>543</v>
      </c>
      <c r="C648" s="111">
        <v>43122</v>
      </c>
      <c r="D648" s="49">
        <v>1556.04</v>
      </c>
    </row>
    <row r="649" spans="1:4">
      <c r="A649" t="s">
        <v>643</v>
      </c>
      <c r="B649" t="s">
        <v>189</v>
      </c>
      <c r="C649" s="111">
        <v>43122</v>
      </c>
      <c r="D649" s="49">
        <v>639.34</v>
      </c>
    </row>
    <row r="650" spans="1:4">
      <c r="A650" t="s">
        <v>410</v>
      </c>
      <c r="B650" t="s">
        <v>204</v>
      </c>
      <c r="C650" s="111">
        <v>43122</v>
      </c>
      <c r="D650" s="49">
        <v>2000</v>
      </c>
    </row>
    <row r="651" spans="1:4">
      <c r="A651" t="s">
        <v>163</v>
      </c>
      <c r="B651" t="s">
        <v>162</v>
      </c>
      <c r="C651" s="111">
        <v>43122</v>
      </c>
      <c r="D651" s="49">
        <v>1500</v>
      </c>
    </row>
    <row r="652" spans="1:4">
      <c r="A652" s="863" t="s">
        <v>737</v>
      </c>
      <c r="B652" s="863" t="s">
        <v>270</v>
      </c>
      <c r="C652" s="862">
        <v>43122</v>
      </c>
      <c r="D652" s="866">
        <v>1502.56</v>
      </c>
    </row>
    <row r="653" spans="1:4">
      <c r="A653" t="s">
        <v>628</v>
      </c>
      <c r="B653" t="s">
        <v>366</v>
      </c>
      <c r="C653" s="111">
        <v>43123</v>
      </c>
      <c r="D653" s="49">
        <v>1205.94</v>
      </c>
    </row>
    <row r="654" spans="1:4">
      <c r="A654" t="s">
        <v>541</v>
      </c>
      <c r="B654" t="s">
        <v>194</v>
      </c>
      <c r="C654" s="111">
        <v>43123</v>
      </c>
      <c r="D654" s="49">
        <v>795</v>
      </c>
    </row>
    <row r="655" spans="1:4">
      <c r="A655" s="863" t="s">
        <v>474</v>
      </c>
      <c r="B655" s="863" t="s">
        <v>475</v>
      </c>
      <c r="C655" s="862">
        <v>43123</v>
      </c>
      <c r="D655" s="866">
        <v>1150</v>
      </c>
    </row>
    <row r="656" spans="1:4">
      <c r="A656" t="s">
        <v>495</v>
      </c>
      <c r="B656" t="s">
        <v>496</v>
      </c>
      <c r="C656" s="111">
        <v>43124</v>
      </c>
      <c r="D656" s="49">
        <v>1500</v>
      </c>
    </row>
    <row r="657" spans="1:4">
      <c r="A657" t="s">
        <v>147</v>
      </c>
      <c r="B657" t="s">
        <v>146</v>
      </c>
      <c r="C657" s="111">
        <v>43124</v>
      </c>
      <c r="D657" s="49">
        <v>1250</v>
      </c>
    </row>
    <row r="658" spans="1:4">
      <c r="A658" t="s">
        <v>897</v>
      </c>
      <c r="B658" t="s">
        <v>898</v>
      </c>
      <c r="C658" s="111">
        <v>43124</v>
      </c>
      <c r="D658" s="49">
        <v>750</v>
      </c>
    </row>
    <row r="659" spans="1:4">
      <c r="A659" t="s">
        <v>240</v>
      </c>
      <c r="B659" t="s">
        <v>239</v>
      </c>
      <c r="C659" s="111">
        <v>43124</v>
      </c>
      <c r="D659" s="49">
        <v>621.11</v>
      </c>
    </row>
    <row r="660" spans="1:4">
      <c r="A660" t="s">
        <v>825</v>
      </c>
      <c r="B660" t="s">
        <v>293</v>
      </c>
      <c r="C660" s="111">
        <v>43124</v>
      </c>
      <c r="D660" s="49">
        <v>1242.45</v>
      </c>
    </row>
    <row r="661" spans="1:4">
      <c r="A661" t="s">
        <v>135</v>
      </c>
      <c r="B661" t="s">
        <v>134</v>
      </c>
      <c r="C661" s="111">
        <v>43124</v>
      </c>
      <c r="D661" s="49">
        <v>1090</v>
      </c>
    </row>
    <row r="662" spans="1:4">
      <c r="A662" t="s">
        <v>443</v>
      </c>
      <c r="B662" t="s">
        <v>418</v>
      </c>
      <c r="C662" s="111">
        <v>43124</v>
      </c>
      <c r="D662" s="49">
        <v>765.86</v>
      </c>
    </row>
    <row r="663" spans="1:4">
      <c r="A663" t="s">
        <v>276</v>
      </c>
      <c r="B663" t="s">
        <v>275</v>
      </c>
      <c r="C663" s="111">
        <v>43125</v>
      </c>
      <c r="D663" s="49">
        <v>400</v>
      </c>
    </row>
    <row r="664" spans="1:4">
      <c r="A664" t="s">
        <v>948</v>
      </c>
      <c r="B664" t="s">
        <v>947</v>
      </c>
      <c r="C664" s="111">
        <v>43125</v>
      </c>
      <c r="D664" s="49">
        <v>1400</v>
      </c>
    </row>
    <row r="665" spans="1:4">
      <c r="A665" t="s">
        <v>314</v>
      </c>
      <c r="B665" t="s">
        <v>315</v>
      </c>
      <c r="C665" s="111">
        <v>43125</v>
      </c>
      <c r="D665" s="49">
        <v>2440</v>
      </c>
    </row>
    <row r="666" spans="1:4">
      <c r="A666" t="s">
        <v>203</v>
      </c>
      <c r="B666" t="s">
        <v>202</v>
      </c>
      <c r="C666" s="111">
        <v>43125</v>
      </c>
      <c r="D666" s="49">
        <v>2900</v>
      </c>
    </row>
    <row r="667" spans="1:4">
      <c r="A667" t="s">
        <v>133</v>
      </c>
      <c r="B667" t="s">
        <v>132</v>
      </c>
      <c r="C667" s="111">
        <v>43125</v>
      </c>
      <c r="D667" s="49">
        <v>2500</v>
      </c>
    </row>
    <row r="668" spans="1:4">
      <c r="A668" t="s">
        <v>198</v>
      </c>
      <c r="B668" t="s">
        <v>197</v>
      </c>
      <c r="C668" s="111">
        <v>43125</v>
      </c>
      <c r="D668" s="49">
        <v>1854.13</v>
      </c>
    </row>
    <row r="669" spans="1:4">
      <c r="A669" t="s">
        <v>631</v>
      </c>
      <c r="B669" t="s">
        <v>632</v>
      </c>
      <c r="C669" s="111">
        <v>43125</v>
      </c>
      <c r="D669" s="49">
        <v>1374.32</v>
      </c>
    </row>
    <row r="670" spans="1:4">
      <c r="A670" t="s">
        <v>573</v>
      </c>
      <c r="B670" t="s">
        <v>417</v>
      </c>
      <c r="C670" s="111">
        <v>43125</v>
      </c>
      <c r="D670" s="49">
        <v>16000</v>
      </c>
    </row>
    <row r="671" spans="1:4">
      <c r="A671" t="s">
        <v>781</v>
      </c>
      <c r="B671" t="s">
        <v>417</v>
      </c>
      <c r="C671" s="111">
        <v>43125</v>
      </c>
      <c r="D671" s="49">
        <v>8000</v>
      </c>
    </row>
    <row r="672" spans="1:4">
      <c r="A672" t="s">
        <v>383</v>
      </c>
      <c r="B672" t="s">
        <v>251</v>
      </c>
      <c r="C672" s="111">
        <v>43125</v>
      </c>
      <c r="D672" s="49">
        <v>1758.1</v>
      </c>
    </row>
    <row r="673" spans="1:4">
      <c r="A673" t="s">
        <v>519</v>
      </c>
      <c r="B673" t="s">
        <v>484</v>
      </c>
      <c r="C673" s="111">
        <v>43125</v>
      </c>
      <c r="D673" s="49">
        <v>2214.9</v>
      </c>
    </row>
    <row r="674" spans="1:4">
      <c r="A674" t="s">
        <v>365</v>
      </c>
      <c r="B674" t="s">
        <v>186</v>
      </c>
      <c r="C674" s="111">
        <v>43125</v>
      </c>
      <c r="D674" s="49">
        <v>750</v>
      </c>
    </row>
    <row r="675" spans="1:4">
      <c r="A675" t="s">
        <v>815</v>
      </c>
      <c r="B675" t="s">
        <v>190</v>
      </c>
      <c r="C675" s="111">
        <v>43125</v>
      </c>
      <c r="D675" s="49">
        <v>5000</v>
      </c>
    </row>
    <row r="676" spans="1:4">
      <c r="A676" t="s">
        <v>652</v>
      </c>
      <c r="B676" t="s">
        <v>254</v>
      </c>
      <c r="C676" s="111">
        <v>43125</v>
      </c>
      <c r="D676" s="49">
        <v>911.39</v>
      </c>
    </row>
    <row r="677" spans="1:4">
      <c r="A677" t="s">
        <v>179</v>
      </c>
      <c r="B677" t="s">
        <v>178</v>
      </c>
      <c r="C677" s="111">
        <v>43125</v>
      </c>
      <c r="D677" s="49">
        <v>2600</v>
      </c>
    </row>
    <row r="678" spans="1:4">
      <c r="A678" s="863" t="s">
        <v>228</v>
      </c>
      <c r="B678" s="863" t="s">
        <v>227</v>
      </c>
      <c r="C678" s="862">
        <v>43125</v>
      </c>
      <c r="D678" s="866">
        <v>987</v>
      </c>
    </row>
    <row r="679" spans="1:4">
      <c r="A679" s="863" t="s">
        <v>489</v>
      </c>
      <c r="B679" s="863" t="s">
        <v>1242</v>
      </c>
      <c r="C679" s="862">
        <v>43125</v>
      </c>
      <c r="D679" s="866">
        <v>601.25400000000002</v>
      </c>
    </row>
    <row r="680" spans="1:4">
      <c r="A680" t="s">
        <v>402</v>
      </c>
      <c r="B680" t="s">
        <v>403</v>
      </c>
      <c r="C680" s="111">
        <v>43126</v>
      </c>
      <c r="D680" s="49">
        <v>2500</v>
      </c>
    </row>
    <row r="681" spans="1:4">
      <c r="A681" t="s">
        <v>257</v>
      </c>
      <c r="B681" t="s">
        <v>256</v>
      </c>
      <c r="C681" s="111">
        <v>43126</v>
      </c>
      <c r="D681" s="49">
        <v>1120</v>
      </c>
    </row>
    <row r="682" spans="1:4">
      <c r="A682" t="s">
        <v>512</v>
      </c>
      <c r="B682" t="s">
        <v>511</v>
      </c>
      <c r="C682" s="111">
        <v>43126</v>
      </c>
      <c r="D682" s="49">
        <v>1500</v>
      </c>
    </row>
    <row r="683" spans="1:4">
      <c r="A683" t="s">
        <v>135</v>
      </c>
      <c r="B683" t="s">
        <v>134</v>
      </c>
      <c r="C683" s="111">
        <v>43126</v>
      </c>
      <c r="D683" s="49">
        <v>1090</v>
      </c>
    </row>
    <row r="684" spans="1:4">
      <c r="A684" t="s">
        <v>629</v>
      </c>
      <c r="B684" t="s">
        <v>261</v>
      </c>
      <c r="C684" s="111">
        <v>43126</v>
      </c>
      <c r="D684" s="49">
        <v>316.81</v>
      </c>
    </row>
    <row r="685" spans="1:4">
      <c r="A685" t="s">
        <v>753</v>
      </c>
      <c r="B685" t="s">
        <v>630</v>
      </c>
      <c r="C685" s="111">
        <v>43126</v>
      </c>
      <c r="D685" s="49">
        <v>903.94</v>
      </c>
    </row>
    <row r="686" spans="1:4">
      <c r="A686" t="s">
        <v>942</v>
      </c>
      <c r="B686" t="s">
        <v>451</v>
      </c>
      <c r="C686" s="111">
        <v>43126</v>
      </c>
      <c r="D686" s="49">
        <v>594.12</v>
      </c>
    </row>
    <row r="687" spans="1:4">
      <c r="A687" s="863" t="s">
        <v>1134</v>
      </c>
      <c r="B687" s="863" t="s">
        <v>1133</v>
      </c>
      <c r="C687" s="862">
        <v>43126</v>
      </c>
      <c r="D687" s="866">
        <v>1801.8340000000001</v>
      </c>
    </row>
    <row r="688" spans="1:4">
      <c r="A688" t="s">
        <v>137</v>
      </c>
      <c r="B688" t="s">
        <v>136</v>
      </c>
      <c r="C688" s="111">
        <v>43127</v>
      </c>
      <c r="D688" s="49">
        <v>15332.43</v>
      </c>
    </row>
    <row r="689" spans="1:4">
      <c r="A689" t="s">
        <v>767</v>
      </c>
      <c r="B689" t="s">
        <v>155</v>
      </c>
      <c r="C689" s="111">
        <v>43127</v>
      </c>
      <c r="D689" s="49">
        <v>1270</v>
      </c>
    </row>
    <row r="690" spans="1:4">
      <c r="A690" t="s">
        <v>139</v>
      </c>
      <c r="B690" t="s">
        <v>138</v>
      </c>
      <c r="C690" s="111">
        <v>43127</v>
      </c>
      <c r="D690" s="49">
        <v>1658.35</v>
      </c>
    </row>
    <row r="691" spans="1:4">
      <c r="A691" t="s">
        <v>990</v>
      </c>
      <c r="B691" t="s">
        <v>441</v>
      </c>
      <c r="C691" s="111">
        <v>43127</v>
      </c>
      <c r="D691" s="49">
        <v>1500</v>
      </c>
    </row>
    <row r="692" spans="1:4">
      <c r="A692" t="s">
        <v>521</v>
      </c>
      <c r="B692" t="s">
        <v>192</v>
      </c>
      <c r="C692" s="111">
        <v>43127</v>
      </c>
      <c r="D692" s="49">
        <v>605.26</v>
      </c>
    </row>
    <row r="693" spans="1:4">
      <c r="A693" t="s">
        <v>299</v>
      </c>
      <c r="B693" t="s">
        <v>300</v>
      </c>
      <c r="C693" s="111">
        <v>43127</v>
      </c>
      <c r="D693" s="49">
        <v>1810</v>
      </c>
    </row>
    <row r="694" spans="1:4">
      <c r="A694" s="863" t="s">
        <v>1234</v>
      </c>
      <c r="B694" s="863" t="s">
        <v>1235</v>
      </c>
      <c r="C694" s="862">
        <v>43127</v>
      </c>
      <c r="D694" s="866">
        <v>246.78399999999999</v>
      </c>
    </row>
    <row r="695" spans="1:4">
      <c r="A695" t="s">
        <v>402</v>
      </c>
      <c r="B695" t="s">
        <v>403</v>
      </c>
      <c r="C695" s="111">
        <v>43128</v>
      </c>
      <c r="D695" s="49">
        <v>1952.79</v>
      </c>
    </row>
    <row r="696" spans="1:4">
      <c r="A696" t="s">
        <v>312</v>
      </c>
      <c r="B696" t="s">
        <v>313</v>
      </c>
      <c r="C696" s="111">
        <v>43128</v>
      </c>
      <c r="D696" s="49">
        <v>880</v>
      </c>
    </row>
    <row r="697" spans="1:4">
      <c r="A697" t="s">
        <v>135</v>
      </c>
      <c r="B697" t="s">
        <v>134</v>
      </c>
      <c r="C697" s="111">
        <v>43128</v>
      </c>
      <c r="D697" s="49">
        <v>1090</v>
      </c>
    </row>
    <row r="698" spans="1:4">
      <c r="A698" t="s">
        <v>442</v>
      </c>
      <c r="B698" t="s">
        <v>784</v>
      </c>
      <c r="C698" s="111">
        <v>43128</v>
      </c>
      <c r="D698" s="49">
        <v>758.89</v>
      </c>
    </row>
    <row r="699" spans="1:4">
      <c r="A699" t="s">
        <v>560</v>
      </c>
      <c r="B699" t="s">
        <v>205</v>
      </c>
      <c r="C699" s="111">
        <v>43128</v>
      </c>
      <c r="D699" s="49">
        <v>369.53</v>
      </c>
    </row>
    <row r="700" spans="1:4">
      <c r="A700" t="s">
        <v>215</v>
      </c>
      <c r="B700" t="s">
        <v>214</v>
      </c>
      <c r="C700" s="111">
        <v>43128</v>
      </c>
      <c r="D700" s="49">
        <v>2284.5</v>
      </c>
    </row>
    <row r="701" spans="1:4">
      <c r="A701" t="s">
        <v>695</v>
      </c>
      <c r="B701" t="s">
        <v>694</v>
      </c>
      <c r="C701" s="111">
        <v>43128</v>
      </c>
      <c r="D701" s="49">
        <v>1724.42</v>
      </c>
    </row>
    <row r="702" spans="1:4">
      <c r="A702" s="863" t="s">
        <v>566</v>
      </c>
      <c r="B702" s="863" t="s">
        <v>1145</v>
      </c>
      <c r="C702" s="862">
        <v>43128</v>
      </c>
      <c r="D702" s="866">
        <v>1180.8</v>
      </c>
    </row>
    <row r="703" spans="1:4">
      <c r="A703" s="863" t="s">
        <v>387</v>
      </c>
      <c r="B703" s="863" t="s">
        <v>235</v>
      </c>
      <c r="C703" s="862">
        <v>43128</v>
      </c>
      <c r="D703" s="866">
        <v>1570.9559999999999</v>
      </c>
    </row>
    <row r="704" spans="1:4">
      <c r="A704" t="s">
        <v>495</v>
      </c>
      <c r="B704" t="s">
        <v>496</v>
      </c>
      <c r="C704" s="111">
        <v>43129</v>
      </c>
      <c r="D704" s="49">
        <v>456.79</v>
      </c>
    </row>
    <row r="705" spans="1:4">
      <c r="A705" t="s">
        <v>147</v>
      </c>
      <c r="B705" t="s">
        <v>146</v>
      </c>
      <c r="C705" s="111">
        <v>43129</v>
      </c>
      <c r="D705" s="49">
        <v>1250</v>
      </c>
    </row>
    <row r="706" spans="1:4">
      <c r="A706" t="s">
        <v>922</v>
      </c>
      <c r="B706" t="s">
        <v>923</v>
      </c>
      <c r="C706" s="111">
        <v>43129</v>
      </c>
      <c r="D706" s="49">
        <v>711.49</v>
      </c>
    </row>
    <row r="707" spans="1:4">
      <c r="A707" t="s">
        <v>640</v>
      </c>
      <c r="B707" t="s">
        <v>469</v>
      </c>
      <c r="C707" s="111">
        <v>43129</v>
      </c>
      <c r="D707" s="49">
        <v>1455.11</v>
      </c>
    </row>
    <row r="708" spans="1:4">
      <c r="A708" t="s">
        <v>690</v>
      </c>
      <c r="B708" t="s">
        <v>689</v>
      </c>
      <c r="C708" s="111">
        <v>43129</v>
      </c>
      <c r="D708" s="49">
        <v>729.26</v>
      </c>
    </row>
    <row r="709" spans="1:4">
      <c r="A709" t="s">
        <v>967</v>
      </c>
      <c r="B709" t="s">
        <v>533</v>
      </c>
      <c r="C709" s="111">
        <v>43129</v>
      </c>
      <c r="D709" s="49">
        <v>910.03</v>
      </c>
    </row>
    <row r="710" spans="1:4">
      <c r="A710" t="s">
        <v>447</v>
      </c>
      <c r="B710" t="s">
        <v>342</v>
      </c>
      <c r="C710" s="111">
        <v>43129</v>
      </c>
      <c r="D710" s="49">
        <v>314.07</v>
      </c>
    </row>
    <row r="711" spans="1:4">
      <c r="A711" t="s">
        <v>760</v>
      </c>
      <c r="B711" t="s">
        <v>444</v>
      </c>
      <c r="C711" s="111">
        <v>43129</v>
      </c>
      <c r="D711" s="49">
        <v>1771.18</v>
      </c>
    </row>
    <row r="712" spans="1:4">
      <c r="A712" t="s">
        <v>765</v>
      </c>
      <c r="B712" t="s">
        <v>766</v>
      </c>
      <c r="C712" s="111">
        <v>43129</v>
      </c>
      <c r="D712" s="49">
        <v>1999.8</v>
      </c>
    </row>
    <row r="713" spans="1:4">
      <c r="A713" t="s">
        <v>410</v>
      </c>
      <c r="B713" t="s">
        <v>204</v>
      </c>
      <c r="C713" s="111">
        <v>43129</v>
      </c>
      <c r="D713" s="49">
        <v>2249.2600000000002</v>
      </c>
    </row>
    <row r="714" spans="1:4">
      <c r="A714" t="s">
        <v>163</v>
      </c>
      <c r="B714" t="s">
        <v>162</v>
      </c>
      <c r="C714" s="111">
        <v>43129</v>
      </c>
      <c r="D714" s="49">
        <v>1500</v>
      </c>
    </row>
    <row r="715" spans="1:4">
      <c r="A715" t="s">
        <v>271</v>
      </c>
      <c r="B715" t="s">
        <v>463</v>
      </c>
      <c r="C715" s="111">
        <v>43129</v>
      </c>
      <c r="D715" s="49">
        <v>1912.97</v>
      </c>
    </row>
    <row r="716" spans="1:4">
      <c r="A716" s="863" t="s">
        <v>614</v>
      </c>
      <c r="B716" s="863" t="s">
        <v>1256</v>
      </c>
      <c r="C716" s="862">
        <v>43129</v>
      </c>
      <c r="D716" s="866">
        <v>1059.2850000000001</v>
      </c>
    </row>
    <row r="717" spans="1:4">
      <c r="A717" s="863" t="s">
        <v>1263</v>
      </c>
      <c r="B717" s="863" t="s">
        <v>1264</v>
      </c>
      <c r="C717" s="862">
        <v>43129</v>
      </c>
      <c r="D717" s="866">
        <v>720.92700000000002</v>
      </c>
    </row>
    <row r="718" spans="1:4">
      <c r="A718" s="863" t="s">
        <v>1155</v>
      </c>
      <c r="B718" s="863" t="s">
        <v>1154</v>
      </c>
      <c r="C718" s="862">
        <v>43129</v>
      </c>
      <c r="D718" s="866">
        <v>1210.625</v>
      </c>
    </row>
    <row r="719" spans="1:4">
      <c r="A719" t="s">
        <v>745</v>
      </c>
      <c r="B719" t="s">
        <v>746</v>
      </c>
      <c r="C719" s="111">
        <v>43130</v>
      </c>
      <c r="D719" s="49">
        <v>2129.1799999999998</v>
      </c>
    </row>
    <row r="720" spans="1:4">
      <c r="A720" t="s">
        <v>201</v>
      </c>
      <c r="B720" t="s">
        <v>200</v>
      </c>
      <c r="C720" s="111">
        <v>43130</v>
      </c>
      <c r="D720" s="49">
        <v>889.85</v>
      </c>
    </row>
    <row r="721" spans="1:4">
      <c r="A721" t="s">
        <v>402</v>
      </c>
      <c r="B721" t="s">
        <v>403</v>
      </c>
      <c r="C721" s="111">
        <v>43130</v>
      </c>
      <c r="D721" s="49">
        <v>2808.32</v>
      </c>
    </row>
    <row r="722" spans="1:4">
      <c r="A722" t="s">
        <v>370</v>
      </c>
      <c r="B722" t="s">
        <v>371</v>
      </c>
      <c r="C722" s="111">
        <v>43130</v>
      </c>
      <c r="D722" s="49">
        <v>2021.54</v>
      </c>
    </row>
    <row r="723" spans="1:4">
      <c r="A723" t="s">
        <v>517</v>
      </c>
      <c r="B723" t="s">
        <v>516</v>
      </c>
      <c r="C723" s="111">
        <v>43130</v>
      </c>
      <c r="D723" s="49">
        <v>14056.27</v>
      </c>
    </row>
    <row r="724" spans="1:4">
      <c r="A724" t="s">
        <v>314</v>
      </c>
      <c r="B724" t="s">
        <v>315</v>
      </c>
      <c r="C724" s="111">
        <v>43130</v>
      </c>
      <c r="D724" s="49">
        <v>2440</v>
      </c>
    </row>
    <row r="725" spans="1:4">
      <c r="A725" t="s">
        <v>1011</v>
      </c>
      <c r="B725" t="s">
        <v>851</v>
      </c>
      <c r="C725" s="111">
        <v>43130</v>
      </c>
      <c r="D725" s="49">
        <v>4142.07</v>
      </c>
    </row>
    <row r="726" spans="1:4">
      <c r="A726" t="s">
        <v>966</v>
      </c>
      <c r="B726" t="s">
        <v>167</v>
      </c>
      <c r="C726" s="111">
        <v>43130</v>
      </c>
      <c r="D726" s="49">
        <v>1802.51</v>
      </c>
    </row>
    <row r="727" spans="1:4">
      <c r="A727" t="s">
        <v>1002</v>
      </c>
      <c r="B727" t="s">
        <v>309</v>
      </c>
      <c r="C727" s="111">
        <v>43130</v>
      </c>
      <c r="D727" s="49">
        <v>200</v>
      </c>
    </row>
    <row r="728" spans="1:4">
      <c r="A728" t="s">
        <v>561</v>
      </c>
      <c r="B728" t="s">
        <v>330</v>
      </c>
      <c r="C728" s="111">
        <v>43130</v>
      </c>
      <c r="D728" s="49">
        <v>802.87</v>
      </c>
    </row>
    <row r="729" spans="1:4">
      <c r="A729" t="s">
        <v>633</v>
      </c>
      <c r="B729" t="s">
        <v>247</v>
      </c>
      <c r="C729" s="111">
        <v>43130</v>
      </c>
      <c r="D729" s="49">
        <v>4217.58</v>
      </c>
    </row>
    <row r="730" spans="1:4">
      <c r="A730" t="s">
        <v>781</v>
      </c>
      <c r="B730" t="s">
        <v>417</v>
      </c>
      <c r="C730" s="111">
        <v>43130</v>
      </c>
      <c r="D730" s="49">
        <v>8068.35</v>
      </c>
    </row>
    <row r="731" spans="1:4">
      <c r="A731" t="s">
        <v>781</v>
      </c>
      <c r="B731" t="s">
        <v>417</v>
      </c>
      <c r="C731" s="111">
        <v>43130</v>
      </c>
      <c r="D731" s="49">
        <v>16000</v>
      </c>
    </row>
    <row r="732" spans="1:4">
      <c r="A732" t="s">
        <v>392</v>
      </c>
      <c r="B732" t="s">
        <v>153</v>
      </c>
      <c r="C732" s="111">
        <v>43130</v>
      </c>
      <c r="D732" s="49">
        <v>6000</v>
      </c>
    </row>
    <row r="733" spans="1:4">
      <c r="A733" t="s">
        <v>762</v>
      </c>
      <c r="B733" t="s">
        <v>153</v>
      </c>
      <c r="C733" s="111">
        <v>43130</v>
      </c>
      <c r="D733" s="49">
        <v>5000</v>
      </c>
    </row>
    <row r="734" spans="1:4">
      <c r="A734" t="s">
        <v>780</v>
      </c>
      <c r="B734" t="s">
        <v>185</v>
      </c>
      <c r="C734" s="111">
        <v>43130</v>
      </c>
      <c r="D734" s="49">
        <v>3119.87</v>
      </c>
    </row>
    <row r="735" spans="1:4">
      <c r="A735" t="s">
        <v>515</v>
      </c>
      <c r="B735" t="s">
        <v>282</v>
      </c>
      <c r="C735" s="111">
        <v>43130</v>
      </c>
      <c r="D735" s="49">
        <v>1827.96</v>
      </c>
    </row>
    <row r="736" spans="1:4">
      <c r="A736" t="s">
        <v>524</v>
      </c>
      <c r="B736" t="s">
        <v>523</v>
      </c>
      <c r="C736" s="111">
        <v>43130</v>
      </c>
      <c r="D736" s="49">
        <v>2232.66</v>
      </c>
    </row>
    <row r="737" spans="1:4">
      <c r="A737" t="s">
        <v>827</v>
      </c>
      <c r="B737" t="s">
        <v>828</v>
      </c>
      <c r="C737" s="111">
        <v>43130</v>
      </c>
      <c r="D737" s="49">
        <v>1290.19</v>
      </c>
    </row>
    <row r="738" spans="1:4">
      <c r="A738" t="s">
        <v>380</v>
      </c>
      <c r="B738" t="s">
        <v>292</v>
      </c>
      <c r="C738" s="111">
        <v>43130</v>
      </c>
      <c r="D738" s="49">
        <v>3614.27</v>
      </c>
    </row>
    <row r="739" spans="1:4">
      <c r="A739" t="s">
        <v>373</v>
      </c>
      <c r="B739" t="s">
        <v>340</v>
      </c>
      <c r="C739" s="111">
        <v>43130</v>
      </c>
      <c r="D739" s="49">
        <v>1251.9000000000001</v>
      </c>
    </row>
    <row r="740" spans="1:4">
      <c r="A740" t="s">
        <v>135</v>
      </c>
      <c r="B740" t="s">
        <v>134</v>
      </c>
      <c r="C740" s="111">
        <v>43130</v>
      </c>
      <c r="D740" s="49">
        <v>1090</v>
      </c>
    </row>
    <row r="741" spans="1:4">
      <c r="A741" t="s">
        <v>965</v>
      </c>
      <c r="B741" t="s">
        <v>743</v>
      </c>
      <c r="C741" s="111">
        <v>43130</v>
      </c>
      <c r="D741" s="49">
        <v>425.32</v>
      </c>
    </row>
    <row r="742" spans="1:4">
      <c r="A742" t="s">
        <v>964</v>
      </c>
      <c r="B742" t="s">
        <v>731</v>
      </c>
      <c r="C742" s="111">
        <v>43130</v>
      </c>
      <c r="D742" s="49">
        <v>532.41</v>
      </c>
    </row>
    <row r="743" spans="1:4">
      <c r="A743" t="s">
        <v>456</v>
      </c>
      <c r="B743" t="s">
        <v>218</v>
      </c>
      <c r="C743" s="111">
        <v>43130</v>
      </c>
      <c r="D743" s="49">
        <v>962.43</v>
      </c>
    </row>
    <row r="744" spans="1:4">
      <c r="A744" t="s">
        <v>414</v>
      </c>
      <c r="B744" t="s">
        <v>219</v>
      </c>
      <c r="C744" s="111">
        <v>43130</v>
      </c>
      <c r="D744" s="49">
        <v>1698.4</v>
      </c>
    </row>
    <row r="745" spans="1:4">
      <c r="A745" t="s">
        <v>998</v>
      </c>
      <c r="B745" t="s">
        <v>236</v>
      </c>
      <c r="C745" s="111">
        <v>43130</v>
      </c>
      <c r="D745" s="49">
        <v>1036.79</v>
      </c>
    </row>
    <row r="746" spans="1:4">
      <c r="A746" t="s">
        <v>643</v>
      </c>
      <c r="B746" t="s">
        <v>189</v>
      </c>
      <c r="C746" s="111">
        <v>43130</v>
      </c>
      <c r="D746" s="49">
        <v>720</v>
      </c>
    </row>
    <row r="747" spans="1:4">
      <c r="A747" t="s">
        <v>910</v>
      </c>
      <c r="B747" t="s">
        <v>787</v>
      </c>
      <c r="C747" s="111">
        <v>43130</v>
      </c>
      <c r="D747" s="49">
        <v>5219.91</v>
      </c>
    </row>
    <row r="748" spans="1:4">
      <c r="A748" t="s">
        <v>530</v>
      </c>
      <c r="B748" t="s">
        <v>466</v>
      </c>
      <c r="C748" s="111">
        <v>43130</v>
      </c>
      <c r="D748" s="49">
        <v>1925.68</v>
      </c>
    </row>
    <row r="749" spans="1:4">
      <c r="A749" t="s">
        <v>990</v>
      </c>
      <c r="B749" t="s">
        <v>441</v>
      </c>
      <c r="C749" s="111">
        <v>43130</v>
      </c>
      <c r="D749" s="49">
        <v>1500</v>
      </c>
    </row>
    <row r="750" spans="1:4">
      <c r="A750" t="s">
        <v>941</v>
      </c>
      <c r="B750" t="s">
        <v>237</v>
      </c>
      <c r="C750" s="111">
        <v>43130</v>
      </c>
      <c r="D750" s="49">
        <v>7746.1</v>
      </c>
    </row>
    <row r="751" spans="1:4">
      <c r="A751" t="s">
        <v>736</v>
      </c>
      <c r="B751" t="s">
        <v>796</v>
      </c>
      <c r="C751" s="111">
        <v>43130</v>
      </c>
      <c r="D751" s="49">
        <v>2560.9299999999998</v>
      </c>
    </row>
    <row r="752" spans="1:4">
      <c r="A752" t="s">
        <v>564</v>
      </c>
      <c r="B752" t="s">
        <v>563</v>
      </c>
      <c r="C752" s="111">
        <v>43130</v>
      </c>
      <c r="D752" s="49">
        <v>4690.24</v>
      </c>
    </row>
    <row r="753" spans="1:4">
      <c r="A753" t="s">
        <v>322</v>
      </c>
      <c r="B753" t="s">
        <v>323</v>
      </c>
      <c r="C753" s="111">
        <v>43130</v>
      </c>
      <c r="D753" s="49">
        <v>5646.34</v>
      </c>
    </row>
    <row r="754" spans="1:4">
      <c r="A754" t="s">
        <v>413</v>
      </c>
      <c r="B754" t="s">
        <v>405</v>
      </c>
      <c r="C754" s="111">
        <v>43130</v>
      </c>
      <c r="D754" s="49">
        <v>600</v>
      </c>
    </row>
    <row r="755" spans="1:4">
      <c r="A755" s="863" t="s">
        <v>548</v>
      </c>
      <c r="B755" s="863" t="s">
        <v>547</v>
      </c>
      <c r="C755" s="862">
        <v>43130</v>
      </c>
      <c r="D755" s="866">
        <v>339.31400000000002</v>
      </c>
    </row>
    <row r="756" spans="1:4">
      <c r="A756" s="863" t="s">
        <v>1263</v>
      </c>
      <c r="B756" s="863" t="s">
        <v>1264</v>
      </c>
      <c r="C756" s="862">
        <v>43130</v>
      </c>
      <c r="D756" s="866">
        <v>730.97799999999995</v>
      </c>
    </row>
    <row r="757" spans="1:4">
      <c r="A757" s="863" t="s">
        <v>491</v>
      </c>
      <c r="B757" s="863" t="s">
        <v>1156</v>
      </c>
      <c r="C757" s="862">
        <v>43130</v>
      </c>
      <c r="D757" s="866">
        <v>5985.73</v>
      </c>
    </row>
    <row r="758" spans="1:4">
      <c r="A758" s="863" t="s">
        <v>752</v>
      </c>
      <c r="B758" s="863" t="s">
        <v>1144</v>
      </c>
      <c r="C758" s="862">
        <v>43130</v>
      </c>
      <c r="D758" s="866">
        <v>910.86400000000003</v>
      </c>
    </row>
    <row r="759" spans="1:4">
      <c r="A759" s="863" t="s">
        <v>567</v>
      </c>
      <c r="B759" s="863" t="s">
        <v>246</v>
      </c>
      <c r="C759" s="862">
        <v>43130</v>
      </c>
      <c r="D759" s="866">
        <v>2124.84</v>
      </c>
    </row>
    <row r="760" spans="1:4">
      <c r="A760" t="s">
        <v>278</v>
      </c>
      <c r="B760" t="s">
        <v>277</v>
      </c>
      <c r="C760" s="111">
        <v>43131</v>
      </c>
      <c r="D760" s="49">
        <v>883.71</v>
      </c>
    </row>
    <row r="761" spans="1:4">
      <c r="A761" t="s">
        <v>493</v>
      </c>
      <c r="B761" t="s">
        <v>494</v>
      </c>
      <c r="C761" s="111">
        <v>43131</v>
      </c>
      <c r="D761" s="49">
        <v>2608.0300000000002</v>
      </c>
    </row>
    <row r="762" spans="1:4">
      <c r="A762" t="s">
        <v>207</v>
      </c>
      <c r="B762" t="s">
        <v>206</v>
      </c>
      <c r="C762" s="111">
        <v>43131</v>
      </c>
      <c r="D762" s="49">
        <v>1760.99</v>
      </c>
    </row>
    <row r="763" spans="1:4">
      <c r="A763" t="s">
        <v>157</v>
      </c>
      <c r="B763" t="s">
        <v>156</v>
      </c>
      <c r="C763" s="111">
        <v>43131</v>
      </c>
      <c r="D763" s="49">
        <v>991.45</v>
      </c>
    </row>
    <row r="764" spans="1:4">
      <c r="A764" t="s">
        <v>945</v>
      </c>
      <c r="B764" t="s">
        <v>368</v>
      </c>
      <c r="C764" s="111">
        <v>43131</v>
      </c>
      <c r="D764" s="49">
        <v>673.1</v>
      </c>
    </row>
    <row r="765" spans="1:4">
      <c r="A765" t="s">
        <v>606</v>
      </c>
      <c r="B765" t="s">
        <v>607</v>
      </c>
      <c r="C765" s="111">
        <v>43131</v>
      </c>
      <c r="D765" s="49">
        <v>405.07</v>
      </c>
    </row>
    <row r="766" spans="1:4">
      <c r="A766" t="s">
        <v>687</v>
      </c>
      <c r="B766" t="s">
        <v>686</v>
      </c>
      <c r="C766" s="111">
        <v>43131</v>
      </c>
      <c r="D766" s="49">
        <v>2885.51</v>
      </c>
    </row>
    <row r="767" spans="1:4">
      <c r="A767" t="s">
        <v>203</v>
      </c>
      <c r="B767" t="s">
        <v>202</v>
      </c>
      <c r="C767" s="111">
        <v>43131</v>
      </c>
      <c r="D767" s="49">
        <v>2900</v>
      </c>
    </row>
    <row r="768" spans="1:4">
      <c r="A768" t="s">
        <v>650</v>
      </c>
      <c r="B768" t="s">
        <v>651</v>
      </c>
      <c r="C768" s="111">
        <v>43131</v>
      </c>
      <c r="D768" s="49">
        <v>1373.69</v>
      </c>
    </row>
    <row r="769" spans="1:4">
      <c r="A769" t="s">
        <v>133</v>
      </c>
      <c r="B769" t="s">
        <v>132</v>
      </c>
      <c r="C769" s="111">
        <v>43131</v>
      </c>
      <c r="D769" s="49">
        <v>3003.14</v>
      </c>
    </row>
    <row r="770" spans="1:4">
      <c r="A770" t="s">
        <v>224</v>
      </c>
      <c r="B770" t="s">
        <v>223</v>
      </c>
      <c r="C770" s="111">
        <v>43131</v>
      </c>
      <c r="D770" s="49">
        <v>732.74</v>
      </c>
    </row>
    <row r="771" spans="1:4">
      <c r="A771" t="s">
        <v>170</v>
      </c>
      <c r="B771" t="s">
        <v>169</v>
      </c>
      <c r="C771" s="111">
        <v>43131</v>
      </c>
      <c r="D771" s="49">
        <v>2668.65</v>
      </c>
    </row>
    <row r="772" spans="1:4">
      <c r="A772" t="s">
        <v>653</v>
      </c>
      <c r="B772" t="s">
        <v>654</v>
      </c>
      <c r="C772" s="111">
        <v>43131</v>
      </c>
      <c r="D772" s="49">
        <v>849.77</v>
      </c>
    </row>
    <row r="773" spans="1:4">
      <c r="A773" t="s">
        <v>198</v>
      </c>
      <c r="B773" t="s">
        <v>197</v>
      </c>
      <c r="C773" s="111">
        <v>43131</v>
      </c>
      <c r="D773" s="49">
        <v>1854.13</v>
      </c>
    </row>
    <row r="774" spans="1:4">
      <c r="A774" t="s">
        <v>228</v>
      </c>
      <c r="B774" t="s">
        <v>227</v>
      </c>
      <c r="C774" s="111">
        <v>43131</v>
      </c>
      <c r="D774" s="49">
        <v>648.52</v>
      </c>
    </row>
    <row r="775" spans="1:4">
      <c r="A775" t="s">
        <v>172</v>
      </c>
      <c r="B775" t="s">
        <v>171</v>
      </c>
      <c r="C775" s="111">
        <v>43131</v>
      </c>
      <c r="D775" s="49">
        <v>4000</v>
      </c>
    </row>
    <row r="776" spans="1:4">
      <c r="A776" t="s">
        <v>540</v>
      </c>
      <c r="B776" t="s">
        <v>539</v>
      </c>
      <c r="C776" s="111">
        <v>43131</v>
      </c>
      <c r="D776" s="49">
        <v>4000</v>
      </c>
    </row>
    <row r="777" spans="1:4">
      <c r="A777" t="s">
        <v>545</v>
      </c>
      <c r="B777" t="s">
        <v>544</v>
      </c>
      <c r="C777" s="111">
        <v>43131</v>
      </c>
      <c r="D777" s="49">
        <v>687.45</v>
      </c>
    </row>
    <row r="778" spans="1:4">
      <c r="A778" t="s">
        <v>685</v>
      </c>
      <c r="B778" t="s">
        <v>684</v>
      </c>
      <c r="C778" s="111">
        <v>43131</v>
      </c>
      <c r="D778" s="49">
        <v>1724.1</v>
      </c>
    </row>
    <row r="779" spans="1:4">
      <c r="A779" t="s">
        <v>159</v>
      </c>
      <c r="B779" t="s">
        <v>158</v>
      </c>
      <c r="C779" s="111">
        <v>43131</v>
      </c>
      <c r="D779" s="49">
        <v>741.02</v>
      </c>
    </row>
    <row r="780" spans="1:4">
      <c r="A780" t="s">
        <v>212</v>
      </c>
      <c r="B780" t="s">
        <v>211</v>
      </c>
      <c r="C780" s="111">
        <v>43131</v>
      </c>
      <c r="D780" s="49">
        <v>2049</v>
      </c>
    </row>
    <row r="781" spans="1:4">
      <c r="A781" t="s">
        <v>512</v>
      </c>
      <c r="B781" t="s">
        <v>511</v>
      </c>
      <c r="C781" s="111">
        <v>43131</v>
      </c>
      <c r="D781" s="49">
        <v>3176.19</v>
      </c>
    </row>
    <row r="782" spans="1:4">
      <c r="A782" t="s">
        <v>925</v>
      </c>
      <c r="B782" t="s">
        <v>926</v>
      </c>
      <c r="C782" s="111">
        <v>43131</v>
      </c>
      <c r="D782" s="49">
        <v>369.53</v>
      </c>
    </row>
    <row r="783" spans="1:4">
      <c r="A783" t="s">
        <v>242</v>
      </c>
      <c r="B783" t="s">
        <v>241</v>
      </c>
      <c r="C783" s="111">
        <v>43131</v>
      </c>
      <c r="D783" s="49">
        <v>2885.29</v>
      </c>
    </row>
    <row r="784" spans="1:4">
      <c r="A784" t="s">
        <v>747</v>
      </c>
      <c r="B784" t="s">
        <v>748</v>
      </c>
      <c r="C784" s="111">
        <v>43131</v>
      </c>
      <c r="D784" s="49">
        <v>457.84</v>
      </c>
    </row>
    <row r="785" spans="1:4">
      <c r="A785" t="s">
        <v>407</v>
      </c>
      <c r="B785" t="s">
        <v>173</v>
      </c>
      <c r="C785" s="111">
        <v>43131</v>
      </c>
      <c r="D785" s="49">
        <v>836</v>
      </c>
    </row>
    <row r="786" spans="1:4">
      <c r="A786" t="s">
        <v>415</v>
      </c>
      <c r="B786" t="s">
        <v>175</v>
      </c>
      <c r="C786" s="111">
        <v>43131</v>
      </c>
      <c r="D786" s="49">
        <v>7100.21</v>
      </c>
    </row>
    <row r="787" spans="1:4">
      <c r="A787" t="s">
        <v>555</v>
      </c>
      <c r="B787" t="s">
        <v>174</v>
      </c>
      <c r="C787" s="111">
        <v>43131</v>
      </c>
      <c r="D787" s="49">
        <v>1689.04</v>
      </c>
    </row>
    <row r="788" spans="1:4">
      <c r="A788" t="s">
        <v>826</v>
      </c>
      <c r="B788" t="s">
        <v>759</v>
      </c>
      <c r="C788" s="111">
        <v>43131</v>
      </c>
      <c r="D788" s="49">
        <v>1249.53</v>
      </c>
    </row>
    <row r="789" spans="1:4">
      <c r="A789" t="s">
        <v>822</v>
      </c>
      <c r="B789" t="s">
        <v>751</v>
      </c>
      <c r="C789" s="111">
        <v>43131</v>
      </c>
      <c r="D789" s="49">
        <v>164.73</v>
      </c>
    </row>
    <row r="790" spans="1:4">
      <c r="A790" t="s">
        <v>682</v>
      </c>
      <c r="B790" t="s">
        <v>572</v>
      </c>
      <c r="C790" s="111">
        <v>43131</v>
      </c>
      <c r="D790" s="49">
        <v>1279.68</v>
      </c>
    </row>
    <row r="791" spans="1:4">
      <c r="A791" t="s">
        <v>819</v>
      </c>
      <c r="B791" t="s">
        <v>529</v>
      </c>
      <c r="C791" s="111">
        <v>43131</v>
      </c>
      <c r="D791" s="49">
        <v>2405.92</v>
      </c>
    </row>
    <row r="792" spans="1:4">
      <c r="A792" t="s">
        <v>308</v>
      </c>
      <c r="B792" t="s">
        <v>309</v>
      </c>
      <c r="C792" s="111">
        <v>43131</v>
      </c>
      <c r="D792" s="49">
        <v>736.22</v>
      </c>
    </row>
    <row r="793" spans="1:4">
      <c r="A793" t="s">
        <v>510</v>
      </c>
      <c r="B793" t="s">
        <v>141</v>
      </c>
      <c r="C793" s="111">
        <v>43131</v>
      </c>
      <c r="D793" s="49">
        <v>500</v>
      </c>
    </row>
    <row r="794" spans="1:4">
      <c r="A794" t="s">
        <v>916</v>
      </c>
      <c r="B794" t="s">
        <v>141</v>
      </c>
      <c r="C794" s="111">
        <v>43131</v>
      </c>
      <c r="D794" s="49">
        <v>250</v>
      </c>
    </row>
    <row r="795" spans="1:4">
      <c r="A795" t="s">
        <v>865</v>
      </c>
      <c r="B795" t="s">
        <v>526</v>
      </c>
      <c r="C795" s="111">
        <v>43131</v>
      </c>
      <c r="D795" s="49">
        <v>932.28</v>
      </c>
    </row>
    <row r="796" spans="1:4">
      <c r="A796" t="s">
        <v>963</v>
      </c>
      <c r="B796" t="s">
        <v>231</v>
      </c>
      <c r="C796" s="111">
        <v>43131</v>
      </c>
      <c r="D796" s="49">
        <v>2007.54</v>
      </c>
    </row>
    <row r="797" spans="1:4">
      <c r="A797" t="s">
        <v>209</v>
      </c>
      <c r="B797" t="s">
        <v>208</v>
      </c>
      <c r="C797" s="111">
        <v>43131</v>
      </c>
      <c r="D797" s="49">
        <v>3467.82</v>
      </c>
    </row>
    <row r="798" spans="1:4">
      <c r="A798" t="s">
        <v>375</v>
      </c>
      <c r="B798" t="s">
        <v>234</v>
      </c>
      <c r="C798" s="111">
        <v>43131</v>
      </c>
      <c r="D798" s="49">
        <v>1121.45</v>
      </c>
    </row>
    <row r="799" spans="1:4">
      <c r="A799" t="s">
        <v>699</v>
      </c>
      <c r="B799" t="s">
        <v>698</v>
      </c>
      <c r="C799" s="111">
        <v>43131</v>
      </c>
      <c r="D799" s="49">
        <v>1293.51</v>
      </c>
    </row>
    <row r="800" spans="1:4">
      <c r="A800" t="s">
        <v>863</v>
      </c>
      <c r="B800" t="s">
        <v>864</v>
      </c>
      <c r="C800" s="111">
        <v>43131</v>
      </c>
      <c r="D800" s="49">
        <v>2968.94</v>
      </c>
    </row>
    <row r="801" spans="1:4">
      <c r="A801" t="s">
        <v>1069</v>
      </c>
      <c r="B801" t="s">
        <v>467</v>
      </c>
      <c r="C801" s="111">
        <v>43131</v>
      </c>
      <c r="D801" s="49">
        <v>1997</v>
      </c>
    </row>
    <row r="802" spans="1:4">
      <c r="A802" t="s">
        <v>549</v>
      </c>
      <c r="B802" t="s">
        <v>468</v>
      </c>
      <c r="C802" s="111">
        <v>43131</v>
      </c>
      <c r="D802" s="49">
        <v>2683.42</v>
      </c>
    </row>
    <row r="803" spans="1:4">
      <c r="A803" t="s">
        <v>508</v>
      </c>
      <c r="B803" t="s">
        <v>184</v>
      </c>
      <c r="C803" s="111">
        <v>43131</v>
      </c>
      <c r="D803" s="49">
        <v>2954</v>
      </c>
    </row>
    <row r="804" spans="1:4">
      <c r="A804" t="s">
        <v>642</v>
      </c>
      <c r="B804" t="s">
        <v>280</v>
      </c>
      <c r="C804" s="111">
        <v>43131</v>
      </c>
      <c r="D804" s="49">
        <v>2507.4</v>
      </c>
    </row>
    <row r="805" spans="1:4">
      <c r="A805" t="s">
        <v>538</v>
      </c>
      <c r="B805" t="s">
        <v>537</v>
      </c>
      <c r="C805" s="111">
        <v>43131</v>
      </c>
      <c r="D805" s="49">
        <v>3000</v>
      </c>
    </row>
    <row r="806" spans="1:4">
      <c r="A806" t="s">
        <v>1068</v>
      </c>
      <c r="B806" t="s">
        <v>232</v>
      </c>
      <c r="C806" s="111">
        <v>43131</v>
      </c>
      <c r="D806" s="49">
        <v>936.76</v>
      </c>
    </row>
    <row r="807" spans="1:4">
      <c r="A807" t="s">
        <v>972</v>
      </c>
      <c r="B807" t="s">
        <v>248</v>
      </c>
      <c r="C807" s="111">
        <v>43131</v>
      </c>
      <c r="D807" s="49">
        <v>435.45</v>
      </c>
    </row>
    <row r="808" spans="1:4">
      <c r="A808" t="s">
        <v>855</v>
      </c>
      <c r="B808" t="s">
        <v>691</v>
      </c>
      <c r="C808" s="111">
        <v>43131</v>
      </c>
      <c r="D808" s="49">
        <v>356.98</v>
      </c>
    </row>
    <row r="809" spans="1:4">
      <c r="A809" t="s">
        <v>408</v>
      </c>
      <c r="B809" t="s">
        <v>181</v>
      </c>
      <c r="C809" s="111">
        <v>43131</v>
      </c>
      <c r="D809" s="49">
        <v>4002.23</v>
      </c>
    </row>
    <row r="810" spans="1:4">
      <c r="A810" t="s">
        <v>648</v>
      </c>
      <c r="B810" t="s">
        <v>150</v>
      </c>
      <c r="C810" s="111">
        <v>43131</v>
      </c>
      <c r="D810" s="49">
        <v>6787.25</v>
      </c>
    </row>
    <row r="811" spans="1:4">
      <c r="A811" t="s">
        <v>1067</v>
      </c>
      <c r="B811" t="s">
        <v>317</v>
      </c>
      <c r="C811" s="111">
        <v>43131</v>
      </c>
      <c r="D811" s="49">
        <v>967.63</v>
      </c>
    </row>
    <row r="812" spans="1:4">
      <c r="A812" t="s">
        <v>497</v>
      </c>
      <c r="B812" t="s">
        <v>152</v>
      </c>
      <c r="C812" s="111">
        <v>43131</v>
      </c>
      <c r="D812" s="49">
        <v>1497.54</v>
      </c>
    </row>
    <row r="813" spans="1:4">
      <c r="A813" t="s">
        <v>688</v>
      </c>
      <c r="B813" t="s">
        <v>177</v>
      </c>
      <c r="C813" s="111">
        <v>43131</v>
      </c>
      <c r="D813" s="49">
        <v>1019.79</v>
      </c>
    </row>
    <row r="814" spans="1:4">
      <c r="A814" t="s">
        <v>924</v>
      </c>
      <c r="B814" t="s">
        <v>176</v>
      </c>
      <c r="C814" s="111">
        <v>43131</v>
      </c>
      <c r="D814" s="49">
        <v>1268.3699999999999</v>
      </c>
    </row>
    <row r="815" spans="1:4">
      <c r="A815" t="s">
        <v>749</v>
      </c>
      <c r="B815" t="s">
        <v>552</v>
      </c>
      <c r="C815" s="111">
        <v>43131</v>
      </c>
      <c r="D815" s="49">
        <v>1338.54</v>
      </c>
    </row>
    <row r="816" spans="1:4">
      <c r="A816" t="s">
        <v>1066</v>
      </c>
      <c r="B816" t="s">
        <v>700</v>
      </c>
      <c r="C816" s="111">
        <v>43131</v>
      </c>
      <c r="D816" s="49">
        <v>639.47</v>
      </c>
    </row>
    <row r="817" spans="1:4">
      <c r="A817" t="s">
        <v>191</v>
      </c>
      <c r="B817" t="s">
        <v>190</v>
      </c>
      <c r="C817" s="111">
        <v>43131</v>
      </c>
      <c r="D817" s="49">
        <v>4441.3999999999996</v>
      </c>
    </row>
    <row r="818" spans="1:4">
      <c r="A818" t="s">
        <v>541</v>
      </c>
      <c r="B818" t="s">
        <v>194</v>
      </c>
      <c r="C818" s="111">
        <v>43131</v>
      </c>
      <c r="D818" s="49">
        <v>798.89</v>
      </c>
    </row>
    <row r="819" spans="1:4">
      <c r="A819" t="s">
        <v>464</v>
      </c>
      <c r="B819" t="s">
        <v>220</v>
      </c>
      <c r="C819" s="111">
        <v>43131</v>
      </c>
      <c r="D819" s="49">
        <v>6363.95</v>
      </c>
    </row>
    <row r="820" spans="1:4">
      <c r="A820" t="s">
        <v>665</v>
      </c>
      <c r="B820" t="s">
        <v>664</v>
      </c>
      <c r="C820" s="111">
        <v>43131</v>
      </c>
      <c r="D820" s="49">
        <v>1311.53</v>
      </c>
    </row>
    <row r="821" spans="1:4">
      <c r="A821" t="s">
        <v>465</v>
      </c>
      <c r="B821" t="s">
        <v>321</v>
      </c>
      <c r="C821" s="111">
        <v>43131</v>
      </c>
      <c r="D821" s="49">
        <v>441.28</v>
      </c>
    </row>
    <row r="822" spans="1:4">
      <c r="A822" t="s">
        <v>179</v>
      </c>
      <c r="B822" t="s">
        <v>178</v>
      </c>
      <c r="C822" s="111">
        <v>43131</v>
      </c>
      <c r="D822" s="49">
        <v>2595.13</v>
      </c>
    </row>
    <row r="823" spans="1:4">
      <c r="A823" t="s">
        <v>411</v>
      </c>
      <c r="B823" t="s">
        <v>145</v>
      </c>
      <c r="C823" s="111">
        <v>43131</v>
      </c>
      <c r="D823" s="49">
        <v>2135</v>
      </c>
    </row>
    <row r="824" spans="1:4">
      <c r="A824" t="s">
        <v>310</v>
      </c>
      <c r="B824" t="s">
        <v>311</v>
      </c>
      <c r="C824" s="111">
        <v>43131</v>
      </c>
      <c r="D824" s="49">
        <v>2287.81</v>
      </c>
    </row>
    <row r="825" spans="1:4">
      <c r="A825" s="863" t="s">
        <v>228</v>
      </c>
      <c r="B825" s="863" t="s">
        <v>227</v>
      </c>
      <c r="C825" s="862">
        <v>43131</v>
      </c>
      <c r="D825" s="866">
        <v>987</v>
      </c>
    </row>
    <row r="826" spans="1:4">
      <c r="A826" s="863" t="s">
        <v>1244</v>
      </c>
      <c r="B826" s="863" t="s">
        <v>1245</v>
      </c>
      <c r="C826" s="862">
        <v>43131</v>
      </c>
      <c r="D826" s="866">
        <v>1513.8879999999999</v>
      </c>
    </row>
    <row r="827" spans="1:4">
      <c r="A827" s="863" t="s">
        <v>474</v>
      </c>
      <c r="B827" s="863" t="s">
        <v>475</v>
      </c>
      <c r="C827" s="862">
        <v>43131</v>
      </c>
      <c r="D827" s="866">
        <v>1150.6969999999999</v>
      </c>
    </row>
    <row r="828" spans="1:4">
      <c r="A828" s="863" t="s">
        <v>807</v>
      </c>
      <c r="B828" s="863" t="s">
        <v>1140</v>
      </c>
      <c r="C828" s="862">
        <v>43131</v>
      </c>
      <c r="D828" s="866">
        <v>438.81099999999998</v>
      </c>
    </row>
    <row r="829" spans="1:4">
      <c r="A829" s="863" t="s">
        <v>753</v>
      </c>
      <c r="B829" s="863" t="s">
        <v>1236</v>
      </c>
      <c r="C829" s="862">
        <v>43131</v>
      </c>
      <c r="D829" s="866">
        <v>1566</v>
      </c>
    </row>
    <row r="830" spans="1:4">
      <c r="A830" s="863" t="s">
        <v>458</v>
      </c>
      <c r="B830" s="863" t="s">
        <v>187</v>
      </c>
      <c r="C830" s="862">
        <v>43131</v>
      </c>
      <c r="D830" s="866">
        <v>3000</v>
      </c>
    </row>
    <row r="831" spans="1:4" ht="15.75" thickBot="1">
      <c r="A831" s="863" t="s">
        <v>675</v>
      </c>
      <c r="B831" s="863" t="s">
        <v>532</v>
      </c>
      <c r="C831" s="862">
        <v>43131</v>
      </c>
      <c r="D831" s="866">
        <v>4196.5680000000002</v>
      </c>
    </row>
    <row r="832" spans="1:4" ht="15.75" thickBot="1">
      <c r="A832" s="919" t="s">
        <v>1022</v>
      </c>
      <c r="B832" s="920"/>
      <c r="C832" s="920"/>
      <c r="D832" s="796">
        <f>SUM(D459:D831)</f>
        <v>782597.53499999992</v>
      </c>
    </row>
    <row r="833" spans="1:4" customFormat="1">
      <c r="A833" t="s">
        <v>314</v>
      </c>
      <c r="B833" t="s">
        <v>315</v>
      </c>
      <c r="C833" s="111">
        <v>43132</v>
      </c>
      <c r="D833" s="49">
        <v>2500</v>
      </c>
    </row>
    <row r="834" spans="1:4" customFormat="1">
      <c r="A834" t="s">
        <v>623</v>
      </c>
      <c r="B834" t="s">
        <v>624</v>
      </c>
      <c r="C834" s="111">
        <v>43132</v>
      </c>
      <c r="D834" s="49">
        <v>2729.84</v>
      </c>
    </row>
    <row r="835" spans="1:4" customFormat="1">
      <c r="A835" t="s">
        <v>866</v>
      </c>
      <c r="B835" t="s">
        <v>482</v>
      </c>
      <c r="C835" s="111">
        <v>43132</v>
      </c>
      <c r="D835" s="49">
        <v>3507.13</v>
      </c>
    </row>
    <row r="836" spans="1:4" customFormat="1">
      <c r="A836" t="s">
        <v>825</v>
      </c>
      <c r="B836" t="s">
        <v>293</v>
      </c>
      <c r="C836" s="111">
        <v>43132</v>
      </c>
      <c r="D836" s="49">
        <v>1242.45</v>
      </c>
    </row>
    <row r="837" spans="1:4" customFormat="1">
      <c r="A837" t="s">
        <v>365</v>
      </c>
      <c r="B837" t="s">
        <v>186</v>
      </c>
      <c r="C837" s="111">
        <v>43132</v>
      </c>
      <c r="D837" s="49">
        <v>1000</v>
      </c>
    </row>
    <row r="838" spans="1:4" customFormat="1">
      <c r="A838" t="s">
        <v>161</v>
      </c>
      <c r="B838" t="s">
        <v>160</v>
      </c>
      <c r="C838" s="111">
        <v>43133</v>
      </c>
      <c r="D838" s="49">
        <v>3000</v>
      </c>
    </row>
    <row r="839" spans="1:4" customFormat="1">
      <c r="A839" t="s">
        <v>710</v>
      </c>
      <c r="B839" t="s">
        <v>709</v>
      </c>
      <c r="C839" s="111">
        <v>43133</v>
      </c>
      <c r="D839" s="49">
        <v>4000</v>
      </c>
    </row>
    <row r="840" spans="1:4" customFormat="1">
      <c r="A840" t="s">
        <v>510</v>
      </c>
      <c r="B840" t="s">
        <v>141</v>
      </c>
      <c r="C840" s="111">
        <v>43135</v>
      </c>
      <c r="D840" s="49">
        <v>500</v>
      </c>
    </row>
    <row r="841" spans="1:4" customFormat="1">
      <c r="A841" s="863" t="s">
        <v>566</v>
      </c>
      <c r="B841" s="863" t="s">
        <v>1145</v>
      </c>
      <c r="C841" s="862">
        <v>43135</v>
      </c>
      <c r="D841" s="866">
        <v>1180.9000000000001</v>
      </c>
    </row>
    <row r="842" spans="1:4" customFormat="1">
      <c r="A842" t="s">
        <v>644</v>
      </c>
      <c r="B842" t="s">
        <v>645</v>
      </c>
      <c r="C842" s="111">
        <v>43136</v>
      </c>
      <c r="D842" s="49">
        <v>1300</v>
      </c>
    </row>
    <row r="843" spans="1:4" customFormat="1">
      <c r="A843" t="s">
        <v>740</v>
      </c>
      <c r="B843" t="s">
        <v>238</v>
      </c>
      <c r="C843" s="111">
        <v>43136</v>
      </c>
      <c r="D843" s="49">
        <v>900</v>
      </c>
    </row>
    <row r="844" spans="1:4" customFormat="1">
      <c r="A844" t="s">
        <v>314</v>
      </c>
      <c r="B844" t="s">
        <v>315</v>
      </c>
      <c r="C844" s="111">
        <v>43136</v>
      </c>
      <c r="D844" s="49">
        <v>2500</v>
      </c>
    </row>
    <row r="845" spans="1:4" customFormat="1">
      <c r="A845" t="s">
        <v>147</v>
      </c>
      <c r="B845" t="s">
        <v>146</v>
      </c>
      <c r="C845" s="111">
        <v>43136</v>
      </c>
      <c r="D845" s="49">
        <v>1250</v>
      </c>
    </row>
    <row r="846" spans="1:4" customFormat="1">
      <c r="A846" t="s">
        <v>257</v>
      </c>
      <c r="B846" t="s">
        <v>256</v>
      </c>
      <c r="C846" s="111">
        <v>43136</v>
      </c>
      <c r="D846" s="49">
        <v>1119.92</v>
      </c>
    </row>
    <row r="847" spans="1:4" customFormat="1">
      <c r="A847" t="s">
        <v>962</v>
      </c>
      <c r="B847" t="s">
        <v>343</v>
      </c>
      <c r="C847" s="111">
        <v>43136</v>
      </c>
      <c r="D847" s="49">
        <v>4543.08</v>
      </c>
    </row>
    <row r="848" spans="1:4" customFormat="1">
      <c r="A848" t="s">
        <v>217</v>
      </c>
      <c r="B848" t="s">
        <v>216</v>
      </c>
      <c r="C848" s="111">
        <v>43136</v>
      </c>
      <c r="D848" s="49">
        <v>985.64</v>
      </c>
    </row>
    <row r="849" spans="1:4" customFormat="1">
      <c r="A849" t="s">
        <v>927</v>
      </c>
      <c r="B849" t="s">
        <v>166</v>
      </c>
      <c r="C849" s="111">
        <v>43136</v>
      </c>
      <c r="D849" s="49">
        <v>501.81</v>
      </c>
    </row>
    <row r="850" spans="1:4" customFormat="1">
      <c r="A850" t="s">
        <v>918</v>
      </c>
      <c r="B850" t="s">
        <v>168</v>
      </c>
      <c r="C850" s="111">
        <v>43136</v>
      </c>
      <c r="D850" s="49">
        <v>701.1</v>
      </c>
    </row>
    <row r="851" spans="1:4" customFormat="1">
      <c r="A851" t="s">
        <v>139</v>
      </c>
      <c r="B851" t="s">
        <v>138</v>
      </c>
      <c r="C851" s="111">
        <v>43136</v>
      </c>
      <c r="D851" s="49">
        <v>1500</v>
      </c>
    </row>
    <row r="852" spans="1:4" customFormat="1">
      <c r="A852" t="s">
        <v>480</v>
      </c>
      <c r="B852" t="s">
        <v>199</v>
      </c>
      <c r="C852" s="111">
        <v>43136</v>
      </c>
      <c r="D852" s="49">
        <v>2753.91</v>
      </c>
    </row>
    <row r="853" spans="1:4" customFormat="1">
      <c r="A853" t="s">
        <v>519</v>
      </c>
      <c r="B853" t="s">
        <v>484</v>
      </c>
      <c r="C853" s="111">
        <v>43136</v>
      </c>
      <c r="D853" s="49">
        <v>1627.49</v>
      </c>
    </row>
    <row r="854" spans="1:4" customFormat="1">
      <c r="A854" t="s">
        <v>163</v>
      </c>
      <c r="B854" t="s">
        <v>162</v>
      </c>
      <c r="C854" s="111">
        <v>43136</v>
      </c>
      <c r="D854" s="49">
        <v>2000</v>
      </c>
    </row>
    <row r="855" spans="1:4" customFormat="1">
      <c r="A855" t="s">
        <v>996</v>
      </c>
      <c r="B855" t="s">
        <v>994</v>
      </c>
      <c r="C855" s="111">
        <v>43136</v>
      </c>
      <c r="D855" s="49">
        <v>885.14</v>
      </c>
    </row>
    <row r="856" spans="1:4" customFormat="1">
      <c r="A856" t="s">
        <v>823</v>
      </c>
      <c r="B856" t="s">
        <v>267</v>
      </c>
      <c r="C856" s="111">
        <v>43136</v>
      </c>
      <c r="D856" s="49">
        <v>976.44</v>
      </c>
    </row>
    <row r="857" spans="1:4" customFormat="1">
      <c r="A857" s="863" t="s">
        <v>1248</v>
      </c>
      <c r="B857" s="863" t="s">
        <v>1249</v>
      </c>
      <c r="C857" s="862">
        <v>43136</v>
      </c>
      <c r="D857" s="866">
        <v>1570.6849999999999</v>
      </c>
    </row>
    <row r="858" spans="1:4" customFormat="1">
      <c r="A858" s="863" t="s">
        <v>522</v>
      </c>
      <c r="B858" s="863" t="s">
        <v>166</v>
      </c>
      <c r="C858" s="862">
        <v>43136</v>
      </c>
      <c r="D858" s="866">
        <v>501.81099999999998</v>
      </c>
    </row>
    <row r="859" spans="1:4" customFormat="1">
      <c r="A859" t="s">
        <v>459</v>
      </c>
      <c r="B859" t="s">
        <v>419</v>
      </c>
      <c r="C859" s="111">
        <v>43137</v>
      </c>
      <c r="D859" s="49">
        <v>669.37</v>
      </c>
    </row>
    <row r="860" spans="1:4" customFormat="1">
      <c r="A860" t="s">
        <v>643</v>
      </c>
      <c r="B860" t="s">
        <v>189</v>
      </c>
      <c r="C860" s="111">
        <v>43137</v>
      </c>
      <c r="D860" s="49">
        <v>725</v>
      </c>
    </row>
    <row r="861" spans="1:4" customFormat="1">
      <c r="A861" t="s">
        <v>825</v>
      </c>
      <c r="B861" t="s">
        <v>293</v>
      </c>
      <c r="C861" s="111">
        <v>43138</v>
      </c>
      <c r="D861" s="49">
        <v>1242.45</v>
      </c>
    </row>
    <row r="862" spans="1:4" customFormat="1">
      <c r="A862" t="s">
        <v>990</v>
      </c>
      <c r="B862" t="s">
        <v>441</v>
      </c>
      <c r="C862" s="111">
        <v>43138</v>
      </c>
      <c r="D862" s="49">
        <v>1500</v>
      </c>
    </row>
    <row r="863" spans="1:4" customFormat="1">
      <c r="A863" s="863" t="s">
        <v>257</v>
      </c>
      <c r="B863" s="863" t="s">
        <v>256</v>
      </c>
      <c r="C863" s="862">
        <v>43138</v>
      </c>
      <c r="D863" s="866">
        <v>630</v>
      </c>
    </row>
    <row r="864" spans="1:4" customFormat="1">
      <c r="A864" s="863" t="s">
        <v>477</v>
      </c>
      <c r="B864" s="863" t="s">
        <v>180</v>
      </c>
      <c r="C864" s="862">
        <v>43138</v>
      </c>
      <c r="D864" s="866">
        <v>779</v>
      </c>
    </row>
    <row r="865" spans="1:4" customFormat="1">
      <c r="A865" t="s">
        <v>510</v>
      </c>
      <c r="B865" t="s">
        <v>141</v>
      </c>
      <c r="C865" s="111">
        <v>43139</v>
      </c>
      <c r="D865" s="49">
        <v>700</v>
      </c>
    </row>
    <row r="866" spans="1:4" customFormat="1">
      <c r="A866" t="s">
        <v>376</v>
      </c>
      <c r="B866" t="s">
        <v>377</v>
      </c>
      <c r="C866" s="111">
        <v>43139</v>
      </c>
      <c r="D866" s="49">
        <v>1448.19</v>
      </c>
    </row>
    <row r="867" spans="1:4" customFormat="1">
      <c r="A867" t="s">
        <v>941</v>
      </c>
      <c r="B867" t="s">
        <v>237</v>
      </c>
      <c r="C867" s="111">
        <v>43139</v>
      </c>
      <c r="D867" s="49">
        <v>3000</v>
      </c>
    </row>
    <row r="868" spans="1:4" customFormat="1">
      <c r="A868" t="s">
        <v>312</v>
      </c>
      <c r="B868" t="s">
        <v>313</v>
      </c>
      <c r="C868" s="111">
        <v>43140</v>
      </c>
      <c r="D868" s="49">
        <v>880</v>
      </c>
    </row>
    <row r="869" spans="1:4" customFormat="1">
      <c r="A869" s="863" t="s">
        <v>495</v>
      </c>
      <c r="B869" s="863" t="s">
        <v>496</v>
      </c>
      <c r="C869" s="862">
        <v>43140</v>
      </c>
      <c r="D869" s="866">
        <v>1500</v>
      </c>
    </row>
    <row r="870" spans="1:4" customFormat="1">
      <c r="A870" t="s">
        <v>778</v>
      </c>
      <c r="B870" t="s">
        <v>779</v>
      </c>
      <c r="C870" s="111">
        <v>43141</v>
      </c>
      <c r="D870" s="49">
        <v>2931.57</v>
      </c>
    </row>
    <row r="871" spans="1:4" customFormat="1">
      <c r="A871" t="s">
        <v>536</v>
      </c>
      <c r="B871" t="s">
        <v>535</v>
      </c>
      <c r="C871" s="111">
        <v>43141</v>
      </c>
      <c r="D871" s="49">
        <v>2164</v>
      </c>
    </row>
    <row r="872" spans="1:4" customFormat="1">
      <c r="A872" t="s">
        <v>314</v>
      </c>
      <c r="B872" t="s">
        <v>315</v>
      </c>
      <c r="C872" s="111">
        <v>43141</v>
      </c>
      <c r="D872" s="49">
        <v>2500</v>
      </c>
    </row>
    <row r="873" spans="1:4" customFormat="1">
      <c r="A873" t="s">
        <v>203</v>
      </c>
      <c r="B873" t="s">
        <v>202</v>
      </c>
      <c r="C873" s="111">
        <v>43141</v>
      </c>
      <c r="D873" s="49">
        <v>2900</v>
      </c>
    </row>
    <row r="874" spans="1:4" customFormat="1">
      <c r="A874" t="s">
        <v>165</v>
      </c>
      <c r="B874" t="s">
        <v>164</v>
      </c>
      <c r="C874" s="111">
        <v>43141</v>
      </c>
      <c r="D874" s="49">
        <v>10815.16</v>
      </c>
    </row>
    <row r="875" spans="1:4" customFormat="1">
      <c r="A875" t="s">
        <v>263</v>
      </c>
      <c r="B875" t="s">
        <v>262</v>
      </c>
      <c r="C875" s="111">
        <v>43141</v>
      </c>
      <c r="D875" s="49">
        <v>5125.0200000000004</v>
      </c>
    </row>
    <row r="876" spans="1:4" customFormat="1">
      <c r="A876" t="s">
        <v>159</v>
      </c>
      <c r="B876" t="s">
        <v>158</v>
      </c>
      <c r="C876" s="111">
        <v>43141</v>
      </c>
      <c r="D876" s="49">
        <v>1000</v>
      </c>
    </row>
    <row r="877" spans="1:4" customFormat="1">
      <c r="A877" t="s">
        <v>338</v>
      </c>
      <c r="B877" t="s">
        <v>337</v>
      </c>
      <c r="C877" s="111">
        <v>43141</v>
      </c>
      <c r="D877" s="49">
        <v>2088.73</v>
      </c>
    </row>
    <row r="878" spans="1:4" customFormat="1">
      <c r="A878" t="s">
        <v>374</v>
      </c>
      <c r="B878" t="s">
        <v>281</v>
      </c>
      <c r="C878" s="111">
        <v>43141</v>
      </c>
      <c r="D878" s="49">
        <v>2733.62</v>
      </c>
    </row>
    <row r="879" spans="1:4" customFormat="1">
      <c r="A879" t="s">
        <v>481</v>
      </c>
      <c r="B879" t="s">
        <v>482</v>
      </c>
      <c r="C879" s="111">
        <v>43141</v>
      </c>
      <c r="D879" s="49">
        <v>1595.49</v>
      </c>
    </row>
    <row r="880" spans="1:4" customFormat="1">
      <c r="A880" t="s">
        <v>961</v>
      </c>
      <c r="B880" t="s">
        <v>265</v>
      </c>
      <c r="C880" s="111">
        <v>43141</v>
      </c>
      <c r="D880" s="49">
        <v>1543.44</v>
      </c>
    </row>
    <row r="881" spans="1:4" customFormat="1">
      <c r="A881" t="s">
        <v>480</v>
      </c>
      <c r="B881" t="s">
        <v>199</v>
      </c>
      <c r="C881" s="111">
        <v>43141</v>
      </c>
      <c r="D881" s="49">
        <v>995.06</v>
      </c>
    </row>
    <row r="882" spans="1:4" customFormat="1">
      <c r="A882" t="s">
        <v>575</v>
      </c>
      <c r="B882" t="s">
        <v>186</v>
      </c>
      <c r="C882" s="111">
        <v>43141</v>
      </c>
      <c r="D882" s="49">
        <v>500</v>
      </c>
    </row>
    <row r="883" spans="1:4" customFormat="1">
      <c r="A883" t="s">
        <v>960</v>
      </c>
      <c r="B883" t="s">
        <v>471</v>
      </c>
      <c r="C883" s="111">
        <v>43141</v>
      </c>
      <c r="D883" s="49">
        <v>1419.88</v>
      </c>
    </row>
    <row r="884" spans="1:4" customFormat="1">
      <c r="A884" t="s">
        <v>416</v>
      </c>
      <c r="B884" t="s">
        <v>379</v>
      </c>
      <c r="C884" s="111">
        <v>43141</v>
      </c>
      <c r="D884" s="49">
        <v>3426.99</v>
      </c>
    </row>
    <row r="885" spans="1:4" customFormat="1">
      <c r="A885" t="s">
        <v>443</v>
      </c>
      <c r="B885" t="s">
        <v>418</v>
      </c>
      <c r="C885" s="111">
        <v>43141</v>
      </c>
      <c r="D885" s="49">
        <v>519.19000000000005</v>
      </c>
    </row>
    <row r="886" spans="1:4" customFormat="1">
      <c r="A886" t="s">
        <v>940</v>
      </c>
      <c r="B886" t="s">
        <v>939</v>
      </c>
      <c r="C886" s="111">
        <v>43141</v>
      </c>
      <c r="D886" s="49">
        <v>3947.32</v>
      </c>
    </row>
    <row r="887" spans="1:4" customFormat="1">
      <c r="A887" s="863" t="s">
        <v>228</v>
      </c>
      <c r="B887" s="863" t="s">
        <v>227</v>
      </c>
      <c r="C887" s="862">
        <v>43141</v>
      </c>
      <c r="D887" s="866">
        <v>987</v>
      </c>
    </row>
    <row r="888" spans="1:4" customFormat="1">
      <c r="A888" s="863" t="s">
        <v>1155</v>
      </c>
      <c r="B888" s="863" t="s">
        <v>1154</v>
      </c>
      <c r="C888" s="862">
        <v>43141</v>
      </c>
      <c r="D888" s="866">
        <v>1260</v>
      </c>
    </row>
    <row r="889" spans="1:4" customFormat="1">
      <c r="A889" s="863" t="s">
        <v>196</v>
      </c>
      <c r="B889" s="863" t="s">
        <v>1153</v>
      </c>
      <c r="C889" s="862">
        <v>43141</v>
      </c>
      <c r="D889" s="866">
        <v>480.17599999999999</v>
      </c>
    </row>
    <row r="890" spans="1:4" customFormat="1">
      <c r="A890" s="863" t="s">
        <v>222</v>
      </c>
      <c r="B890" s="863" t="s">
        <v>1243</v>
      </c>
      <c r="C890" s="862">
        <v>43141</v>
      </c>
      <c r="D890" s="866">
        <v>1722.47</v>
      </c>
    </row>
    <row r="891" spans="1:4" customFormat="1">
      <c r="A891" s="863" t="s">
        <v>566</v>
      </c>
      <c r="B891" s="863" t="s">
        <v>1145</v>
      </c>
      <c r="C891" s="862">
        <v>43141</v>
      </c>
      <c r="D891" s="866">
        <v>1175.5219999999999</v>
      </c>
    </row>
    <row r="892" spans="1:4" customFormat="1">
      <c r="A892" s="863" t="s">
        <v>541</v>
      </c>
      <c r="B892" s="863" t="s">
        <v>194</v>
      </c>
      <c r="C892" s="862">
        <v>43141</v>
      </c>
      <c r="D892" s="866">
        <v>700</v>
      </c>
    </row>
    <row r="893" spans="1:4" customFormat="1">
      <c r="A893" t="s">
        <v>756</v>
      </c>
      <c r="B893" t="s">
        <v>391</v>
      </c>
      <c r="C893" s="111">
        <v>43142</v>
      </c>
      <c r="D893" s="49">
        <v>1084.4000000000001</v>
      </c>
    </row>
    <row r="894" spans="1:4" customFormat="1">
      <c r="A894" t="s">
        <v>519</v>
      </c>
      <c r="B894" t="s">
        <v>484</v>
      </c>
      <c r="C894" s="111">
        <v>43142</v>
      </c>
      <c r="D894" s="49">
        <v>2000</v>
      </c>
    </row>
    <row r="895" spans="1:4" customFormat="1">
      <c r="A895" t="s">
        <v>139</v>
      </c>
      <c r="B895" t="s">
        <v>138</v>
      </c>
      <c r="C895" s="111">
        <v>43143</v>
      </c>
      <c r="D895" s="49">
        <v>1500</v>
      </c>
    </row>
    <row r="896" spans="1:4" customFormat="1">
      <c r="A896" t="s">
        <v>538</v>
      </c>
      <c r="B896" t="s">
        <v>537</v>
      </c>
      <c r="C896" s="111">
        <v>43143</v>
      </c>
      <c r="D896" s="49">
        <v>3262.53</v>
      </c>
    </row>
    <row r="897" spans="1:4" customFormat="1">
      <c r="A897" t="s">
        <v>643</v>
      </c>
      <c r="B897" t="s">
        <v>189</v>
      </c>
      <c r="C897" s="111">
        <v>43143</v>
      </c>
      <c r="D897" s="49">
        <v>730</v>
      </c>
    </row>
    <row r="898" spans="1:4" customFormat="1">
      <c r="A898" t="s">
        <v>666</v>
      </c>
      <c r="B898" t="s">
        <v>162</v>
      </c>
      <c r="C898" s="111">
        <v>43143</v>
      </c>
      <c r="D898" s="49">
        <v>1500</v>
      </c>
    </row>
    <row r="899" spans="1:4" customFormat="1">
      <c r="A899" t="s">
        <v>271</v>
      </c>
      <c r="B899" t="s">
        <v>463</v>
      </c>
      <c r="C899" s="111">
        <v>43143</v>
      </c>
      <c r="D899" s="49">
        <v>1500</v>
      </c>
    </row>
    <row r="900" spans="1:4" customFormat="1">
      <c r="A900" t="s">
        <v>825</v>
      </c>
      <c r="B900" t="s">
        <v>293</v>
      </c>
      <c r="C900" s="111">
        <v>43144</v>
      </c>
      <c r="D900" s="49">
        <v>1359.65</v>
      </c>
    </row>
    <row r="901" spans="1:4" customFormat="1">
      <c r="A901" s="863" t="s">
        <v>389</v>
      </c>
      <c r="B901" s="863" t="s">
        <v>154</v>
      </c>
      <c r="C901" s="862">
        <v>43145</v>
      </c>
      <c r="D901" s="866">
        <v>2300</v>
      </c>
    </row>
    <row r="902" spans="1:4" customFormat="1">
      <c r="A902" t="s">
        <v>278</v>
      </c>
      <c r="B902" t="s">
        <v>277</v>
      </c>
      <c r="C902" s="111">
        <v>43146</v>
      </c>
      <c r="D902" s="49">
        <v>904.95</v>
      </c>
    </row>
    <row r="903" spans="1:4" customFormat="1">
      <c r="A903" t="s">
        <v>948</v>
      </c>
      <c r="B903" t="s">
        <v>947</v>
      </c>
      <c r="C903" s="111">
        <v>43146</v>
      </c>
      <c r="D903" s="49">
        <v>1400</v>
      </c>
    </row>
    <row r="904" spans="1:4" customFormat="1">
      <c r="A904" t="s">
        <v>707</v>
      </c>
      <c r="B904" t="s">
        <v>546</v>
      </c>
      <c r="C904" s="111">
        <v>43146</v>
      </c>
      <c r="D904" s="49">
        <v>1750</v>
      </c>
    </row>
    <row r="905" spans="1:4" customFormat="1">
      <c r="A905" t="s">
        <v>314</v>
      </c>
      <c r="B905" t="s">
        <v>315</v>
      </c>
      <c r="C905" s="111">
        <v>43146</v>
      </c>
      <c r="D905" s="49">
        <v>2500</v>
      </c>
    </row>
    <row r="906" spans="1:4" customFormat="1">
      <c r="A906" t="s">
        <v>147</v>
      </c>
      <c r="B906" t="s">
        <v>146</v>
      </c>
      <c r="C906" s="111">
        <v>43146</v>
      </c>
      <c r="D906" s="49">
        <v>1329.27</v>
      </c>
    </row>
    <row r="907" spans="1:4" customFormat="1">
      <c r="A907" t="s">
        <v>485</v>
      </c>
      <c r="B907" t="s">
        <v>486</v>
      </c>
      <c r="C907" s="111">
        <v>43146</v>
      </c>
      <c r="D907" s="49">
        <v>1300</v>
      </c>
    </row>
    <row r="908" spans="1:4" customFormat="1">
      <c r="A908" t="s">
        <v>212</v>
      </c>
      <c r="B908" t="s">
        <v>211</v>
      </c>
      <c r="C908" s="111">
        <v>43146</v>
      </c>
      <c r="D908" s="49">
        <v>2049</v>
      </c>
    </row>
    <row r="909" spans="1:4" customFormat="1">
      <c r="A909" t="s">
        <v>762</v>
      </c>
      <c r="B909" t="s">
        <v>153</v>
      </c>
      <c r="C909" s="111">
        <v>43146</v>
      </c>
      <c r="D909" s="49">
        <v>5000</v>
      </c>
    </row>
    <row r="910" spans="1:4" customFormat="1">
      <c r="A910" t="s">
        <v>392</v>
      </c>
      <c r="B910" t="s">
        <v>153</v>
      </c>
      <c r="C910" s="111">
        <v>43146</v>
      </c>
      <c r="D910" s="49">
        <v>6000</v>
      </c>
    </row>
    <row r="911" spans="1:4" customFormat="1">
      <c r="A911" t="s">
        <v>508</v>
      </c>
      <c r="B911" t="s">
        <v>184</v>
      </c>
      <c r="C911" s="111">
        <v>43146</v>
      </c>
      <c r="D911" s="49">
        <v>2954.57</v>
      </c>
    </row>
    <row r="912" spans="1:4" customFormat="1">
      <c r="A912" t="s">
        <v>365</v>
      </c>
      <c r="B912" t="s">
        <v>186</v>
      </c>
      <c r="C912" s="111">
        <v>43146</v>
      </c>
      <c r="D912" s="49">
        <v>990.5</v>
      </c>
    </row>
    <row r="913" spans="1:4" customFormat="1">
      <c r="A913" t="s">
        <v>928</v>
      </c>
      <c r="B913" t="s">
        <v>140</v>
      </c>
      <c r="C913" s="111">
        <v>43146</v>
      </c>
      <c r="D913" s="49">
        <v>2471.88</v>
      </c>
    </row>
    <row r="914" spans="1:4" customFormat="1">
      <c r="A914" t="s">
        <v>815</v>
      </c>
      <c r="B914" t="s">
        <v>190</v>
      </c>
      <c r="C914" s="111">
        <v>43146</v>
      </c>
      <c r="D914" s="49">
        <v>4000</v>
      </c>
    </row>
    <row r="915" spans="1:4" customFormat="1">
      <c r="A915" s="863" t="s">
        <v>548</v>
      </c>
      <c r="B915" s="863" t="s">
        <v>547</v>
      </c>
      <c r="C915" s="862">
        <v>43146</v>
      </c>
      <c r="D915" s="866">
        <v>350</v>
      </c>
    </row>
    <row r="916" spans="1:4" customFormat="1">
      <c r="A916" s="863" t="s">
        <v>794</v>
      </c>
      <c r="B916" s="863" t="s">
        <v>795</v>
      </c>
      <c r="C916" s="862">
        <v>43146</v>
      </c>
      <c r="D916" s="866">
        <v>606.35699999999997</v>
      </c>
    </row>
    <row r="917" spans="1:4" customFormat="1">
      <c r="A917" s="863" t="s">
        <v>228</v>
      </c>
      <c r="B917" s="863" t="s">
        <v>227</v>
      </c>
      <c r="C917" s="862">
        <v>43146</v>
      </c>
      <c r="D917" s="866">
        <v>987</v>
      </c>
    </row>
    <row r="918" spans="1:4" customFormat="1">
      <c r="A918" s="863" t="s">
        <v>477</v>
      </c>
      <c r="B918" s="863" t="s">
        <v>180</v>
      </c>
      <c r="C918" s="862">
        <v>43146</v>
      </c>
      <c r="D918" s="866">
        <v>779</v>
      </c>
    </row>
    <row r="919" spans="1:4" customFormat="1">
      <c r="A919" t="s">
        <v>512</v>
      </c>
      <c r="B919" t="s">
        <v>511</v>
      </c>
      <c r="C919" s="111">
        <v>43147</v>
      </c>
      <c r="D919" s="49">
        <v>1785</v>
      </c>
    </row>
    <row r="920" spans="1:4" customFormat="1">
      <c r="A920" t="s">
        <v>767</v>
      </c>
      <c r="B920" t="s">
        <v>155</v>
      </c>
      <c r="C920" s="111">
        <v>43147</v>
      </c>
      <c r="D920" s="49">
        <v>1270.3499999999999</v>
      </c>
    </row>
    <row r="921" spans="1:4" customFormat="1">
      <c r="A921" t="s">
        <v>519</v>
      </c>
      <c r="B921" t="s">
        <v>484</v>
      </c>
      <c r="C921" s="111">
        <v>43147</v>
      </c>
      <c r="D921" s="49">
        <v>1900.87</v>
      </c>
    </row>
    <row r="922" spans="1:4" customFormat="1">
      <c r="A922" s="863" t="s">
        <v>1155</v>
      </c>
      <c r="B922" s="863" t="s">
        <v>1154</v>
      </c>
      <c r="C922" s="862">
        <v>43147</v>
      </c>
      <c r="D922" s="866">
        <v>1260</v>
      </c>
    </row>
    <row r="923" spans="1:4" customFormat="1">
      <c r="A923" t="s">
        <v>653</v>
      </c>
      <c r="B923" t="s">
        <v>654</v>
      </c>
      <c r="C923" s="111">
        <v>43148</v>
      </c>
      <c r="D923" s="49">
        <v>1130</v>
      </c>
    </row>
    <row r="924" spans="1:4" customFormat="1">
      <c r="A924" s="863" t="s">
        <v>1237</v>
      </c>
      <c r="B924" s="863" t="s">
        <v>418</v>
      </c>
      <c r="C924" s="862">
        <v>43148</v>
      </c>
      <c r="D924" s="866">
        <v>541.95100000000002</v>
      </c>
    </row>
    <row r="925" spans="1:4" customFormat="1">
      <c r="A925" t="s">
        <v>393</v>
      </c>
      <c r="B925" t="s">
        <v>134</v>
      </c>
      <c r="C925" s="111">
        <v>43149</v>
      </c>
      <c r="D925" s="49">
        <v>505.33</v>
      </c>
    </row>
    <row r="926" spans="1:4" customFormat="1">
      <c r="A926" t="s">
        <v>538</v>
      </c>
      <c r="B926" t="s">
        <v>537</v>
      </c>
      <c r="C926" s="111">
        <v>43150</v>
      </c>
      <c r="D926" s="49">
        <v>3000</v>
      </c>
    </row>
    <row r="927" spans="1:4" customFormat="1">
      <c r="A927" t="s">
        <v>643</v>
      </c>
      <c r="B927" t="s">
        <v>189</v>
      </c>
      <c r="C927" s="111">
        <v>43150</v>
      </c>
      <c r="D927" s="49">
        <v>715</v>
      </c>
    </row>
    <row r="928" spans="1:4" customFormat="1">
      <c r="A928" t="s">
        <v>410</v>
      </c>
      <c r="B928" t="s">
        <v>204</v>
      </c>
      <c r="C928" s="111">
        <v>43150</v>
      </c>
      <c r="D928" s="49">
        <v>2343</v>
      </c>
    </row>
    <row r="929" spans="1:4" customFormat="1">
      <c r="A929" t="s">
        <v>990</v>
      </c>
      <c r="B929" t="s">
        <v>441</v>
      </c>
      <c r="C929" s="111">
        <v>43150</v>
      </c>
      <c r="D929" s="49">
        <v>1446.08</v>
      </c>
    </row>
    <row r="930" spans="1:4" customFormat="1">
      <c r="A930" t="s">
        <v>536</v>
      </c>
      <c r="B930" t="s">
        <v>535</v>
      </c>
      <c r="C930" s="111">
        <v>43151</v>
      </c>
      <c r="D930" s="49">
        <v>2164</v>
      </c>
    </row>
    <row r="931" spans="1:4" customFormat="1">
      <c r="A931" t="s">
        <v>314</v>
      </c>
      <c r="B931" t="s">
        <v>315</v>
      </c>
      <c r="C931" s="111">
        <v>43151</v>
      </c>
      <c r="D931" s="49">
        <v>2500</v>
      </c>
    </row>
    <row r="932" spans="1:4" customFormat="1">
      <c r="A932" t="s">
        <v>312</v>
      </c>
      <c r="B932" t="s">
        <v>313</v>
      </c>
      <c r="C932" s="111">
        <v>43151</v>
      </c>
      <c r="D932" s="49">
        <v>880</v>
      </c>
    </row>
    <row r="933" spans="1:4" customFormat="1">
      <c r="A933" t="s">
        <v>226</v>
      </c>
      <c r="B933" t="s">
        <v>225</v>
      </c>
      <c r="C933" s="111">
        <v>43151</v>
      </c>
      <c r="D933" s="49">
        <v>3713.54</v>
      </c>
    </row>
    <row r="934" spans="1:4" customFormat="1">
      <c r="A934" t="s">
        <v>916</v>
      </c>
      <c r="B934" t="s">
        <v>141</v>
      </c>
      <c r="C934" s="111">
        <v>43151</v>
      </c>
      <c r="D934" s="49">
        <v>400</v>
      </c>
    </row>
    <row r="935" spans="1:4" customFormat="1">
      <c r="A935" t="s">
        <v>780</v>
      </c>
      <c r="B935" t="s">
        <v>185</v>
      </c>
      <c r="C935" s="111">
        <v>43151</v>
      </c>
      <c r="D935" s="49">
        <v>2415.2199999999998</v>
      </c>
    </row>
    <row r="936" spans="1:4" customFormat="1">
      <c r="A936" t="s">
        <v>139</v>
      </c>
      <c r="B936" t="s">
        <v>138</v>
      </c>
      <c r="C936" s="111">
        <v>43151</v>
      </c>
      <c r="D936" s="49">
        <v>880</v>
      </c>
    </row>
    <row r="937" spans="1:4" customFormat="1">
      <c r="A937" t="s">
        <v>562</v>
      </c>
      <c r="B937" t="s">
        <v>188</v>
      </c>
      <c r="C937" s="111">
        <v>43151</v>
      </c>
      <c r="D937" s="49">
        <v>1853.62</v>
      </c>
    </row>
    <row r="938" spans="1:4" customFormat="1">
      <c r="A938" t="s">
        <v>365</v>
      </c>
      <c r="B938" t="s">
        <v>186</v>
      </c>
      <c r="C938" s="111">
        <v>43151</v>
      </c>
      <c r="D938" s="49">
        <v>400</v>
      </c>
    </row>
    <row r="939" spans="1:4" customFormat="1">
      <c r="A939" t="s">
        <v>995</v>
      </c>
      <c r="B939" t="s">
        <v>994</v>
      </c>
      <c r="C939" s="111">
        <v>43151</v>
      </c>
      <c r="D939" s="49">
        <v>885.14</v>
      </c>
    </row>
    <row r="940" spans="1:4" customFormat="1">
      <c r="A940" t="s">
        <v>815</v>
      </c>
      <c r="B940" t="s">
        <v>190</v>
      </c>
      <c r="C940" s="111">
        <v>43151</v>
      </c>
      <c r="D940" s="49">
        <v>4000</v>
      </c>
    </row>
    <row r="941" spans="1:4" customFormat="1">
      <c r="A941" t="s">
        <v>763</v>
      </c>
      <c r="B941" t="s">
        <v>266</v>
      </c>
      <c r="C941" s="111">
        <v>43151</v>
      </c>
      <c r="D941" s="49">
        <v>2812.98</v>
      </c>
    </row>
    <row r="942" spans="1:4" customFormat="1">
      <c r="A942" s="863" t="s">
        <v>738</v>
      </c>
      <c r="B942" s="863" t="s">
        <v>739</v>
      </c>
      <c r="C942" s="862">
        <v>43151</v>
      </c>
      <c r="D942" s="866">
        <v>6519.3909999999996</v>
      </c>
    </row>
    <row r="943" spans="1:4" customFormat="1">
      <c r="A943" s="863" t="s">
        <v>228</v>
      </c>
      <c r="B943" s="863" t="s">
        <v>227</v>
      </c>
      <c r="C943" s="862">
        <v>43151</v>
      </c>
      <c r="D943" s="866">
        <v>987</v>
      </c>
    </row>
    <row r="944" spans="1:4" customFormat="1">
      <c r="A944" s="863" t="s">
        <v>1248</v>
      </c>
      <c r="B944" s="863" t="s">
        <v>1249</v>
      </c>
      <c r="C944" s="862">
        <v>43151</v>
      </c>
      <c r="D944" s="866">
        <v>1614.24</v>
      </c>
    </row>
    <row r="945" spans="1:4" customFormat="1">
      <c r="A945" s="863" t="s">
        <v>753</v>
      </c>
      <c r="B945" s="863" t="s">
        <v>1236</v>
      </c>
      <c r="C945" s="862">
        <v>43151</v>
      </c>
      <c r="D945" s="866">
        <v>1566</v>
      </c>
    </row>
    <row r="946" spans="1:4" customFormat="1">
      <c r="A946" s="863" t="s">
        <v>458</v>
      </c>
      <c r="B946" s="863" t="s">
        <v>187</v>
      </c>
      <c r="C946" s="862">
        <v>43151</v>
      </c>
      <c r="D946" s="866">
        <v>3000</v>
      </c>
    </row>
    <row r="947" spans="1:4" customFormat="1">
      <c r="A947" s="863" t="s">
        <v>541</v>
      </c>
      <c r="B947" s="863" t="s">
        <v>194</v>
      </c>
      <c r="C947" s="862">
        <v>43151</v>
      </c>
      <c r="D947" s="866">
        <v>700</v>
      </c>
    </row>
    <row r="948" spans="1:4" customFormat="1">
      <c r="A948" t="s">
        <v>207</v>
      </c>
      <c r="B948" t="s">
        <v>206</v>
      </c>
      <c r="C948" s="111">
        <v>43152</v>
      </c>
      <c r="D948" s="49">
        <v>2500</v>
      </c>
    </row>
    <row r="949" spans="1:4" customFormat="1">
      <c r="A949" t="s">
        <v>825</v>
      </c>
      <c r="B949" t="s">
        <v>293</v>
      </c>
      <c r="C949" s="111">
        <v>43152</v>
      </c>
      <c r="D949" s="49">
        <v>1359.65</v>
      </c>
    </row>
    <row r="950" spans="1:4" customFormat="1">
      <c r="A950" t="s">
        <v>393</v>
      </c>
      <c r="B950" t="s">
        <v>134</v>
      </c>
      <c r="C950" s="111">
        <v>43152</v>
      </c>
      <c r="D950" s="49">
        <v>1000</v>
      </c>
    </row>
    <row r="951" spans="1:4" customFormat="1">
      <c r="A951" t="s">
        <v>163</v>
      </c>
      <c r="B951" t="s">
        <v>162</v>
      </c>
      <c r="C951" s="111">
        <v>43152</v>
      </c>
      <c r="D951" s="49">
        <v>1500</v>
      </c>
    </row>
    <row r="952" spans="1:4" customFormat="1">
      <c r="A952" s="863" t="s">
        <v>495</v>
      </c>
      <c r="B952" s="863" t="s">
        <v>496</v>
      </c>
      <c r="C952" s="862">
        <v>43152</v>
      </c>
      <c r="D952" s="866">
        <v>846.88699999999994</v>
      </c>
    </row>
    <row r="953" spans="1:4" customFormat="1">
      <c r="A953" s="863" t="s">
        <v>228</v>
      </c>
      <c r="B953" s="863" t="s">
        <v>227</v>
      </c>
      <c r="C953" s="862">
        <v>43152</v>
      </c>
      <c r="D953" s="866">
        <v>987.05399999999997</v>
      </c>
    </row>
    <row r="954" spans="1:4" customFormat="1">
      <c r="A954" t="s">
        <v>203</v>
      </c>
      <c r="B954" t="s">
        <v>202</v>
      </c>
      <c r="C954" s="111">
        <v>43153</v>
      </c>
      <c r="D954" s="49">
        <v>2900</v>
      </c>
    </row>
    <row r="955" spans="1:4" customFormat="1">
      <c r="A955" t="s">
        <v>161</v>
      </c>
      <c r="B955" t="s">
        <v>160</v>
      </c>
      <c r="C955" s="111">
        <v>43153</v>
      </c>
      <c r="D955" s="49">
        <v>3417.89</v>
      </c>
    </row>
    <row r="956" spans="1:4" customFormat="1">
      <c r="A956" t="s">
        <v>519</v>
      </c>
      <c r="B956" t="s">
        <v>484</v>
      </c>
      <c r="C956" s="111">
        <v>43153</v>
      </c>
      <c r="D956" s="49">
        <v>2000</v>
      </c>
    </row>
    <row r="957" spans="1:4" customFormat="1">
      <c r="A957" t="s">
        <v>271</v>
      </c>
      <c r="B957" t="s">
        <v>463</v>
      </c>
      <c r="C957" s="111">
        <v>43153</v>
      </c>
      <c r="D957" s="49">
        <v>1321.87</v>
      </c>
    </row>
    <row r="958" spans="1:4" customFormat="1">
      <c r="A958" s="863" t="s">
        <v>257</v>
      </c>
      <c r="B958" s="863" t="s">
        <v>256</v>
      </c>
      <c r="C958" s="862">
        <v>43153</v>
      </c>
      <c r="D958" s="866">
        <v>630</v>
      </c>
    </row>
    <row r="959" spans="1:4" customFormat="1">
      <c r="A959" t="s">
        <v>653</v>
      </c>
      <c r="B959" t="s">
        <v>654</v>
      </c>
      <c r="C959" s="111">
        <v>43154</v>
      </c>
      <c r="D959" s="49">
        <v>1130</v>
      </c>
    </row>
    <row r="960" spans="1:4" customFormat="1">
      <c r="A960" t="s">
        <v>710</v>
      </c>
      <c r="B960" t="s">
        <v>709</v>
      </c>
      <c r="C960" s="111">
        <v>43154</v>
      </c>
      <c r="D960" s="49">
        <v>4721.97</v>
      </c>
    </row>
    <row r="961" spans="1:4" customFormat="1">
      <c r="A961" t="s">
        <v>512</v>
      </c>
      <c r="B961" t="s">
        <v>511</v>
      </c>
      <c r="C961" s="111">
        <v>43154</v>
      </c>
      <c r="D961" s="49">
        <v>1785</v>
      </c>
    </row>
    <row r="962" spans="1:4" customFormat="1">
      <c r="A962" t="s">
        <v>646</v>
      </c>
      <c r="B962" t="s">
        <v>647</v>
      </c>
      <c r="C962" s="111">
        <v>43154</v>
      </c>
      <c r="D962" s="49">
        <v>1300</v>
      </c>
    </row>
    <row r="963" spans="1:4" customFormat="1">
      <c r="A963" t="s">
        <v>402</v>
      </c>
      <c r="B963" t="s">
        <v>403</v>
      </c>
      <c r="C963" s="111">
        <v>43155</v>
      </c>
      <c r="D963" s="49">
        <v>3300</v>
      </c>
    </row>
    <row r="964" spans="1:4" customFormat="1">
      <c r="A964" t="s">
        <v>135</v>
      </c>
      <c r="B964" t="s">
        <v>134</v>
      </c>
      <c r="C964" s="111">
        <v>43155</v>
      </c>
      <c r="D964" s="49">
        <v>1090</v>
      </c>
    </row>
    <row r="965" spans="1:4" customFormat="1">
      <c r="A965" t="s">
        <v>410</v>
      </c>
      <c r="B965" t="s">
        <v>204</v>
      </c>
      <c r="C965" s="111">
        <v>43155</v>
      </c>
      <c r="D965" s="49">
        <v>2400</v>
      </c>
    </row>
    <row r="966" spans="1:4" customFormat="1">
      <c r="A966" t="s">
        <v>948</v>
      </c>
      <c r="B966" t="s">
        <v>947</v>
      </c>
      <c r="C966" s="111">
        <v>43156</v>
      </c>
      <c r="D966" s="49">
        <v>1400</v>
      </c>
    </row>
    <row r="967" spans="1:4" customFormat="1">
      <c r="A967" t="s">
        <v>314</v>
      </c>
      <c r="B967" t="s">
        <v>315</v>
      </c>
      <c r="C967" s="111">
        <v>43156</v>
      </c>
      <c r="D967" s="49">
        <v>2500</v>
      </c>
    </row>
    <row r="968" spans="1:4" customFormat="1">
      <c r="A968" t="s">
        <v>133</v>
      </c>
      <c r="B968" t="s">
        <v>132</v>
      </c>
      <c r="C968" s="111">
        <v>43156</v>
      </c>
      <c r="D968" s="49">
        <v>1800</v>
      </c>
    </row>
    <row r="969" spans="1:4" customFormat="1">
      <c r="A969" t="s">
        <v>453</v>
      </c>
      <c r="B969" t="s">
        <v>197</v>
      </c>
      <c r="C969" s="111">
        <v>43156</v>
      </c>
      <c r="D969" s="49">
        <v>1798</v>
      </c>
    </row>
    <row r="970" spans="1:4" customFormat="1">
      <c r="A970" t="s">
        <v>646</v>
      </c>
      <c r="B970" t="s">
        <v>647</v>
      </c>
      <c r="C970" s="111">
        <v>43156</v>
      </c>
      <c r="D970" s="49">
        <v>1315.82</v>
      </c>
    </row>
    <row r="971" spans="1:4" customFormat="1">
      <c r="A971" t="s">
        <v>781</v>
      </c>
      <c r="B971" t="s">
        <v>417</v>
      </c>
      <c r="C971" s="111">
        <v>43156</v>
      </c>
      <c r="D971" s="49">
        <v>8000</v>
      </c>
    </row>
    <row r="972" spans="1:4" customFormat="1">
      <c r="A972" t="s">
        <v>780</v>
      </c>
      <c r="B972" t="s">
        <v>185</v>
      </c>
      <c r="C972" s="111">
        <v>43156</v>
      </c>
      <c r="D972" s="49">
        <v>2415.2199999999998</v>
      </c>
    </row>
    <row r="973" spans="1:4" customFormat="1">
      <c r="A973" t="s">
        <v>383</v>
      </c>
      <c r="B973" t="s">
        <v>251</v>
      </c>
      <c r="C973" s="111">
        <v>43156</v>
      </c>
      <c r="D973" s="49">
        <v>1480.19</v>
      </c>
    </row>
    <row r="974" spans="1:4" customFormat="1">
      <c r="A974" t="s">
        <v>393</v>
      </c>
      <c r="B974" t="s">
        <v>134</v>
      </c>
      <c r="C974" s="111">
        <v>43156</v>
      </c>
      <c r="D974" s="49">
        <v>1000</v>
      </c>
    </row>
    <row r="975" spans="1:4" customFormat="1">
      <c r="A975" t="s">
        <v>365</v>
      </c>
      <c r="B975" t="s">
        <v>186</v>
      </c>
      <c r="C975" s="111">
        <v>43156</v>
      </c>
      <c r="D975" s="49">
        <v>750</v>
      </c>
    </row>
    <row r="976" spans="1:4" customFormat="1">
      <c r="A976" t="s">
        <v>643</v>
      </c>
      <c r="B976" t="s">
        <v>189</v>
      </c>
      <c r="C976" s="111">
        <v>43156</v>
      </c>
      <c r="D976" s="49">
        <v>720.88</v>
      </c>
    </row>
    <row r="977" spans="1:4" customFormat="1">
      <c r="A977" s="863" t="s">
        <v>548</v>
      </c>
      <c r="B977" s="863" t="s">
        <v>547</v>
      </c>
      <c r="C977" s="862">
        <v>43156</v>
      </c>
      <c r="D977" s="866">
        <v>357.96499999999997</v>
      </c>
    </row>
    <row r="978" spans="1:4" customFormat="1">
      <c r="A978" s="863" t="s">
        <v>228</v>
      </c>
      <c r="B978" s="863" t="s">
        <v>227</v>
      </c>
      <c r="C978" s="862">
        <v>43156</v>
      </c>
      <c r="D978" s="866">
        <v>987</v>
      </c>
    </row>
    <row r="979" spans="1:4" customFormat="1">
      <c r="A979" t="s">
        <v>825</v>
      </c>
      <c r="B979" t="s">
        <v>293</v>
      </c>
      <c r="C979" s="111">
        <v>43157</v>
      </c>
      <c r="D979" s="49">
        <v>1359.65</v>
      </c>
    </row>
    <row r="980" spans="1:4" customFormat="1">
      <c r="A980" t="s">
        <v>135</v>
      </c>
      <c r="B980" t="s">
        <v>134</v>
      </c>
      <c r="C980" s="111">
        <v>43157</v>
      </c>
      <c r="D980" s="49">
        <v>1087.5999999999999</v>
      </c>
    </row>
    <row r="981" spans="1:4" customFormat="1">
      <c r="A981" s="863" t="s">
        <v>1237</v>
      </c>
      <c r="B981" s="863" t="s">
        <v>418</v>
      </c>
      <c r="C981" s="862">
        <v>43157</v>
      </c>
      <c r="D981" s="866">
        <v>541.95100000000002</v>
      </c>
    </row>
    <row r="982" spans="1:4" customFormat="1">
      <c r="A982" t="s">
        <v>137</v>
      </c>
      <c r="B982" t="s">
        <v>136</v>
      </c>
      <c r="C982" s="111">
        <v>43158</v>
      </c>
      <c r="D982" s="49">
        <v>8656.2199999999993</v>
      </c>
    </row>
    <row r="983" spans="1:4" customFormat="1">
      <c r="A983" t="s">
        <v>402</v>
      </c>
      <c r="B983" t="s">
        <v>403</v>
      </c>
      <c r="C983" s="111">
        <v>43158</v>
      </c>
      <c r="D983" s="49">
        <v>3390.99</v>
      </c>
    </row>
    <row r="984" spans="1:4" customFormat="1">
      <c r="A984" t="s">
        <v>203</v>
      </c>
      <c r="B984" t="s">
        <v>202</v>
      </c>
      <c r="C984" s="111">
        <v>43158</v>
      </c>
      <c r="D984" s="49">
        <v>2900</v>
      </c>
    </row>
    <row r="985" spans="1:4" customFormat="1">
      <c r="A985" t="s">
        <v>481</v>
      </c>
      <c r="B985" t="s">
        <v>482</v>
      </c>
      <c r="C985" s="111">
        <v>43158</v>
      </c>
      <c r="D985" s="49">
        <v>2000</v>
      </c>
    </row>
    <row r="986" spans="1:4" customFormat="1">
      <c r="A986" s="863" t="s">
        <v>495</v>
      </c>
      <c r="B986" s="863" t="s">
        <v>496</v>
      </c>
      <c r="C986" s="862">
        <v>43158</v>
      </c>
      <c r="D986" s="866">
        <v>1306.2670000000001</v>
      </c>
    </row>
    <row r="987" spans="1:4" customFormat="1">
      <c r="A987" s="863" t="s">
        <v>389</v>
      </c>
      <c r="B987" s="863" t="s">
        <v>154</v>
      </c>
      <c r="C987" s="862">
        <v>43158</v>
      </c>
      <c r="D987" s="866">
        <v>2374.73</v>
      </c>
    </row>
    <row r="988" spans="1:4" customFormat="1">
      <c r="A988" s="863" t="s">
        <v>920</v>
      </c>
      <c r="B988" s="863" t="s">
        <v>210</v>
      </c>
      <c r="C988" s="862">
        <v>43158</v>
      </c>
      <c r="D988" s="866">
        <v>5149.6679999999997</v>
      </c>
    </row>
    <row r="989" spans="1:4" customFormat="1">
      <c r="A989" t="s">
        <v>278</v>
      </c>
      <c r="B989" t="s">
        <v>277</v>
      </c>
      <c r="C989" s="111">
        <v>43159</v>
      </c>
      <c r="D989" s="49">
        <v>904.95</v>
      </c>
    </row>
    <row r="990" spans="1:4" customFormat="1">
      <c r="A990" t="s">
        <v>906</v>
      </c>
      <c r="B990" t="s">
        <v>907</v>
      </c>
      <c r="C990" s="111">
        <v>43159</v>
      </c>
      <c r="D990" s="49">
        <v>1351.49</v>
      </c>
    </row>
    <row r="991" spans="1:4" customFormat="1">
      <c r="A991" t="s">
        <v>318</v>
      </c>
      <c r="B991" t="s">
        <v>319</v>
      </c>
      <c r="C991" s="111">
        <v>43159</v>
      </c>
      <c r="D991" s="49">
        <v>1695.2</v>
      </c>
    </row>
    <row r="992" spans="1:4" customFormat="1">
      <c r="A992" t="s">
        <v>157</v>
      </c>
      <c r="B992" t="s">
        <v>156</v>
      </c>
      <c r="C992" s="111">
        <v>43159</v>
      </c>
      <c r="D992" s="49">
        <v>964.06</v>
      </c>
    </row>
    <row r="993" spans="1:4" customFormat="1">
      <c r="A993" t="s">
        <v>740</v>
      </c>
      <c r="B993" t="s">
        <v>238</v>
      </c>
      <c r="C993" s="111">
        <v>43159</v>
      </c>
      <c r="D993" s="49">
        <v>974.36</v>
      </c>
    </row>
    <row r="994" spans="1:4" customFormat="1">
      <c r="A994" t="s">
        <v>517</v>
      </c>
      <c r="B994" t="s">
        <v>516</v>
      </c>
      <c r="C994" s="111">
        <v>43159</v>
      </c>
      <c r="D994" s="49">
        <v>6319.77</v>
      </c>
    </row>
    <row r="995" spans="1:4" customFormat="1">
      <c r="A995" t="s">
        <v>314</v>
      </c>
      <c r="B995" t="s">
        <v>315</v>
      </c>
      <c r="C995" s="111">
        <v>43159</v>
      </c>
      <c r="D995" s="49">
        <v>2195.9899999999998</v>
      </c>
    </row>
    <row r="996" spans="1:4" customFormat="1">
      <c r="A996" t="s">
        <v>606</v>
      </c>
      <c r="B996" t="s">
        <v>607</v>
      </c>
      <c r="C996" s="111">
        <v>43159</v>
      </c>
      <c r="D996" s="49">
        <v>478.61</v>
      </c>
    </row>
    <row r="997" spans="1:4" customFormat="1">
      <c r="A997" t="s">
        <v>161</v>
      </c>
      <c r="B997" t="s">
        <v>160</v>
      </c>
      <c r="C997" s="111">
        <v>43159</v>
      </c>
      <c r="D997" s="49">
        <v>3000</v>
      </c>
    </row>
    <row r="998" spans="1:4" customFormat="1">
      <c r="A998" t="s">
        <v>133</v>
      </c>
      <c r="B998" t="s">
        <v>132</v>
      </c>
      <c r="C998" s="111">
        <v>43159</v>
      </c>
      <c r="D998" s="49">
        <v>1821.78</v>
      </c>
    </row>
    <row r="999" spans="1:4" customFormat="1">
      <c r="A999" t="s">
        <v>165</v>
      </c>
      <c r="B999" t="s">
        <v>164</v>
      </c>
      <c r="C999" s="111">
        <v>43159</v>
      </c>
      <c r="D999" s="49">
        <v>5000</v>
      </c>
    </row>
    <row r="1000" spans="1:4" customFormat="1">
      <c r="A1000" t="s">
        <v>170</v>
      </c>
      <c r="B1000" t="s">
        <v>169</v>
      </c>
      <c r="C1000" s="111">
        <v>43159</v>
      </c>
      <c r="D1000" s="49">
        <v>3265.24</v>
      </c>
    </row>
    <row r="1001" spans="1:4" customFormat="1">
      <c r="A1001" t="s">
        <v>653</v>
      </c>
      <c r="B1001" t="s">
        <v>654</v>
      </c>
      <c r="C1001" s="111">
        <v>43159</v>
      </c>
      <c r="D1001" s="49">
        <v>1131.8900000000001</v>
      </c>
    </row>
    <row r="1002" spans="1:4" customFormat="1">
      <c r="A1002" t="s">
        <v>198</v>
      </c>
      <c r="B1002" t="s">
        <v>197</v>
      </c>
      <c r="C1002" s="111">
        <v>43159</v>
      </c>
      <c r="D1002" s="49">
        <v>1797.72</v>
      </c>
    </row>
    <row r="1003" spans="1:4" customFormat="1">
      <c r="A1003" t="s">
        <v>485</v>
      </c>
      <c r="B1003" t="s">
        <v>486</v>
      </c>
      <c r="C1003" s="111">
        <v>43159</v>
      </c>
      <c r="D1003" s="49">
        <v>1345.46</v>
      </c>
    </row>
    <row r="1004" spans="1:4" customFormat="1">
      <c r="A1004" t="s">
        <v>172</v>
      </c>
      <c r="B1004" t="s">
        <v>171</v>
      </c>
      <c r="C1004" s="111">
        <v>43159</v>
      </c>
      <c r="D1004" s="49">
        <v>4142.84</v>
      </c>
    </row>
    <row r="1005" spans="1:4" customFormat="1">
      <c r="A1005" t="s">
        <v>685</v>
      </c>
      <c r="B1005" t="s">
        <v>684</v>
      </c>
      <c r="C1005" s="111">
        <v>43159</v>
      </c>
      <c r="D1005" s="49">
        <v>1631.37</v>
      </c>
    </row>
    <row r="1006" spans="1:4" customFormat="1">
      <c r="A1006" t="s">
        <v>212</v>
      </c>
      <c r="B1006" t="s">
        <v>211</v>
      </c>
      <c r="C1006" s="111">
        <v>43159</v>
      </c>
      <c r="D1006" s="49">
        <v>2051.37</v>
      </c>
    </row>
    <row r="1007" spans="1:4" customFormat="1">
      <c r="A1007" t="s">
        <v>512</v>
      </c>
      <c r="B1007" t="s">
        <v>511</v>
      </c>
      <c r="C1007" s="111">
        <v>43159</v>
      </c>
      <c r="D1007" s="49">
        <v>1786.68</v>
      </c>
    </row>
    <row r="1008" spans="1:4" customFormat="1">
      <c r="A1008" t="s">
        <v>415</v>
      </c>
      <c r="B1008" t="s">
        <v>175</v>
      </c>
      <c r="C1008" s="111">
        <v>43159</v>
      </c>
      <c r="D1008" s="49">
        <v>6695.72</v>
      </c>
    </row>
    <row r="1009" spans="1:4" customFormat="1">
      <c r="A1009" t="s">
        <v>682</v>
      </c>
      <c r="B1009" t="s">
        <v>572</v>
      </c>
      <c r="C1009" s="111">
        <v>43159</v>
      </c>
      <c r="D1009" s="49">
        <v>1239.47</v>
      </c>
    </row>
    <row r="1010" spans="1:4" customFormat="1">
      <c r="A1010" t="s">
        <v>1010</v>
      </c>
      <c r="B1010" t="s">
        <v>529</v>
      </c>
      <c r="C1010" s="111">
        <v>43159</v>
      </c>
      <c r="D1010" s="49">
        <v>1408.78</v>
      </c>
    </row>
    <row r="1011" spans="1:4" customFormat="1">
      <c r="A1011" t="s">
        <v>781</v>
      </c>
      <c r="B1011" t="s">
        <v>417</v>
      </c>
      <c r="C1011" s="111">
        <v>43159</v>
      </c>
      <c r="D1011" s="49">
        <v>8000</v>
      </c>
    </row>
    <row r="1012" spans="1:4" customFormat="1">
      <c r="A1012" t="s">
        <v>916</v>
      </c>
      <c r="B1012" t="s">
        <v>141</v>
      </c>
      <c r="C1012" s="111">
        <v>43159</v>
      </c>
      <c r="D1012" s="49">
        <v>442.94</v>
      </c>
    </row>
    <row r="1013" spans="1:4" customFormat="1">
      <c r="A1013" t="s">
        <v>762</v>
      </c>
      <c r="B1013" t="s">
        <v>153</v>
      </c>
      <c r="C1013" s="111">
        <v>43159</v>
      </c>
      <c r="D1013" s="49">
        <v>4935.6000000000004</v>
      </c>
    </row>
    <row r="1014" spans="1:4" customFormat="1">
      <c r="A1014" t="s">
        <v>780</v>
      </c>
      <c r="B1014" t="s">
        <v>185</v>
      </c>
      <c r="C1014" s="111">
        <v>43159</v>
      </c>
      <c r="D1014" s="49">
        <v>2415.2199999999998</v>
      </c>
    </row>
    <row r="1015" spans="1:4" customFormat="1">
      <c r="A1015" t="s">
        <v>527</v>
      </c>
      <c r="B1015" t="s">
        <v>526</v>
      </c>
      <c r="C1015" s="111">
        <v>43159</v>
      </c>
      <c r="D1015" s="49">
        <v>895.96</v>
      </c>
    </row>
    <row r="1016" spans="1:4" customFormat="1">
      <c r="A1016" t="s">
        <v>382</v>
      </c>
      <c r="B1016" t="s">
        <v>193</v>
      </c>
      <c r="C1016" s="111">
        <v>43159</v>
      </c>
      <c r="D1016" s="49">
        <v>913</v>
      </c>
    </row>
    <row r="1017" spans="1:4" customFormat="1">
      <c r="A1017" t="s">
        <v>209</v>
      </c>
      <c r="B1017" t="s">
        <v>208</v>
      </c>
      <c r="C1017" s="111">
        <v>43159</v>
      </c>
      <c r="D1017" s="49">
        <v>2000</v>
      </c>
    </row>
    <row r="1018" spans="1:4" customFormat="1">
      <c r="A1018" t="s">
        <v>959</v>
      </c>
      <c r="B1018" t="s">
        <v>253</v>
      </c>
      <c r="C1018" s="111">
        <v>43159</v>
      </c>
      <c r="D1018" s="49">
        <v>2781.59</v>
      </c>
    </row>
    <row r="1019" spans="1:4" customFormat="1">
      <c r="A1019" t="s">
        <v>958</v>
      </c>
      <c r="B1019" t="s">
        <v>864</v>
      </c>
      <c r="C1019" s="111">
        <v>43159</v>
      </c>
      <c r="D1019" s="49">
        <v>2796.36</v>
      </c>
    </row>
    <row r="1020" spans="1:4" customFormat="1">
      <c r="A1020" t="s">
        <v>1005</v>
      </c>
      <c r="B1020" t="s">
        <v>184</v>
      </c>
      <c r="C1020" s="111">
        <v>43159</v>
      </c>
      <c r="D1020" s="49">
        <v>2315.7800000000002</v>
      </c>
    </row>
    <row r="1021" spans="1:4" customFormat="1">
      <c r="A1021" t="s">
        <v>393</v>
      </c>
      <c r="B1021" t="s">
        <v>134</v>
      </c>
      <c r="C1021" s="111">
        <v>43159</v>
      </c>
      <c r="D1021" s="49">
        <v>1000</v>
      </c>
    </row>
    <row r="1022" spans="1:4" customFormat="1">
      <c r="A1022" t="s">
        <v>139</v>
      </c>
      <c r="B1022" t="s">
        <v>138</v>
      </c>
      <c r="C1022" s="111">
        <v>43159</v>
      </c>
      <c r="D1022" s="49">
        <v>880</v>
      </c>
    </row>
    <row r="1023" spans="1:4" customFormat="1">
      <c r="A1023" t="s">
        <v>1003</v>
      </c>
      <c r="B1023" t="s">
        <v>774</v>
      </c>
      <c r="C1023" s="111">
        <v>43159</v>
      </c>
      <c r="D1023" s="49">
        <v>1635.41</v>
      </c>
    </row>
    <row r="1024" spans="1:4" customFormat="1">
      <c r="A1024" t="s">
        <v>519</v>
      </c>
      <c r="B1024" t="s">
        <v>484</v>
      </c>
      <c r="C1024" s="111">
        <v>43159</v>
      </c>
      <c r="D1024" s="49">
        <v>1627.49</v>
      </c>
    </row>
    <row r="1025" spans="1:4" customFormat="1">
      <c r="A1025" t="s">
        <v>365</v>
      </c>
      <c r="B1025" t="s">
        <v>186</v>
      </c>
      <c r="C1025" s="111">
        <v>43159</v>
      </c>
      <c r="D1025" s="49">
        <v>1500</v>
      </c>
    </row>
    <row r="1026" spans="1:4" customFormat="1">
      <c r="A1026" t="s">
        <v>575</v>
      </c>
      <c r="B1026" t="s">
        <v>186</v>
      </c>
      <c r="C1026" s="111">
        <v>43159</v>
      </c>
      <c r="D1026" s="49">
        <v>800</v>
      </c>
    </row>
    <row r="1027" spans="1:4" customFormat="1">
      <c r="A1027" t="s">
        <v>956</v>
      </c>
      <c r="B1027" t="s">
        <v>152</v>
      </c>
      <c r="C1027" s="111">
        <v>43159</v>
      </c>
      <c r="D1027" s="49">
        <v>1850</v>
      </c>
    </row>
    <row r="1028" spans="1:4" customFormat="1">
      <c r="A1028" t="s">
        <v>163</v>
      </c>
      <c r="B1028" t="s">
        <v>162</v>
      </c>
      <c r="C1028" s="111">
        <v>43159</v>
      </c>
      <c r="D1028" s="49">
        <v>1500</v>
      </c>
    </row>
    <row r="1029" spans="1:4" customFormat="1">
      <c r="A1029" t="s">
        <v>179</v>
      </c>
      <c r="B1029" t="s">
        <v>178</v>
      </c>
      <c r="C1029" s="111">
        <v>43159</v>
      </c>
      <c r="D1029" s="49">
        <v>3508.71</v>
      </c>
    </row>
    <row r="1030" spans="1:4" customFormat="1">
      <c r="A1030" t="s">
        <v>322</v>
      </c>
      <c r="B1030" t="s">
        <v>323</v>
      </c>
      <c r="C1030" s="111">
        <v>43159</v>
      </c>
      <c r="D1030" s="49">
        <v>6727.59</v>
      </c>
    </row>
    <row r="1031" spans="1:4" customFormat="1">
      <c r="A1031" t="s">
        <v>413</v>
      </c>
      <c r="B1031" t="s">
        <v>405</v>
      </c>
      <c r="C1031" s="111">
        <v>43159</v>
      </c>
      <c r="D1031" s="49">
        <v>600</v>
      </c>
    </row>
    <row r="1032" spans="1:4" customFormat="1">
      <c r="A1032" s="863" t="s">
        <v>745</v>
      </c>
      <c r="B1032" s="863" t="s">
        <v>1259</v>
      </c>
      <c r="C1032" s="862">
        <v>43159</v>
      </c>
      <c r="D1032" s="866">
        <v>1886.124</v>
      </c>
    </row>
    <row r="1033" spans="1:4" customFormat="1">
      <c r="A1033" s="863" t="s">
        <v>370</v>
      </c>
      <c r="B1033" s="863" t="s">
        <v>371</v>
      </c>
      <c r="C1033" s="862">
        <v>43159</v>
      </c>
      <c r="D1033" s="866">
        <v>3847.5949999999998</v>
      </c>
    </row>
    <row r="1034" spans="1:4" customFormat="1">
      <c r="A1034" s="863" t="s">
        <v>257</v>
      </c>
      <c r="B1034" s="863" t="s">
        <v>256</v>
      </c>
      <c r="C1034" s="862">
        <v>43159</v>
      </c>
      <c r="D1034" s="866">
        <v>626.99300000000005</v>
      </c>
    </row>
    <row r="1035" spans="1:4" customFormat="1">
      <c r="A1035" s="863" t="s">
        <v>1146</v>
      </c>
      <c r="B1035" s="863" t="s">
        <v>173</v>
      </c>
      <c r="C1035" s="862">
        <v>43159</v>
      </c>
      <c r="D1035" s="866">
        <v>1871.8</v>
      </c>
    </row>
    <row r="1036" spans="1:4" customFormat="1">
      <c r="A1036" s="863" t="s">
        <v>770</v>
      </c>
      <c r="B1036" s="863" t="s">
        <v>1139</v>
      </c>
      <c r="C1036" s="862">
        <v>43159</v>
      </c>
      <c r="D1036" s="866">
        <v>2659.2869999999998</v>
      </c>
    </row>
    <row r="1037" spans="1:4" customFormat="1">
      <c r="A1037" s="863" t="s">
        <v>458</v>
      </c>
      <c r="B1037" s="863" t="s">
        <v>187</v>
      </c>
      <c r="C1037" s="862">
        <v>43159</v>
      </c>
      <c r="D1037" s="866">
        <v>3000</v>
      </c>
    </row>
    <row r="1038" spans="1:4" customFormat="1">
      <c r="A1038" s="863" t="s">
        <v>924</v>
      </c>
      <c r="B1038" s="863" t="s">
        <v>176</v>
      </c>
      <c r="C1038" s="862">
        <v>43159</v>
      </c>
      <c r="D1038" s="866">
        <v>1516.432</v>
      </c>
    </row>
    <row r="1039" spans="1:4" customFormat="1">
      <c r="A1039" s="863" t="s">
        <v>688</v>
      </c>
      <c r="B1039" s="863" t="s">
        <v>177</v>
      </c>
      <c r="C1039" s="862">
        <v>43159</v>
      </c>
      <c r="D1039" s="866">
        <v>1790</v>
      </c>
    </row>
    <row r="1040" spans="1:4" customFormat="1">
      <c r="A1040" s="863" t="s">
        <v>643</v>
      </c>
      <c r="B1040" s="863" t="s">
        <v>1135</v>
      </c>
      <c r="C1040" s="862">
        <v>43159</v>
      </c>
      <c r="D1040" s="866">
        <v>685</v>
      </c>
    </row>
    <row r="1041" spans="1:4" customFormat="1" ht="15.75" thickBot="1">
      <c r="A1041" s="863" t="s">
        <v>541</v>
      </c>
      <c r="B1041" s="863" t="s">
        <v>194</v>
      </c>
      <c r="C1041" s="862">
        <v>43159</v>
      </c>
      <c r="D1041" s="866">
        <v>771.31799999999998</v>
      </c>
    </row>
    <row r="1042" spans="1:4" ht="15.75" thickBot="1">
      <c r="A1042" s="919" t="s">
        <v>1023</v>
      </c>
      <c r="B1042" s="920"/>
      <c r="C1042" s="920"/>
      <c r="D1042" s="796">
        <f>SUM(D833:D1041)</f>
        <v>421145.234</v>
      </c>
    </row>
    <row r="1043" spans="1:4" customFormat="1">
      <c r="A1043" s="863" t="s">
        <v>163</v>
      </c>
      <c r="B1043" s="863" t="s">
        <v>162</v>
      </c>
      <c r="C1043" s="862">
        <v>43160</v>
      </c>
      <c r="D1043" s="866">
        <v>1902.123</v>
      </c>
    </row>
    <row r="1044" spans="1:4" customFormat="1">
      <c r="A1044" t="s">
        <v>481</v>
      </c>
      <c r="B1044" t="s">
        <v>482</v>
      </c>
      <c r="C1044" s="111">
        <v>43161</v>
      </c>
      <c r="D1044" s="49">
        <v>1080</v>
      </c>
    </row>
    <row r="1045" spans="1:4" customFormat="1">
      <c r="A1045" s="863" t="s">
        <v>147</v>
      </c>
      <c r="B1045" s="863" t="s">
        <v>1262</v>
      </c>
      <c r="C1045" s="862">
        <v>43161</v>
      </c>
      <c r="D1045" s="866">
        <v>1400</v>
      </c>
    </row>
    <row r="1046" spans="1:4" customFormat="1">
      <c r="A1046" t="s">
        <v>916</v>
      </c>
      <c r="B1046" t="s">
        <v>141</v>
      </c>
      <c r="C1046" s="111">
        <v>43162</v>
      </c>
      <c r="D1046" s="49">
        <v>900</v>
      </c>
    </row>
    <row r="1047" spans="1:4" customFormat="1">
      <c r="A1047" t="s">
        <v>314</v>
      </c>
      <c r="B1047" t="s">
        <v>315</v>
      </c>
      <c r="C1047" s="111">
        <v>43164</v>
      </c>
      <c r="D1047" s="49">
        <v>2000</v>
      </c>
    </row>
    <row r="1048" spans="1:4" customFormat="1">
      <c r="A1048" t="s">
        <v>203</v>
      </c>
      <c r="B1048" t="s">
        <v>202</v>
      </c>
      <c r="C1048" s="111">
        <v>43164</v>
      </c>
      <c r="D1048" s="49">
        <v>2900</v>
      </c>
    </row>
    <row r="1049" spans="1:4" customFormat="1">
      <c r="A1049" t="s">
        <v>312</v>
      </c>
      <c r="B1049" t="s">
        <v>313</v>
      </c>
      <c r="C1049" s="111">
        <v>43164</v>
      </c>
      <c r="D1049" s="49">
        <v>880</v>
      </c>
    </row>
    <row r="1050" spans="1:4" customFormat="1">
      <c r="A1050" t="s">
        <v>226</v>
      </c>
      <c r="B1050" t="s">
        <v>225</v>
      </c>
      <c r="C1050" s="111">
        <v>43164</v>
      </c>
      <c r="D1050" s="49">
        <v>1693.87</v>
      </c>
    </row>
    <row r="1051" spans="1:4" customFormat="1">
      <c r="A1051" t="s">
        <v>338</v>
      </c>
      <c r="B1051" t="s">
        <v>337</v>
      </c>
      <c r="C1051" s="111">
        <v>43164</v>
      </c>
      <c r="D1051" s="49">
        <v>2088.73</v>
      </c>
    </row>
    <row r="1052" spans="1:4" customFormat="1">
      <c r="A1052" t="s">
        <v>916</v>
      </c>
      <c r="B1052" t="s">
        <v>141</v>
      </c>
      <c r="C1052" s="111">
        <v>43164</v>
      </c>
      <c r="D1052" s="49">
        <v>900</v>
      </c>
    </row>
    <row r="1053" spans="1:4" customFormat="1">
      <c r="A1053" t="s">
        <v>445</v>
      </c>
      <c r="B1053" t="s">
        <v>216</v>
      </c>
      <c r="C1053" s="111">
        <v>43164</v>
      </c>
      <c r="D1053" s="49">
        <v>1985.2</v>
      </c>
    </row>
    <row r="1054" spans="1:4" customFormat="1">
      <c r="A1054" t="s">
        <v>957</v>
      </c>
      <c r="B1054" t="s">
        <v>199</v>
      </c>
      <c r="C1054" s="111">
        <v>43164</v>
      </c>
      <c r="D1054" s="49">
        <v>2609.09</v>
      </c>
    </row>
    <row r="1055" spans="1:4" customFormat="1">
      <c r="A1055" t="s">
        <v>163</v>
      </c>
      <c r="B1055" t="s">
        <v>162</v>
      </c>
      <c r="C1055" s="111">
        <v>43164</v>
      </c>
      <c r="D1055" s="49">
        <v>2000</v>
      </c>
    </row>
    <row r="1056" spans="1:4" customFormat="1">
      <c r="A1056" s="863" t="s">
        <v>151</v>
      </c>
      <c r="B1056" s="863" t="s">
        <v>1143</v>
      </c>
      <c r="C1056" s="862">
        <v>43164</v>
      </c>
      <c r="D1056" s="866">
        <v>8758.2990000000009</v>
      </c>
    </row>
    <row r="1057" spans="1:4" customFormat="1">
      <c r="A1057" s="863" t="s">
        <v>643</v>
      </c>
      <c r="B1057" s="863" t="s">
        <v>1135</v>
      </c>
      <c r="C1057" s="862">
        <v>43165</v>
      </c>
      <c r="D1057" s="866">
        <v>580</v>
      </c>
    </row>
    <row r="1058" spans="1:4" customFormat="1">
      <c r="A1058" s="863" t="s">
        <v>147</v>
      </c>
      <c r="B1058" s="863" t="s">
        <v>1262</v>
      </c>
      <c r="C1058" s="862">
        <v>43166</v>
      </c>
      <c r="D1058" s="866">
        <v>1400</v>
      </c>
    </row>
    <row r="1059" spans="1:4" customFormat="1">
      <c r="A1059" t="s">
        <v>916</v>
      </c>
      <c r="B1059" t="s">
        <v>141</v>
      </c>
      <c r="C1059" s="111">
        <v>43167</v>
      </c>
      <c r="D1059" s="49">
        <v>900</v>
      </c>
    </row>
    <row r="1060" spans="1:4" customFormat="1">
      <c r="A1060" t="s">
        <v>139</v>
      </c>
      <c r="B1060" t="s">
        <v>138</v>
      </c>
      <c r="C1060" s="111">
        <v>43167</v>
      </c>
      <c r="D1060" s="49">
        <v>904.67</v>
      </c>
    </row>
    <row r="1061" spans="1:4" customFormat="1">
      <c r="A1061" s="863" t="s">
        <v>163</v>
      </c>
      <c r="B1061" s="863" t="s">
        <v>162</v>
      </c>
      <c r="C1061" s="862">
        <v>43167</v>
      </c>
      <c r="D1061" s="866">
        <v>1500</v>
      </c>
    </row>
    <row r="1062" spans="1:4" customFormat="1">
      <c r="A1062" t="s">
        <v>149</v>
      </c>
      <c r="B1062" t="s">
        <v>148</v>
      </c>
      <c r="C1062" s="111">
        <v>43169</v>
      </c>
      <c r="D1062" s="49">
        <v>2518.88</v>
      </c>
    </row>
    <row r="1063" spans="1:4" customFormat="1">
      <c r="A1063" t="s">
        <v>536</v>
      </c>
      <c r="B1063" t="s">
        <v>535</v>
      </c>
      <c r="C1063" s="111">
        <v>43169</v>
      </c>
      <c r="D1063" s="49">
        <v>2164</v>
      </c>
    </row>
    <row r="1064" spans="1:4" customFormat="1">
      <c r="A1064" t="s">
        <v>946</v>
      </c>
      <c r="B1064" t="s">
        <v>546</v>
      </c>
      <c r="C1064" s="111">
        <v>43169</v>
      </c>
      <c r="D1064" s="49">
        <v>1772.03</v>
      </c>
    </row>
    <row r="1065" spans="1:4" customFormat="1">
      <c r="A1065" t="s">
        <v>314</v>
      </c>
      <c r="B1065" t="s">
        <v>315</v>
      </c>
      <c r="C1065" s="111">
        <v>43169</v>
      </c>
      <c r="D1065" s="49">
        <v>2000</v>
      </c>
    </row>
    <row r="1066" spans="1:4" customFormat="1">
      <c r="A1066" t="s">
        <v>203</v>
      </c>
      <c r="B1066" t="s">
        <v>202</v>
      </c>
      <c r="C1066" s="111">
        <v>43169</v>
      </c>
      <c r="D1066" s="49">
        <v>2875.46</v>
      </c>
    </row>
    <row r="1067" spans="1:4" customFormat="1">
      <c r="A1067" t="s">
        <v>165</v>
      </c>
      <c r="B1067" t="s">
        <v>164</v>
      </c>
      <c r="C1067" s="111">
        <v>43169</v>
      </c>
      <c r="D1067" s="49">
        <v>5917.74</v>
      </c>
    </row>
    <row r="1068" spans="1:4" customFormat="1">
      <c r="A1068" t="s">
        <v>446</v>
      </c>
      <c r="B1068" t="s">
        <v>188</v>
      </c>
      <c r="C1068" s="111">
        <v>43169</v>
      </c>
      <c r="D1068" s="49">
        <v>4115.6499999999996</v>
      </c>
    </row>
    <row r="1069" spans="1:4" customFormat="1">
      <c r="A1069" t="s">
        <v>519</v>
      </c>
      <c r="B1069" t="s">
        <v>484</v>
      </c>
      <c r="C1069" s="111">
        <v>43169</v>
      </c>
      <c r="D1069" s="49">
        <v>1627.49</v>
      </c>
    </row>
    <row r="1070" spans="1:4" customFormat="1">
      <c r="A1070" s="863" t="s">
        <v>159</v>
      </c>
      <c r="B1070" s="863" t="s">
        <v>158</v>
      </c>
      <c r="C1070" s="862">
        <v>43169</v>
      </c>
      <c r="D1070" s="866">
        <v>1013.0309999999999</v>
      </c>
    </row>
    <row r="1071" spans="1:4" customFormat="1">
      <c r="A1071" t="s">
        <v>825</v>
      </c>
      <c r="B1071" t="s">
        <v>293</v>
      </c>
      <c r="C1071" s="111">
        <v>43170</v>
      </c>
      <c r="D1071" s="49">
        <v>1359.65</v>
      </c>
    </row>
    <row r="1072" spans="1:4" customFormat="1">
      <c r="A1072" s="863" t="s">
        <v>756</v>
      </c>
      <c r="B1072" s="863" t="s">
        <v>391</v>
      </c>
      <c r="C1072" s="862">
        <v>43170</v>
      </c>
      <c r="D1072" s="866">
        <v>775.11099999999999</v>
      </c>
    </row>
    <row r="1073" spans="1:4" customFormat="1">
      <c r="A1073" s="863" t="s">
        <v>1155</v>
      </c>
      <c r="B1073" s="863" t="s">
        <v>1154</v>
      </c>
      <c r="C1073" s="862">
        <v>43170</v>
      </c>
      <c r="D1073" s="866">
        <v>1209</v>
      </c>
    </row>
    <row r="1074" spans="1:4" customFormat="1">
      <c r="A1074" s="863" t="s">
        <v>643</v>
      </c>
      <c r="B1074" s="863" t="s">
        <v>1135</v>
      </c>
      <c r="C1074" s="862">
        <v>43171</v>
      </c>
      <c r="D1074" s="866">
        <v>590</v>
      </c>
    </row>
    <row r="1075" spans="1:4" customFormat="1">
      <c r="A1075" s="863" t="s">
        <v>163</v>
      </c>
      <c r="B1075" s="863" t="s">
        <v>162</v>
      </c>
      <c r="C1075" s="862">
        <v>43171</v>
      </c>
      <c r="D1075" s="866">
        <v>1500</v>
      </c>
    </row>
    <row r="1076" spans="1:4" customFormat="1">
      <c r="A1076" t="s">
        <v>948</v>
      </c>
      <c r="B1076" t="s">
        <v>947</v>
      </c>
      <c r="C1076" s="111">
        <v>43174</v>
      </c>
      <c r="D1076" s="49">
        <v>1400</v>
      </c>
    </row>
    <row r="1077" spans="1:4" customFormat="1">
      <c r="A1077" t="s">
        <v>314</v>
      </c>
      <c r="B1077" t="s">
        <v>315</v>
      </c>
      <c r="C1077" s="111">
        <v>43174</v>
      </c>
      <c r="D1077" s="49">
        <v>2000</v>
      </c>
    </row>
    <row r="1078" spans="1:4" customFormat="1">
      <c r="A1078" t="s">
        <v>312</v>
      </c>
      <c r="B1078" t="s">
        <v>313</v>
      </c>
      <c r="C1078" s="111">
        <v>43174</v>
      </c>
      <c r="D1078" s="49">
        <v>880</v>
      </c>
    </row>
    <row r="1079" spans="1:4" customFormat="1">
      <c r="A1079" t="s">
        <v>209</v>
      </c>
      <c r="B1079" t="s">
        <v>208</v>
      </c>
      <c r="C1079" s="111">
        <v>43174</v>
      </c>
      <c r="D1079" s="49">
        <v>6073.85</v>
      </c>
    </row>
    <row r="1080" spans="1:4" customFormat="1">
      <c r="A1080" t="s">
        <v>365</v>
      </c>
      <c r="B1080" t="s">
        <v>186</v>
      </c>
      <c r="C1080" s="111">
        <v>43174</v>
      </c>
      <c r="D1080" s="49">
        <v>990.5</v>
      </c>
    </row>
    <row r="1081" spans="1:4" customFormat="1">
      <c r="A1081" t="s">
        <v>365</v>
      </c>
      <c r="B1081" t="s">
        <v>186</v>
      </c>
      <c r="C1081" s="111">
        <v>43174</v>
      </c>
      <c r="D1081" s="49">
        <v>800</v>
      </c>
    </row>
    <row r="1082" spans="1:4" customFormat="1">
      <c r="A1082" t="s">
        <v>956</v>
      </c>
      <c r="B1082" t="s">
        <v>152</v>
      </c>
      <c r="C1082" s="111">
        <v>43174</v>
      </c>
      <c r="D1082" s="49">
        <v>1850</v>
      </c>
    </row>
    <row r="1083" spans="1:4" customFormat="1">
      <c r="A1083" t="s">
        <v>928</v>
      </c>
      <c r="B1083" t="s">
        <v>140</v>
      </c>
      <c r="C1083" s="111">
        <v>43174</v>
      </c>
      <c r="D1083" s="49">
        <v>4177.51</v>
      </c>
    </row>
    <row r="1084" spans="1:4" customFormat="1">
      <c r="A1084" s="863" t="s">
        <v>485</v>
      </c>
      <c r="B1084" s="863" t="s">
        <v>486</v>
      </c>
      <c r="C1084" s="862">
        <v>43174</v>
      </c>
      <c r="D1084" s="866">
        <v>1300</v>
      </c>
    </row>
    <row r="1085" spans="1:4" customFormat="1">
      <c r="A1085" t="s">
        <v>207</v>
      </c>
      <c r="B1085" t="s">
        <v>206</v>
      </c>
      <c r="C1085" s="111">
        <v>43175</v>
      </c>
      <c r="D1085" s="49">
        <v>2525.35</v>
      </c>
    </row>
    <row r="1086" spans="1:4" customFormat="1">
      <c r="A1086" s="863" t="s">
        <v>147</v>
      </c>
      <c r="B1086" s="863" t="s">
        <v>1262</v>
      </c>
      <c r="C1086" s="862">
        <v>43175</v>
      </c>
      <c r="D1086" s="866">
        <v>1400</v>
      </c>
    </row>
    <row r="1087" spans="1:4" customFormat="1">
      <c r="A1087" s="863" t="s">
        <v>163</v>
      </c>
      <c r="B1087" s="863" t="s">
        <v>162</v>
      </c>
      <c r="C1087" s="862">
        <v>43175</v>
      </c>
      <c r="D1087" s="866">
        <v>1500</v>
      </c>
    </row>
    <row r="1088" spans="1:4" customFormat="1">
      <c r="A1088" t="s">
        <v>653</v>
      </c>
      <c r="B1088" t="s">
        <v>654</v>
      </c>
      <c r="C1088" s="111">
        <v>43176</v>
      </c>
      <c r="D1088" s="49">
        <v>790.84</v>
      </c>
    </row>
    <row r="1089" spans="1:4" customFormat="1">
      <c r="A1089" t="s">
        <v>825</v>
      </c>
      <c r="B1089" t="s">
        <v>293</v>
      </c>
      <c r="C1089" s="111">
        <v>43177</v>
      </c>
      <c r="D1089" s="49">
        <v>1359.65</v>
      </c>
    </row>
    <row r="1090" spans="1:4" customFormat="1">
      <c r="A1090" t="s">
        <v>393</v>
      </c>
      <c r="B1090" t="s">
        <v>134</v>
      </c>
      <c r="C1090" s="111">
        <v>43177</v>
      </c>
      <c r="D1090" s="49">
        <v>1000</v>
      </c>
    </row>
    <row r="1091" spans="1:4" customFormat="1">
      <c r="A1091" s="863" t="s">
        <v>643</v>
      </c>
      <c r="B1091" s="863" t="s">
        <v>1135</v>
      </c>
      <c r="C1091" s="862">
        <v>43177</v>
      </c>
      <c r="D1091" s="866">
        <v>600</v>
      </c>
    </row>
    <row r="1092" spans="1:4" customFormat="1">
      <c r="A1092" t="s">
        <v>314</v>
      </c>
      <c r="B1092" t="s">
        <v>315</v>
      </c>
      <c r="C1092" s="111">
        <v>43179</v>
      </c>
      <c r="D1092" s="49">
        <v>2000</v>
      </c>
    </row>
    <row r="1093" spans="1:4" customFormat="1">
      <c r="A1093" t="s">
        <v>393</v>
      </c>
      <c r="B1093" t="s">
        <v>134</v>
      </c>
      <c r="C1093" s="111">
        <v>43179</v>
      </c>
      <c r="D1093" s="49">
        <v>1000</v>
      </c>
    </row>
    <row r="1094" spans="1:4" customFormat="1">
      <c r="A1094" t="s">
        <v>365</v>
      </c>
      <c r="B1094" t="s">
        <v>186</v>
      </c>
      <c r="C1094" s="111">
        <v>43179</v>
      </c>
      <c r="D1094" s="49">
        <v>400</v>
      </c>
    </row>
    <row r="1095" spans="1:4" customFormat="1">
      <c r="A1095" s="863" t="s">
        <v>147</v>
      </c>
      <c r="B1095" s="863" t="s">
        <v>1262</v>
      </c>
      <c r="C1095" s="862">
        <v>43179</v>
      </c>
      <c r="D1095" s="866">
        <v>1437.0509999999999</v>
      </c>
    </row>
    <row r="1096" spans="1:4" customFormat="1">
      <c r="A1096" s="863" t="s">
        <v>458</v>
      </c>
      <c r="B1096" s="863" t="s">
        <v>187</v>
      </c>
      <c r="C1096" s="862">
        <v>43179</v>
      </c>
      <c r="D1096" s="866">
        <v>3000</v>
      </c>
    </row>
    <row r="1097" spans="1:4" customFormat="1">
      <c r="A1097" s="863" t="s">
        <v>688</v>
      </c>
      <c r="B1097" s="863" t="s">
        <v>177</v>
      </c>
      <c r="C1097" s="862">
        <v>43179</v>
      </c>
      <c r="D1097" s="866">
        <v>1790.6690000000001</v>
      </c>
    </row>
    <row r="1098" spans="1:4" customFormat="1">
      <c r="A1098" s="863" t="s">
        <v>1237</v>
      </c>
      <c r="B1098" s="863" t="s">
        <v>418</v>
      </c>
      <c r="C1098" s="862">
        <v>43180</v>
      </c>
      <c r="D1098" s="866">
        <v>541.95100000000002</v>
      </c>
    </row>
    <row r="1099" spans="1:4" customFormat="1">
      <c r="A1099" s="863" t="s">
        <v>163</v>
      </c>
      <c r="B1099" s="863" t="s">
        <v>162</v>
      </c>
      <c r="C1099" s="862">
        <v>43182</v>
      </c>
      <c r="D1099" s="866">
        <v>1500</v>
      </c>
    </row>
    <row r="1100" spans="1:4" customFormat="1">
      <c r="A1100" s="863" t="s">
        <v>643</v>
      </c>
      <c r="B1100" s="863" t="s">
        <v>1135</v>
      </c>
      <c r="C1100" s="862">
        <v>43183</v>
      </c>
      <c r="D1100" s="866">
        <v>570</v>
      </c>
    </row>
    <row r="1101" spans="1:4" customFormat="1">
      <c r="A1101" t="s">
        <v>948</v>
      </c>
      <c r="B1101" t="s">
        <v>947</v>
      </c>
      <c r="C1101" s="111">
        <v>43184</v>
      </c>
      <c r="D1101" s="49">
        <v>1400</v>
      </c>
    </row>
    <row r="1102" spans="1:4" customFormat="1">
      <c r="A1102" t="s">
        <v>314</v>
      </c>
      <c r="B1102" t="s">
        <v>315</v>
      </c>
      <c r="C1102" s="111">
        <v>43184</v>
      </c>
      <c r="D1102" s="49">
        <v>2000</v>
      </c>
    </row>
    <row r="1103" spans="1:4" customFormat="1">
      <c r="A1103" t="s">
        <v>393</v>
      </c>
      <c r="B1103" t="s">
        <v>134</v>
      </c>
      <c r="C1103" s="111">
        <v>43185</v>
      </c>
      <c r="D1103" s="49">
        <v>1000</v>
      </c>
    </row>
    <row r="1104" spans="1:4" customFormat="1">
      <c r="A1104" t="s">
        <v>137</v>
      </c>
      <c r="B1104" t="s">
        <v>136</v>
      </c>
      <c r="C1104" s="111">
        <v>43186</v>
      </c>
      <c r="D1104" s="49">
        <v>11370.89</v>
      </c>
    </row>
    <row r="1105" spans="1:4" customFormat="1">
      <c r="A1105" s="863" t="s">
        <v>1247</v>
      </c>
      <c r="B1105" s="863" t="s">
        <v>1246</v>
      </c>
      <c r="C1105" s="862">
        <v>43186</v>
      </c>
      <c r="D1105" s="866">
        <v>1702.047</v>
      </c>
    </row>
    <row r="1106" spans="1:4" customFormat="1">
      <c r="A1106" s="863" t="s">
        <v>163</v>
      </c>
      <c r="B1106" s="863" t="s">
        <v>162</v>
      </c>
      <c r="C1106" s="862">
        <v>43186</v>
      </c>
      <c r="D1106" s="866">
        <v>1500</v>
      </c>
    </row>
    <row r="1107" spans="1:4" customFormat="1">
      <c r="A1107" t="s">
        <v>393</v>
      </c>
      <c r="B1107" t="s">
        <v>134</v>
      </c>
      <c r="C1107" s="111">
        <v>43187</v>
      </c>
      <c r="D1107" s="49">
        <v>1000</v>
      </c>
    </row>
    <row r="1108" spans="1:4" customFormat="1">
      <c r="A1108" t="s">
        <v>314</v>
      </c>
      <c r="B1108" t="s">
        <v>315</v>
      </c>
      <c r="C1108" s="111">
        <v>43189</v>
      </c>
      <c r="D1108" s="49">
        <v>2264.38</v>
      </c>
    </row>
    <row r="1109" spans="1:4" customFormat="1">
      <c r="A1109" t="s">
        <v>393</v>
      </c>
      <c r="B1109" t="s">
        <v>134</v>
      </c>
      <c r="C1109" s="111">
        <v>43189</v>
      </c>
      <c r="D1109" s="49">
        <v>1000</v>
      </c>
    </row>
    <row r="1110" spans="1:4" customFormat="1">
      <c r="A1110" t="s">
        <v>365</v>
      </c>
      <c r="B1110" t="s">
        <v>186</v>
      </c>
      <c r="C1110" s="111">
        <v>43189</v>
      </c>
      <c r="D1110" s="49">
        <v>855</v>
      </c>
    </row>
    <row r="1111" spans="1:4" customFormat="1">
      <c r="A1111" t="s">
        <v>365</v>
      </c>
      <c r="B1111" t="s">
        <v>186</v>
      </c>
      <c r="C1111" s="111">
        <v>43189</v>
      </c>
      <c r="D1111" s="49">
        <v>925</v>
      </c>
    </row>
    <row r="1112" spans="1:4" customFormat="1">
      <c r="A1112" s="863" t="s">
        <v>1231</v>
      </c>
      <c r="B1112" s="863" t="s">
        <v>1232</v>
      </c>
      <c r="C1112" s="862">
        <v>43189</v>
      </c>
      <c r="D1112" s="866">
        <v>1387.3330000000001</v>
      </c>
    </row>
    <row r="1113" spans="1:4" customFormat="1">
      <c r="A1113" t="s">
        <v>207</v>
      </c>
      <c r="B1113" t="s">
        <v>206</v>
      </c>
      <c r="C1113" s="111">
        <v>43190</v>
      </c>
      <c r="D1113" s="49">
        <v>2863</v>
      </c>
    </row>
    <row r="1114" spans="1:4" customFormat="1">
      <c r="A1114" t="s">
        <v>653</v>
      </c>
      <c r="B1114" t="s">
        <v>654</v>
      </c>
      <c r="C1114" s="111">
        <v>43190</v>
      </c>
      <c r="D1114" s="49">
        <v>790.84</v>
      </c>
    </row>
    <row r="1115" spans="1:4" customFormat="1">
      <c r="A1115" t="s">
        <v>209</v>
      </c>
      <c r="B1115" t="s">
        <v>208</v>
      </c>
      <c r="C1115" s="111">
        <v>43190</v>
      </c>
      <c r="D1115" s="49">
        <v>2000</v>
      </c>
    </row>
    <row r="1116" spans="1:4" customFormat="1">
      <c r="A1116" t="s">
        <v>393</v>
      </c>
      <c r="B1116" t="s">
        <v>134</v>
      </c>
      <c r="C1116" s="111">
        <v>43190</v>
      </c>
      <c r="D1116" s="49">
        <v>1000</v>
      </c>
    </row>
    <row r="1117" spans="1:4" customFormat="1">
      <c r="A1117" t="s">
        <v>956</v>
      </c>
      <c r="B1117" t="s">
        <v>152</v>
      </c>
      <c r="C1117" s="111">
        <v>43190</v>
      </c>
      <c r="D1117" s="49">
        <v>1918.59</v>
      </c>
    </row>
    <row r="1118" spans="1:4" customFormat="1">
      <c r="A1118" s="863" t="s">
        <v>149</v>
      </c>
      <c r="B1118" s="863" t="s">
        <v>148</v>
      </c>
      <c r="C1118" s="862">
        <v>43190</v>
      </c>
      <c r="D1118" s="866">
        <v>2892.0390000000002</v>
      </c>
    </row>
    <row r="1119" spans="1:4" customFormat="1">
      <c r="A1119" s="863" t="s">
        <v>485</v>
      </c>
      <c r="B1119" s="863" t="s">
        <v>486</v>
      </c>
      <c r="C1119" s="862">
        <v>43190</v>
      </c>
      <c r="D1119" s="866">
        <v>1364.67</v>
      </c>
    </row>
    <row r="1120" spans="1:4" customFormat="1">
      <c r="A1120" s="863" t="s">
        <v>512</v>
      </c>
      <c r="B1120" s="863" t="s">
        <v>1246</v>
      </c>
      <c r="C1120" s="862">
        <v>43190</v>
      </c>
      <c r="D1120" s="866">
        <v>1700</v>
      </c>
    </row>
    <row r="1121" spans="1:4" customFormat="1">
      <c r="A1121" s="863" t="s">
        <v>510</v>
      </c>
      <c r="B1121" s="863" t="s">
        <v>141</v>
      </c>
      <c r="C1121" s="862">
        <v>43190</v>
      </c>
      <c r="D1121" s="866">
        <v>300</v>
      </c>
    </row>
    <row r="1122" spans="1:4" customFormat="1">
      <c r="A1122" s="863" t="s">
        <v>643</v>
      </c>
      <c r="B1122" s="863" t="s">
        <v>1135</v>
      </c>
      <c r="C1122" s="862">
        <v>43190</v>
      </c>
      <c r="D1122" s="866">
        <v>545.13599999999997</v>
      </c>
    </row>
    <row r="1123" spans="1:4" customFormat="1" ht="15.75" thickBot="1">
      <c r="A1123" s="863" t="s">
        <v>163</v>
      </c>
      <c r="B1123" s="863" t="s">
        <v>162</v>
      </c>
      <c r="C1123" s="862">
        <v>43190</v>
      </c>
      <c r="D1123" s="866">
        <v>1500</v>
      </c>
    </row>
    <row r="1124" spans="1:4" ht="15.75" thickBot="1">
      <c r="A1124" s="919" t="s">
        <v>1024</v>
      </c>
      <c r="B1124" s="920"/>
      <c r="C1124" s="920"/>
      <c r="D1124" s="796">
        <f>SUM(D1043:D1123)</f>
        <v>149986.32</v>
      </c>
    </row>
    <row r="1125" spans="1:4" customFormat="1">
      <c r="A1125" s="863" t="s">
        <v>510</v>
      </c>
      <c r="B1125" s="863" t="s">
        <v>141</v>
      </c>
      <c r="C1125" s="862">
        <v>43193</v>
      </c>
      <c r="D1125" s="866">
        <v>900</v>
      </c>
    </row>
    <row r="1126" spans="1:4" customFormat="1">
      <c r="A1126" t="s">
        <v>1065</v>
      </c>
      <c r="B1126" t="s">
        <v>1064</v>
      </c>
      <c r="C1126" s="111">
        <v>43195</v>
      </c>
      <c r="D1126" s="49">
        <v>1290.6400000000001</v>
      </c>
    </row>
    <row r="1127" spans="1:4" customFormat="1">
      <c r="A1127" s="863" t="s">
        <v>510</v>
      </c>
      <c r="B1127" s="863" t="s">
        <v>141</v>
      </c>
      <c r="C1127" s="862">
        <v>43195</v>
      </c>
      <c r="D1127" s="866">
        <v>518.81200000000001</v>
      </c>
    </row>
    <row r="1128" spans="1:4" customFormat="1">
      <c r="A1128" s="863" t="s">
        <v>163</v>
      </c>
      <c r="B1128" s="863" t="s">
        <v>162</v>
      </c>
      <c r="C1128" s="862">
        <v>43196</v>
      </c>
      <c r="D1128" s="866">
        <v>1500</v>
      </c>
    </row>
    <row r="1129" spans="1:4" customFormat="1">
      <c r="A1129" s="863" t="s">
        <v>510</v>
      </c>
      <c r="B1129" s="863" t="s">
        <v>141</v>
      </c>
      <c r="C1129" s="862">
        <v>43198</v>
      </c>
      <c r="D1129" s="866">
        <v>900</v>
      </c>
    </row>
    <row r="1130" spans="1:4" customFormat="1">
      <c r="A1130" s="863" t="s">
        <v>510</v>
      </c>
      <c r="B1130" s="863" t="s">
        <v>141</v>
      </c>
      <c r="C1130" s="862">
        <v>43200</v>
      </c>
      <c r="D1130" s="866">
        <v>900</v>
      </c>
    </row>
    <row r="1131" spans="1:4" customFormat="1">
      <c r="A1131" t="s">
        <v>1065</v>
      </c>
      <c r="B1131" t="s">
        <v>1064</v>
      </c>
      <c r="C1131" s="111">
        <v>43205</v>
      </c>
      <c r="D1131" s="49">
        <v>1300</v>
      </c>
    </row>
    <row r="1132" spans="1:4" customFormat="1">
      <c r="A1132" t="s">
        <v>207</v>
      </c>
      <c r="B1132" t="s">
        <v>206</v>
      </c>
      <c r="C1132" s="111">
        <v>43205</v>
      </c>
      <c r="D1132" s="49">
        <v>2863.66</v>
      </c>
    </row>
    <row r="1133" spans="1:4" customFormat="1">
      <c r="A1133" t="s">
        <v>948</v>
      </c>
      <c r="B1133" t="s">
        <v>947</v>
      </c>
      <c r="C1133" s="111">
        <v>43205</v>
      </c>
      <c r="D1133" s="49">
        <v>1500</v>
      </c>
    </row>
    <row r="1134" spans="1:4" customFormat="1">
      <c r="A1134" t="s">
        <v>209</v>
      </c>
      <c r="B1134" t="s">
        <v>208</v>
      </c>
      <c r="C1134" s="111">
        <v>43205</v>
      </c>
      <c r="D1134" s="49">
        <v>5000</v>
      </c>
    </row>
    <row r="1135" spans="1:4" customFormat="1">
      <c r="A1135" t="s">
        <v>393</v>
      </c>
      <c r="B1135" t="s">
        <v>134</v>
      </c>
      <c r="C1135" s="111">
        <v>43210</v>
      </c>
      <c r="D1135" s="49">
        <v>1079</v>
      </c>
    </row>
    <row r="1136" spans="1:4" customFormat="1">
      <c r="A1136" t="s">
        <v>393</v>
      </c>
      <c r="B1136" t="s">
        <v>134</v>
      </c>
      <c r="C1136" s="111">
        <v>43213</v>
      </c>
      <c r="D1136" s="49">
        <v>1078.98</v>
      </c>
    </row>
    <row r="1137" spans="1:4" customFormat="1">
      <c r="A1137" t="s">
        <v>948</v>
      </c>
      <c r="B1137" t="s">
        <v>947</v>
      </c>
      <c r="C1137" s="111">
        <v>43215</v>
      </c>
      <c r="D1137" s="49">
        <v>1554.84</v>
      </c>
    </row>
    <row r="1138" spans="1:4" customFormat="1" ht="15.75" thickBot="1">
      <c r="A1138" s="863" t="s">
        <v>137</v>
      </c>
      <c r="B1138" s="863" t="s">
        <v>136</v>
      </c>
      <c r="C1138" s="862">
        <v>43217</v>
      </c>
      <c r="D1138" s="866">
        <v>11104.332</v>
      </c>
    </row>
    <row r="1139" spans="1:4" ht="15.75" thickBot="1">
      <c r="A1139" s="919" t="s">
        <v>1025</v>
      </c>
      <c r="B1139" s="920"/>
      <c r="C1139" s="920"/>
      <c r="D1139" s="796">
        <f>SUM(D1125:D1138)</f>
        <v>31490.264000000003</v>
      </c>
    </row>
    <row r="1140" spans="1:4" ht="15.75" thickBot="1">
      <c r="A1140" s="797" t="s">
        <v>209</v>
      </c>
      <c r="B1140" s="798" t="s">
        <v>208</v>
      </c>
      <c r="C1140" s="799">
        <v>43235</v>
      </c>
      <c r="D1140" s="800">
        <v>5000</v>
      </c>
    </row>
    <row r="1141" spans="1:4" ht="15.75" thickBot="1">
      <c r="A1141" s="919" t="s">
        <v>1026</v>
      </c>
      <c r="B1141" s="920"/>
      <c r="C1141" s="920"/>
      <c r="D1141" s="796">
        <f>SUM(D1140)</f>
        <v>5000</v>
      </c>
    </row>
    <row r="1142" spans="1:4" ht="15.75" thickBot="1"/>
    <row r="1143" spans="1:4" ht="15.75" thickBot="1">
      <c r="A1143" s="919" t="s">
        <v>1027</v>
      </c>
      <c r="B1143" s="920"/>
      <c r="C1143" s="920"/>
      <c r="D1143" s="796">
        <f>D1141+D1139+D1124+D1042+D832+D458</f>
        <v>2247115.3670000006</v>
      </c>
    </row>
  </sheetData>
  <sortState ref="A2:E1140">
    <sortCondition ref="C2:C1140"/>
  </sortState>
  <mergeCells count="7">
    <mergeCell ref="A1141:C1141"/>
    <mergeCell ref="A1143:C1143"/>
    <mergeCell ref="A458:C458"/>
    <mergeCell ref="A832:C832"/>
    <mergeCell ref="A1042:C1042"/>
    <mergeCell ref="A1124:C1124"/>
    <mergeCell ref="A1139:C1139"/>
  </mergeCells>
  <pageMargins left="0.31496062992125984" right="0.15748031496062992" top="0.82677165354330717" bottom="0.82677165354330717" header="0" footer="0"/>
  <pageSetup paperSize="9" orientation="portrait" verticalDpi="180" r:id="rId1"/>
  <headerFooter>
    <oddFooter>&amp;C&amp;A&amp;R&amp;P/&amp;N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96"/>
  <sheetViews>
    <sheetView topLeftCell="A46" workbookViewId="0">
      <selection activeCell="F80" sqref="F80"/>
    </sheetView>
  </sheetViews>
  <sheetFormatPr baseColWidth="10" defaultRowHeight="15"/>
  <cols>
    <col min="1" max="1" width="8.28515625" style="765" bestFit="1" customWidth="1"/>
    <col min="2" max="2" width="30.85546875" style="765" bestFit="1" customWidth="1"/>
    <col min="3" max="3" width="10.7109375" style="765" bestFit="1" customWidth="1"/>
    <col min="4" max="4" width="11" style="765" bestFit="1" customWidth="1"/>
    <col min="5" max="16384" width="11.42578125" style="116"/>
  </cols>
  <sheetData>
    <row r="1" spans="1:9" s="671" customFormat="1" ht="15.75" thickBot="1">
      <c r="A1" s="762" t="s">
        <v>930</v>
      </c>
      <c r="B1" s="763" t="s">
        <v>143</v>
      </c>
      <c r="C1" s="763" t="s">
        <v>142</v>
      </c>
      <c r="D1" s="764" t="s">
        <v>931</v>
      </c>
    </row>
    <row r="2" spans="1:9" customFormat="1">
      <c r="A2" t="s">
        <v>1203</v>
      </c>
      <c r="B2" t="s">
        <v>1202</v>
      </c>
      <c r="C2" s="111">
        <v>43100</v>
      </c>
      <c r="D2" s="49">
        <v>4489.6940000000004</v>
      </c>
      <c r="F2" s="116"/>
      <c r="G2" s="116"/>
      <c r="H2" s="116"/>
      <c r="I2" s="116"/>
    </row>
    <row r="3" spans="1:9" customFormat="1">
      <c r="A3" t="s">
        <v>1201</v>
      </c>
      <c r="B3" t="s">
        <v>1200</v>
      </c>
      <c r="C3" s="111">
        <v>43100</v>
      </c>
      <c r="D3" s="49">
        <v>544.38599999999997</v>
      </c>
      <c r="F3" s="116"/>
      <c r="G3" s="116"/>
      <c r="H3" s="116"/>
      <c r="I3" s="116"/>
    </row>
    <row r="4" spans="1:9" customFormat="1">
      <c r="A4" s="865" t="s">
        <v>1116</v>
      </c>
      <c r="B4" s="865" t="s">
        <v>1115</v>
      </c>
      <c r="C4" s="864">
        <v>43100</v>
      </c>
      <c r="D4" s="867">
        <v>5040.1440000000002</v>
      </c>
      <c r="F4" s="116"/>
      <c r="G4" s="116"/>
      <c r="H4" s="116"/>
      <c r="I4" s="116"/>
    </row>
    <row r="5" spans="1:9" customFormat="1">
      <c r="A5" t="s">
        <v>1199</v>
      </c>
      <c r="B5" t="s">
        <v>1198</v>
      </c>
      <c r="C5" s="111">
        <v>43102</v>
      </c>
      <c r="D5" s="49">
        <v>5043.6329999999998</v>
      </c>
      <c r="F5" s="116"/>
      <c r="G5" s="116"/>
      <c r="H5" s="116"/>
      <c r="I5" s="116"/>
    </row>
    <row r="6" spans="1:9" customFormat="1">
      <c r="A6" t="s">
        <v>1197</v>
      </c>
      <c r="B6" t="s">
        <v>1196</v>
      </c>
      <c r="C6" s="111">
        <v>43105</v>
      </c>
      <c r="D6" s="49">
        <v>6749.183</v>
      </c>
      <c r="F6" s="116"/>
      <c r="G6" s="116"/>
      <c r="H6" s="116"/>
      <c r="I6" s="116"/>
    </row>
    <row r="7" spans="1:9" customFormat="1">
      <c r="A7" t="s">
        <v>1195</v>
      </c>
      <c r="B7" t="s">
        <v>1194</v>
      </c>
      <c r="C7" s="111">
        <v>43105</v>
      </c>
      <c r="D7" s="49">
        <v>154.43799999999999</v>
      </c>
      <c r="F7" s="116"/>
      <c r="G7" s="116"/>
      <c r="H7" s="116"/>
      <c r="I7" s="116"/>
    </row>
    <row r="8" spans="1:9" customFormat="1">
      <c r="A8" t="s">
        <v>1171</v>
      </c>
      <c r="B8" t="s">
        <v>1170</v>
      </c>
      <c r="C8" s="111">
        <v>43105</v>
      </c>
      <c r="D8" s="49">
        <v>945.09500000000003</v>
      </c>
      <c r="F8" s="116"/>
      <c r="G8" s="116"/>
      <c r="H8" s="116"/>
      <c r="I8" s="116"/>
    </row>
    <row r="9" spans="1:9" customFormat="1">
      <c r="A9" s="865" t="s">
        <v>1105</v>
      </c>
      <c r="B9" s="865" t="s">
        <v>1104</v>
      </c>
      <c r="C9" s="864">
        <v>43114</v>
      </c>
      <c r="D9" s="867">
        <v>1885.2809999999999</v>
      </c>
      <c r="F9" s="116"/>
      <c r="G9" s="116"/>
      <c r="H9" s="116"/>
      <c r="I9" s="116"/>
    </row>
    <row r="10" spans="1:9" customFormat="1">
      <c r="A10" s="865" t="s">
        <v>1101</v>
      </c>
      <c r="B10" s="865" t="s">
        <v>1100</v>
      </c>
      <c r="C10" s="864">
        <v>43115</v>
      </c>
      <c r="D10" s="867">
        <v>836.60900000000004</v>
      </c>
      <c r="F10" s="116"/>
      <c r="G10" s="116"/>
      <c r="H10" s="116"/>
      <c r="I10" s="116"/>
    </row>
    <row r="11" spans="1:9" customFormat="1">
      <c r="A11" t="s">
        <v>1171</v>
      </c>
      <c r="B11" t="s">
        <v>1170</v>
      </c>
      <c r="C11" s="111">
        <v>43118</v>
      </c>
      <c r="D11" s="49">
        <v>945.09500000000003</v>
      </c>
      <c r="F11" s="116"/>
      <c r="G11" s="116"/>
      <c r="H11" s="116"/>
      <c r="I11" s="116"/>
    </row>
    <row r="12" spans="1:9" customFormat="1">
      <c r="A12" t="s">
        <v>1193</v>
      </c>
      <c r="B12" t="s">
        <v>1192</v>
      </c>
      <c r="C12" s="111">
        <v>43121</v>
      </c>
      <c r="D12" s="49">
        <v>691.822</v>
      </c>
      <c r="F12" s="116"/>
      <c r="G12" s="116"/>
      <c r="H12" s="116"/>
      <c r="I12" s="116"/>
    </row>
    <row r="13" spans="1:9" customFormat="1">
      <c r="A13" s="865" t="s">
        <v>1103</v>
      </c>
      <c r="B13" s="865" t="s">
        <v>1102</v>
      </c>
      <c r="C13" s="864">
        <v>43122</v>
      </c>
      <c r="D13" s="867">
        <v>1312</v>
      </c>
      <c r="F13" s="116"/>
      <c r="G13" s="116"/>
      <c r="H13" s="116"/>
      <c r="I13" s="116"/>
    </row>
    <row r="14" spans="1:9" customFormat="1">
      <c r="A14" s="865" t="s">
        <v>1118</v>
      </c>
      <c r="B14" s="865" t="s">
        <v>1117</v>
      </c>
      <c r="C14" s="864">
        <v>43123</v>
      </c>
      <c r="D14" s="867">
        <v>1701.0260000000001</v>
      </c>
      <c r="F14" s="116"/>
      <c r="G14" s="116"/>
      <c r="H14" s="116"/>
      <c r="I14" s="116"/>
    </row>
    <row r="15" spans="1:9" customFormat="1">
      <c r="A15" s="865" t="s">
        <v>1114</v>
      </c>
      <c r="B15" s="865" t="s">
        <v>1113</v>
      </c>
      <c r="C15" s="864">
        <v>43128</v>
      </c>
      <c r="D15" s="867">
        <v>746.99800000000005</v>
      </c>
      <c r="F15" s="116"/>
      <c r="G15" s="116"/>
      <c r="H15" s="116"/>
      <c r="I15" s="116"/>
    </row>
    <row r="16" spans="1:9" customFormat="1">
      <c r="A16" s="865" t="s">
        <v>1122</v>
      </c>
      <c r="B16" s="865" t="s">
        <v>1121</v>
      </c>
      <c r="C16" s="864">
        <v>43129</v>
      </c>
      <c r="D16" s="867">
        <v>835.82899999999995</v>
      </c>
      <c r="F16" s="116"/>
      <c r="G16" s="116"/>
      <c r="H16" s="116"/>
      <c r="I16" s="116"/>
    </row>
    <row r="17" spans="1:9" customFormat="1">
      <c r="A17" s="865" t="s">
        <v>1103</v>
      </c>
      <c r="B17" s="865" t="s">
        <v>1102</v>
      </c>
      <c r="C17" s="864">
        <v>43129</v>
      </c>
      <c r="D17" s="867">
        <v>1315.9939999999999</v>
      </c>
      <c r="F17" s="116"/>
      <c r="G17" s="116"/>
      <c r="H17" s="116"/>
      <c r="I17" s="116"/>
    </row>
    <row r="18" spans="1:9" customFormat="1">
      <c r="A18" s="865" t="s">
        <v>1110</v>
      </c>
      <c r="B18" s="865" t="s">
        <v>1109</v>
      </c>
      <c r="C18" s="864">
        <v>43130</v>
      </c>
      <c r="D18" s="867">
        <v>1562.171</v>
      </c>
      <c r="F18" s="116"/>
      <c r="G18" s="116"/>
      <c r="H18" s="116"/>
      <c r="I18" s="116"/>
    </row>
    <row r="19" spans="1:9" customFormat="1">
      <c r="A19" s="865" t="s">
        <v>1099</v>
      </c>
      <c r="B19" s="865" t="s">
        <v>1098</v>
      </c>
      <c r="C19" s="864">
        <v>43130</v>
      </c>
      <c r="D19" s="867">
        <v>4119.3900000000003</v>
      </c>
      <c r="F19" s="116"/>
      <c r="G19" s="116"/>
      <c r="H19" s="116"/>
      <c r="I19" s="116"/>
    </row>
    <row r="20" spans="1:9" customFormat="1">
      <c r="A20" t="s">
        <v>1191</v>
      </c>
      <c r="B20" t="s">
        <v>1190</v>
      </c>
      <c r="C20" s="111">
        <v>43131</v>
      </c>
      <c r="D20" s="49">
        <v>732.79499999999996</v>
      </c>
      <c r="F20" s="116"/>
      <c r="G20" s="116"/>
      <c r="H20" s="116"/>
      <c r="I20" s="116"/>
    </row>
    <row r="21" spans="1:9" customFormat="1">
      <c r="A21" t="s">
        <v>1189</v>
      </c>
      <c r="B21" t="s">
        <v>1188</v>
      </c>
      <c r="C21" s="111">
        <v>43131</v>
      </c>
      <c r="D21" s="49">
        <v>3316.1149999999998</v>
      </c>
      <c r="F21" s="116"/>
      <c r="G21" s="116"/>
      <c r="H21" s="116"/>
      <c r="I21" s="116"/>
    </row>
    <row r="22" spans="1:9" customFormat="1">
      <c r="A22" t="s">
        <v>1187</v>
      </c>
      <c r="B22" t="s">
        <v>1186</v>
      </c>
      <c r="C22" s="111">
        <v>43131</v>
      </c>
      <c r="D22" s="49">
        <v>568.75699999999995</v>
      </c>
      <c r="F22" s="116"/>
      <c r="G22" s="116"/>
      <c r="H22" s="116"/>
      <c r="I22" s="116"/>
    </row>
    <row r="23" spans="1:9" customFormat="1">
      <c r="A23" t="s">
        <v>1185</v>
      </c>
      <c r="B23" t="s">
        <v>1184</v>
      </c>
      <c r="C23" s="111">
        <v>43131</v>
      </c>
      <c r="D23" s="49">
        <v>1678.008</v>
      </c>
      <c r="F23" s="116"/>
      <c r="G23" s="116"/>
      <c r="H23" s="116"/>
      <c r="I23" s="116"/>
    </row>
    <row r="24" spans="1:9" customFormat="1">
      <c r="A24" s="865" t="s">
        <v>1112</v>
      </c>
      <c r="B24" s="865" t="s">
        <v>1111</v>
      </c>
      <c r="C24" s="864">
        <v>43131</v>
      </c>
      <c r="D24" s="867">
        <v>769.84100000000001</v>
      </c>
      <c r="F24" s="116"/>
      <c r="G24" s="116"/>
      <c r="H24" s="116"/>
      <c r="I24" s="116"/>
    </row>
    <row r="25" spans="1:9" customFormat="1">
      <c r="A25" s="865" t="s">
        <v>1097</v>
      </c>
      <c r="B25" s="865" t="s">
        <v>1096</v>
      </c>
      <c r="C25" s="864">
        <v>43131</v>
      </c>
      <c r="D25" s="867">
        <v>3326.585</v>
      </c>
      <c r="F25" s="116"/>
      <c r="G25" s="116"/>
      <c r="H25" s="116"/>
      <c r="I25" s="116"/>
    </row>
    <row r="26" spans="1:9" customFormat="1">
      <c r="A26" s="865" t="s">
        <v>1230</v>
      </c>
      <c r="B26" s="865" t="s">
        <v>1229</v>
      </c>
      <c r="C26" s="864">
        <v>43131</v>
      </c>
      <c r="D26" s="867">
        <v>6682.5410000000002</v>
      </c>
      <c r="F26" s="116"/>
      <c r="G26" s="116"/>
      <c r="H26" s="116"/>
      <c r="I26" s="116"/>
    </row>
    <row r="27" spans="1:9" customFormat="1">
      <c r="A27" s="865" t="s">
        <v>1228</v>
      </c>
      <c r="B27" s="865" t="s">
        <v>1227</v>
      </c>
      <c r="C27" s="864">
        <v>43131</v>
      </c>
      <c r="D27" s="867">
        <v>14566.254999999999</v>
      </c>
      <c r="F27" s="116"/>
      <c r="G27" s="116"/>
      <c r="H27" s="116"/>
      <c r="I27" s="116"/>
    </row>
    <row r="28" spans="1:9" customFormat="1">
      <c r="A28" s="865" t="s">
        <v>1118</v>
      </c>
      <c r="B28" s="865" t="s">
        <v>1117</v>
      </c>
      <c r="C28" s="864">
        <v>43133</v>
      </c>
      <c r="D28" s="867">
        <v>1701.0260000000001</v>
      </c>
      <c r="F28" s="116"/>
      <c r="G28" s="116"/>
      <c r="H28" s="116"/>
      <c r="I28" s="116"/>
    </row>
    <row r="29" spans="1:9" customFormat="1">
      <c r="A29" t="s">
        <v>1183</v>
      </c>
      <c r="B29" t="s">
        <v>1182</v>
      </c>
      <c r="C29" s="111">
        <v>43136</v>
      </c>
      <c r="D29" s="49">
        <v>2764.8710000000001</v>
      </c>
      <c r="F29" s="116"/>
      <c r="G29" s="116"/>
      <c r="H29" s="116"/>
      <c r="I29" s="116"/>
    </row>
    <row r="30" spans="1:9" customFormat="1">
      <c r="A30" t="s">
        <v>1181</v>
      </c>
      <c r="B30" t="s">
        <v>1180</v>
      </c>
      <c r="C30" s="111">
        <v>43136</v>
      </c>
      <c r="D30" s="49">
        <v>1882.6880000000001</v>
      </c>
      <c r="F30" s="116"/>
      <c r="G30" s="116"/>
      <c r="H30" s="116"/>
      <c r="I30" s="116"/>
    </row>
    <row r="31" spans="1:9" customFormat="1">
      <c r="A31" s="865" t="s">
        <v>1254</v>
      </c>
      <c r="B31" s="865" t="s">
        <v>1255</v>
      </c>
      <c r="C31" s="864">
        <v>43136</v>
      </c>
      <c r="D31" s="867">
        <v>376.82</v>
      </c>
      <c r="F31" s="116"/>
      <c r="G31" s="116"/>
      <c r="H31" s="116"/>
      <c r="I31" s="116"/>
    </row>
    <row r="32" spans="1:9" customFormat="1">
      <c r="A32" t="s">
        <v>1179</v>
      </c>
      <c r="B32" t="s">
        <v>1178</v>
      </c>
      <c r="C32" s="111">
        <v>43138</v>
      </c>
      <c r="D32" s="49">
        <v>4374.1099999999997</v>
      </c>
      <c r="F32" s="116"/>
      <c r="G32" s="116"/>
      <c r="H32" s="116"/>
      <c r="I32" s="116"/>
    </row>
    <row r="33" spans="1:9" customFormat="1">
      <c r="A33" s="865" t="s">
        <v>1118</v>
      </c>
      <c r="B33" s="865" t="s">
        <v>1117</v>
      </c>
      <c r="C33" s="864">
        <v>43146</v>
      </c>
      <c r="D33" s="867">
        <v>1701.0260000000001</v>
      </c>
      <c r="F33" s="116"/>
      <c r="G33" s="116"/>
      <c r="H33" s="116"/>
      <c r="I33" s="116"/>
    </row>
    <row r="34" spans="1:9" customFormat="1">
      <c r="A34" s="865" t="s">
        <v>1091</v>
      </c>
      <c r="B34" s="865" t="s">
        <v>1090</v>
      </c>
      <c r="C34" s="864">
        <v>43151</v>
      </c>
      <c r="D34" s="867">
        <v>2003.248</v>
      </c>
      <c r="F34" s="116"/>
      <c r="G34" s="116"/>
      <c r="H34" s="116"/>
      <c r="I34" s="116"/>
    </row>
    <row r="35" spans="1:9" customFormat="1">
      <c r="A35" t="s">
        <v>1171</v>
      </c>
      <c r="B35" t="s">
        <v>1170</v>
      </c>
      <c r="C35" s="111">
        <v>43156</v>
      </c>
      <c r="D35" s="49">
        <v>1046.001</v>
      </c>
      <c r="F35" s="116"/>
      <c r="G35" s="116"/>
      <c r="H35" s="116"/>
      <c r="I35" s="116"/>
    </row>
    <row r="36" spans="1:9" customFormat="1">
      <c r="A36" s="865" t="s">
        <v>1091</v>
      </c>
      <c r="B36" s="865" t="s">
        <v>1090</v>
      </c>
      <c r="C36" s="864">
        <v>43156</v>
      </c>
      <c r="D36" s="867">
        <v>2001</v>
      </c>
      <c r="F36" s="116"/>
      <c r="G36" s="116"/>
      <c r="H36" s="116"/>
      <c r="I36" s="116"/>
    </row>
    <row r="37" spans="1:9" customFormat="1">
      <c r="A37" t="s">
        <v>1177</v>
      </c>
      <c r="B37" t="s">
        <v>1176</v>
      </c>
      <c r="C37" s="111">
        <v>43159</v>
      </c>
      <c r="D37" s="49">
        <v>1609.472</v>
      </c>
      <c r="F37" s="116"/>
      <c r="G37" s="116"/>
      <c r="H37" s="116"/>
      <c r="I37" s="116"/>
    </row>
    <row r="38" spans="1:9" customFormat="1">
      <c r="A38" t="s">
        <v>1114</v>
      </c>
      <c r="B38" t="s">
        <v>1113</v>
      </c>
      <c r="C38" s="111">
        <v>43159</v>
      </c>
      <c r="D38" s="49">
        <v>6872.96</v>
      </c>
      <c r="F38" s="116"/>
      <c r="G38" s="116"/>
      <c r="H38" s="116"/>
      <c r="I38" s="116"/>
    </row>
    <row r="39" spans="1:9" customFormat="1">
      <c r="A39" t="s">
        <v>244</v>
      </c>
      <c r="B39" t="s">
        <v>243</v>
      </c>
      <c r="C39" s="111">
        <v>43159</v>
      </c>
      <c r="D39" s="49">
        <v>1817.5039999999999</v>
      </c>
      <c r="F39" s="116"/>
      <c r="G39" s="116"/>
      <c r="H39" s="116"/>
      <c r="I39" s="116"/>
    </row>
    <row r="40" spans="1:9" customFormat="1">
      <c r="A40" t="s">
        <v>1175</v>
      </c>
      <c r="B40" t="s">
        <v>1174</v>
      </c>
      <c r="C40" s="111">
        <v>43159</v>
      </c>
      <c r="D40" s="49">
        <v>587.56700000000001</v>
      </c>
      <c r="F40" s="116"/>
      <c r="G40" s="116"/>
      <c r="H40" s="116"/>
      <c r="I40" s="116"/>
    </row>
    <row r="41" spans="1:9" customFormat="1">
      <c r="A41" t="s">
        <v>1173</v>
      </c>
      <c r="B41" t="s">
        <v>1172</v>
      </c>
      <c r="C41" s="111">
        <v>43159</v>
      </c>
      <c r="D41" s="49">
        <v>2389.3719999999998</v>
      </c>
      <c r="F41" s="116"/>
      <c r="G41" s="116"/>
      <c r="H41" s="116"/>
      <c r="I41" s="116"/>
    </row>
    <row r="42" spans="1:9" customFormat="1">
      <c r="A42" t="s">
        <v>1173</v>
      </c>
      <c r="B42" t="s">
        <v>1172</v>
      </c>
      <c r="C42" s="111">
        <v>43159</v>
      </c>
      <c r="D42" s="49">
        <v>2389.3719999999998</v>
      </c>
      <c r="F42" s="116"/>
      <c r="G42" s="116"/>
      <c r="H42" s="116"/>
      <c r="I42" s="116"/>
    </row>
    <row r="43" spans="1:9" customFormat="1">
      <c r="A43" t="s">
        <v>1171</v>
      </c>
      <c r="B43" t="s">
        <v>1170</v>
      </c>
      <c r="C43" s="111">
        <v>43159</v>
      </c>
      <c r="D43" s="49">
        <v>1046.001</v>
      </c>
      <c r="F43" s="116"/>
      <c r="G43" s="116"/>
      <c r="H43" s="116"/>
      <c r="I43" s="116"/>
    </row>
    <row r="44" spans="1:9" customFormat="1">
      <c r="A44" t="s">
        <v>1169</v>
      </c>
      <c r="B44" t="s">
        <v>1168</v>
      </c>
      <c r="C44" s="111">
        <v>43159</v>
      </c>
      <c r="D44" s="49">
        <v>4500</v>
      </c>
      <c r="F44" s="116"/>
      <c r="G44" s="116"/>
      <c r="H44" s="116"/>
      <c r="I44" s="116"/>
    </row>
    <row r="45" spans="1:9" customFormat="1">
      <c r="A45" s="865" t="s">
        <v>1126</v>
      </c>
      <c r="B45" s="865" t="s">
        <v>1125</v>
      </c>
      <c r="C45" s="864">
        <v>43159</v>
      </c>
      <c r="D45" s="867">
        <v>2906.1570000000002</v>
      </c>
      <c r="F45" s="116"/>
      <c r="G45" s="116"/>
      <c r="H45" s="116"/>
      <c r="I45" s="116"/>
    </row>
    <row r="46" spans="1:9" customFormat="1">
      <c r="A46" s="865" t="s">
        <v>1124</v>
      </c>
      <c r="B46" s="865" t="s">
        <v>1123</v>
      </c>
      <c r="C46" s="864">
        <v>43159</v>
      </c>
      <c r="D46" s="867">
        <v>2233</v>
      </c>
      <c r="F46" s="116"/>
      <c r="G46" s="116"/>
      <c r="H46" s="116"/>
      <c r="I46" s="116"/>
    </row>
    <row r="47" spans="1:9" customFormat="1">
      <c r="A47" s="865" t="s">
        <v>1107</v>
      </c>
      <c r="B47" s="865" t="s">
        <v>1106</v>
      </c>
      <c r="C47" s="864">
        <v>43159</v>
      </c>
      <c r="D47" s="867">
        <v>1257.925</v>
      </c>
      <c r="F47" s="116"/>
      <c r="G47" s="116"/>
      <c r="H47" s="116"/>
      <c r="I47" s="116"/>
    </row>
    <row r="48" spans="1:9" customFormat="1">
      <c r="A48" s="865" t="s">
        <v>1238</v>
      </c>
      <c r="B48" s="865" t="s">
        <v>1239</v>
      </c>
      <c r="C48" s="864">
        <v>43159</v>
      </c>
      <c r="D48" s="867">
        <v>1530.49</v>
      </c>
      <c r="F48" s="116"/>
      <c r="G48" s="116"/>
      <c r="H48" s="116"/>
      <c r="I48" s="116"/>
    </row>
    <row r="49" spans="1:9" customFormat="1">
      <c r="A49" s="865" t="s">
        <v>1095</v>
      </c>
      <c r="B49" s="865" t="s">
        <v>1094</v>
      </c>
      <c r="C49" s="864">
        <v>43159</v>
      </c>
      <c r="D49" s="867">
        <v>6167.4279999999999</v>
      </c>
      <c r="F49" s="116"/>
      <c r="G49" s="116"/>
      <c r="H49" s="116"/>
      <c r="I49" s="116"/>
    </row>
    <row r="50" spans="1:9">
      <c r="A50" s="865" t="s">
        <v>1091</v>
      </c>
      <c r="B50" s="865" t="s">
        <v>1090</v>
      </c>
      <c r="C50" s="864">
        <v>43159</v>
      </c>
      <c r="D50" s="867">
        <v>2001</v>
      </c>
    </row>
    <row r="51" spans="1:9" customFormat="1">
      <c r="A51" s="865" t="s">
        <v>1128</v>
      </c>
      <c r="B51" s="865" t="s">
        <v>1127</v>
      </c>
      <c r="C51" s="864">
        <v>43164</v>
      </c>
      <c r="D51" s="867">
        <v>556.29200000000003</v>
      </c>
      <c r="F51" s="116"/>
      <c r="G51" s="116"/>
      <c r="H51" s="116"/>
      <c r="I51" s="116"/>
    </row>
    <row r="52" spans="1:9" customFormat="1">
      <c r="A52" s="865" t="s">
        <v>1120</v>
      </c>
      <c r="B52" s="865" t="s">
        <v>1119</v>
      </c>
      <c r="C52" s="864">
        <v>43164</v>
      </c>
      <c r="D52" s="867">
        <v>1300</v>
      </c>
      <c r="F52" s="116"/>
      <c r="G52" s="116"/>
      <c r="H52" s="116"/>
      <c r="I52" s="116"/>
    </row>
    <row r="53" spans="1:9" customFormat="1">
      <c r="A53" t="s">
        <v>1169</v>
      </c>
      <c r="B53" t="s">
        <v>1168</v>
      </c>
      <c r="C53" s="111">
        <v>43165</v>
      </c>
      <c r="D53" s="49">
        <v>4666.5820000000003</v>
      </c>
      <c r="F53" s="116"/>
      <c r="G53" s="116"/>
      <c r="H53" s="116"/>
      <c r="I53" s="116"/>
    </row>
    <row r="54" spans="1:9" customFormat="1">
      <c r="A54" s="865" t="s">
        <v>1265</v>
      </c>
      <c r="B54" s="865" t="s">
        <v>1266</v>
      </c>
      <c r="C54" s="864">
        <v>43169</v>
      </c>
      <c r="D54" s="867">
        <v>1900</v>
      </c>
      <c r="F54" s="116"/>
      <c r="G54" s="116"/>
      <c r="H54" s="116"/>
      <c r="I54" s="116"/>
    </row>
    <row r="55" spans="1:9" customFormat="1">
      <c r="A55" s="865" t="s">
        <v>1132</v>
      </c>
      <c r="B55" s="865" t="s">
        <v>1131</v>
      </c>
      <c r="C55" s="864">
        <v>43169</v>
      </c>
      <c r="D55" s="867">
        <v>800</v>
      </c>
      <c r="F55" s="116"/>
      <c r="G55" s="116"/>
      <c r="H55" s="116"/>
      <c r="I55" s="116"/>
    </row>
    <row r="56" spans="1:9" customFormat="1">
      <c r="A56" s="865" t="s">
        <v>1240</v>
      </c>
      <c r="B56" s="865" t="s">
        <v>1241</v>
      </c>
      <c r="C56" s="864">
        <v>43169</v>
      </c>
      <c r="D56" s="867">
        <v>1155.799</v>
      </c>
      <c r="F56" s="116"/>
      <c r="G56" s="116"/>
      <c r="H56" s="116"/>
      <c r="I56" s="116"/>
    </row>
    <row r="57" spans="1:9" customFormat="1">
      <c r="A57" s="865" t="s">
        <v>1265</v>
      </c>
      <c r="B57" s="865" t="s">
        <v>1266</v>
      </c>
      <c r="C57" s="864">
        <v>43174</v>
      </c>
      <c r="D57" s="867">
        <v>1900</v>
      </c>
      <c r="F57" s="116"/>
      <c r="G57" s="116"/>
      <c r="H57" s="116"/>
      <c r="I57" s="116"/>
    </row>
    <row r="58" spans="1:9" customFormat="1">
      <c r="A58" s="865" t="s">
        <v>1124</v>
      </c>
      <c r="B58" s="865" t="s">
        <v>1123</v>
      </c>
      <c r="C58" s="864">
        <v>43174</v>
      </c>
      <c r="D58" s="867">
        <v>2000.146</v>
      </c>
      <c r="F58" s="116"/>
      <c r="G58" s="116"/>
      <c r="H58" s="116"/>
      <c r="I58" s="116"/>
    </row>
    <row r="59" spans="1:9" customFormat="1">
      <c r="A59" s="865" t="s">
        <v>1120</v>
      </c>
      <c r="B59" s="865" t="s">
        <v>1119</v>
      </c>
      <c r="C59" s="864">
        <v>43174</v>
      </c>
      <c r="D59" s="867">
        <v>1300</v>
      </c>
      <c r="F59" s="116"/>
      <c r="G59" s="116"/>
      <c r="H59" s="116"/>
      <c r="I59" s="116"/>
    </row>
    <row r="60" spans="1:9" customFormat="1">
      <c r="A60" t="s">
        <v>719</v>
      </c>
      <c r="B60" t="s">
        <v>720</v>
      </c>
      <c r="C60" s="111">
        <v>43176</v>
      </c>
      <c r="D60" s="49">
        <v>920</v>
      </c>
      <c r="F60" s="116"/>
      <c r="G60" s="116"/>
      <c r="H60" s="116"/>
      <c r="I60" s="116"/>
    </row>
    <row r="61" spans="1:9" customFormat="1">
      <c r="A61" t="s">
        <v>1167</v>
      </c>
      <c r="B61" t="s">
        <v>1166</v>
      </c>
      <c r="C61" s="111">
        <v>43179</v>
      </c>
      <c r="D61" s="49">
        <v>3243.9270000000001</v>
      </c>
      <c r="F61" s="116"/>
      <c r="G61" s="116"/>
      <c r="H61" s="116"/>
      <c r="I61" s="116"/>
    </row>
    <row r="62" spans="1:9" customFormat="1">
      <c r="A62" t="s">
        <v>719</v>
      </c>
      <c r="B62" t="s">
        <v>720</v>
      </c>
      <c r="C62" s="111">
        <v>43179</v>
      </c>
      <c r="D62" s="49">
        <v>921</v>
      </c>
      <c r="F62" s="116"/>
      <c r="G62" s="116"/>
      <c r="H62" s="116"/>
      <c r="I62" s="116"/>
    </row>
    <row r="63" spans="1:9" customFormat="1">
      <c r="A63" s="865" t="s">
        <v>1265</v>
      </c>
      <c r="B63" s="865" t="s">
        <v>1266</v>
      </c>
      <c r="C63" s="864">
        <v>43179</v>
      </c>
      <c r="D63" s="867">
        <v>1900</v>
      </c>
      <c r="F63" s="116"/>
      <c r="G63" s="116"/>
      <c r="H63" s="116"/>
      <c r="I63" s="116"/>
    </row>
    <row r="64" spans="1:9" customFormat="1">
      <c r="A64" t="s">
        <v>719</v>
      </c>
      <c r="B64" t="s">
        <v>720</v>
      </c>
      <c r="C64" s="111">
        <v>43182</v>
      </c>
      <c r="D64" s="49">
        <v>922</v>
      </c>
      <c r="F64" s="116"/>
      <c r="G64" s="116"/>
      <c r="H64" s="116"/>
      <c r="I64" s="116"/>
    </row>
    <row r="65" spans="1:9" customFormat="1">
      <c r="A65" s="865" t="s">
        <v>1132</v>
      </c>
      <c r="B65" s="865" t="s">
        <v>1131</v>
      </c>
      <c r="C65" s="864">
        <v>43183</v>
      </c>
      <c r="D65" s="867">
        <v>814.29100000000005</v>
      </c>
      <c r="F65" s="116"/>
      <c r="G65" s="116"/>
      <c r="H65" s="116"/>
      <c r="I65" s="116"/>
    </row>
    <row r="66" spans="1:9" customFormat="1">
      <c r="A66" t="s">
        <v>1165</v>
      </c>
      <c r="B66" t="s">
        <v>1164</v>
      </c>
      <c r="C66" s="111">
        <v>43184</v>
      </c>
      <c r="D66" s="49">
        <v>265.05599999999998</v>
      </c>
      <c r="F66" s="116"/>
      <c r="G66" s="116"/>
      <c r="H66" s="116"/>
      <c r="I66" s="116"/>
    </row>
    <row r="67" spans="1:9" customFormat="1">
      <c r="A67" s="865" t="s">
        <v>1265</v>
      </c>
      <c r="B67" s="865" t="s">
        <v>1266</v>
      </c>
      <c r="C67" s="864">
        <v>43184</v>
      </c>
      <c r="D67" s="867">
        <v>1900</v>
      </c>
      <c r="F67" s="116"/>
      <c r="G67" s="116"/>
      <c r="H67" s="116"/>
      <c r="I67" s="116"/>
    </row>
    <row r="68" spans="1:9" customFormat="1">
      <c r="A68" t="s">
        <v>1163</v>
      </c>
      <c r="B68" t="s">
        <v>1162</v>
      </c>
      <c r="C68" s="111">
        <v>43189</v>
      </c>
      <c r="D68" s="49">
        <v>1034.51</v>
      </c>
      <c r="F68" s="116"/>
      <c r="G68" s="116"/>
      <c r="H68" s="116"/>
      <c r="I68" s="116"/>
    </row>
    <row r="69" spans="1:9" customFormat="1">
      <c r="A69" t="s">
        <v>1012</v>
      </c>
      <c r="B69" t="s">
        <v>1161</v>
      </c>
      <c r="C69" s="111">
        <v>43190</v>
      </c>
      <c r="D69" s="49">
        <v>2840.8989999999999</v>
      </c>
      <c r="F69" s="116"/>
      <c r="G69" s="116"/>
      <c r="H69" s="116"/>
      <c r="I69" s="116"/>
    </row>
    <row r="70" spans="1:9" customFormat="1">
      <c r="A70" t="s">
        <v>1160</v>
      </c>
      <c r="B70" t="s">
        <v>1159</v>
      </c>
      <c r="C70" s="111">
        <v>43190</v>
      </c>
      <c r="D70" s="49">
        <v>3966.9070000000002</v>
      </c>
      <c r="F70" s="116"/>
      <c r="G70" s="116"/>
      <c r="H70" s="116"/>
      <c r="I70" s="116"/>
    </row>
    <row r="71" spans="1:9" customFormat="1">
      <c r="A71" t="s">
        <v>719</v>
      </c>
      <c r="B71" t="s">
        <v>720</v>
      </c>
      <c r="C71" s="111">
        <v>43190</v>
      </c>
      <c r="D71" s="49">
        <v>924</v>
      </c>
      <c r="F71" s="116"/>
      <c r="G71" s="116"/>
      <c r="H71" s="116"/>
      <c r="I71" s="116"/>
    </row>
    <row r="72" spans="1:9" customFormat="1">
      <c r="A72" t="s">
        <v>1158</v>
      </c>
      <c r="B72" t="s">
        <v>1157</v>
      </c>
      <c r="C72" s="111">
        <v>43190</v>
      </c>
      <c r="D72" s="49">
        <v>2974.9920000000002</v>
      </c>
      <c r="F72" s="116"/>
      <c r="G72" s="116"/>
      <c r="H72" s="116"/>
      <c r="I72" s="116"/>
    </row>
    <row r="73" spans="1:9" customFormat="1">
      <c r="A73" s="865" t="s">
        <v>1265</v>
      </c>
      <c r="B73" s="865" t="s">
        <v>1266</v>
      </c>
      <c r="C73" s="864">
        <v>43190</v>
      </c>
      <c r="D73" s="867">
        <v>1900</v>
      </c>
      <c r="F73" s="116"/>
      <c r="G73" s="116"/>
      <c r="H73" s="116"/>
      <c r="I73" s="116"/>
    </row>
    <row r="74" spans="1:9" customFormat="1">
      <c r="A74" s="865" t="s">
        <v>1130</v>
      </c>
      <c r="B74" s="865" t="s">
        <v>1129</v>
      </c>
      <c r="C74" s="864">
        <v>43190</v>
      </c>
      <c r="D74" s="867">
        <v>4494.5249999999996</v>
      </c>
      <c r="F74" s="116"/>
      <c r="G74" s="116"/>
      <c r="H74" s="116"/>
      <c r="I74" s="116"/>
    </row>
    <row r="75" spans="1:9" customFormat="1">
      <c r="A75" s="865" t="s">
        <v>1250</v>
      </c>
      <c r="B75" s="865" t="s">
        <v>1251</v>
      </c>
      <c r="C75" s="864">
        <v>43190</v>
      </c>
      <c r="D75" s="867">
        <v>5430.8739999999998</v>
      </c>
      <c r="F75" s="116"/>
      <c r="G75" s="116"/>
      <c r="H75" s="116"/>
      <c r="I75" s="116"/>
    </row>
    <row r="76" spans="1:9" customFormat="1">
      <c r="A76" s="865" t="s">
        <v>1252</v>
      </c>
      <c r="B76" s="865" t="s">
        <v>1253</v>
      </c>
      <c r="C76" s="864">
        <v>43190</v>
      </c>
      <c r="D76" s="867">
        <v>1690.23</v>
      </c>
      <c r="F76" s="116"/>
      <c r="G76" s="116"/>
      <c r="H76" s="116"/>
      <c r="I76" s="116"/>
    </row>
    <row r="77" spans="1:9" customFormat="1" ht="15.75" thickBot="1">
      <c r="A77" s="865" t="s">
        <v>1093</v>
      </c>
      <c r="B77" s="865" t="s">
        <v>1092</v>
      </c>
      <c r="C77" s="864">
        <v>43190</v>
      </c>
      <c r="D77" s="867">
        <v>2394.8409999999999</v>
      </c>
      <c r="F77" s="116"/>
      <c r="G77" s="116"/>
      <c r="H77" s="116"/>
      <c r="I77" s="116"/>
    </row>
    <row r="78" spans="1:9" customFormat="1" ht="15.75" thickBot="1">
      <c r="A78" s="919" t="s">
        <v>1028</v>
      </c>
      <c r="B78" s="920"/>
      <c r="C78" s="920"/>
      <c r="D78" s="796">
        <f>SUM(D2:D77)</f>
        <v>179835.59400000007</v>
      </c>
      <c r="F78" s="116"/>
      <c r="G78" s="116"/>
      <c r="H78" s="116"/>
      <c r="I78" s="116"/>
    </row>
    <row r="79" spans="1:9" customFormat="1">
      <c r="A79" t="s">
        <v>283</v>
      </c>
      <c r="B79" t="s">
        <v>421</v>
      </c>
      <c r="C79" s="111">
        <v>43195</v>
      </c>
      <c r="D79" s="49">
        <v>13156.36</v>
      </c>
      <c r="F79" s="116"/>
      <c r="G79" s="116"/>
      <c r="H79" s="116"/>
      <c r="I79" s="116"/>
    </row>
    <row r="80" spans="1:9" customFormat="1">
      <c r="A80" s="865" t="s">
        <v>1265</v>
      </c>
      <c r="B80" s="865" t="s">
        <v>1266</v>
      </c>
      <c r="C80" s="864">
        <v>43195</v>
      </c>
      <c r="D80" s="867">
        <v>2070.8629999999998</v>
      </c>
      <c r="F80" s="116"/>
      <c r="G80" s="116"/>
      <c r="H80" s="116"/>
      <c r="I80" s="116"/>
    </row>
    <row r="81" spans="1:9" customFormat="1">
      <c r="A81" s="865" t="s">
        <v>1120</v>
      </c>
      <c r="B81" s="865" t="s">
        <v>1119</v>
      </c>
      <c r="C81" s="864">
        <v>43195</v>
      </c>
      <c r="D81" s="867">
        <v>1241.722</v>
      </c>
      <c r="F81" s="116"/>
      <c r="G81" s="116"/>
      <c r="H81" s="116"/>
      <c r="I81" s="116"/>
    </row>
    <row r="82" spans="1:9" customFormat="1">
      <c r="A82" t="s">
        <v>719</v>
      </c>
      <c r="B82" t="s">
        <v>720</v>
      </c>
      <c r="C82" s="111">
        <v>43197</v>
      </c>
      <c r="D82" s="49">
        <v>925</v>
      </c>
      <c r="F82" s="116"/>
      <c r="G82" s="116"/>
      <c r="H82" s="116"/>
      <c r="I82" s="116"/>
    </row>
    <row r="83" spans="1:9" customFormat="1">
      <c r="A83" t="s">
        <v>1000</v>
      </c>
      <c r="B83" t="s">
        <v>999</v>
      </c>
      <c r="C83" s="111">
        <v>43198</v>
      </c>
      <c r="D83" s="49">
        <v>2467.335</v>
      </c>
      <c r="F83" s="116"/>
      <c r="G83" s="116"/>
      <c r="H83" s="116"/>
      <c r="I83" s="116"/>
    </row>
    <row r="84" spans="1:9">
      <c r="A84" t="s">
        <v>719</v>
      </c>
      <c r="B84" t="s">
        <v>720</v>
      </c>
      <c r="C84" s="111">
        <v>43200</v>
      </c>
      <c r="D84" s="49">
        <v>926</v>
      </c>
    </row>
    <row r="85" spans="1:9">
      <c r="A85" t="s">
        <v>579</v>
      </c>
      <c r="B85" t="s">
        <v>580</v>
      </c>
      <c r="C85" s="111">
        <v>43201</v>
      </c>
      <c r="D85" s="49">
        <v>11000</v>
      </c>
    </row>
    <row r="86" spans="1:9">
      <c r="A86" t="s">
        <v>719</v>
      </c>
      <c r="B86" t="s">
        <v>720</v>
      </c>
      <c r="C86" s="111">
        <v>43203</v>
      </c>
      <c r="D86" s="49">
        <v>927</v>
      </c>
    </row>
    <row r="87" spans="1:9">
      <c r="A87" t="s">
        <v>1015</v>
      </c>
      <c r="B87" t="s">
        <v>1016</v>
      </c>
      <c r="C87" s="111">
        <v>43205</v>
      </c>
      <c r="D87" s="49">
        <v>4163.8050000000003</v>
      </c>
    </row>
    <row r="88" spans="1:9">
      <c r="A88" s="865" t="s">
        <v>1017</v>
      </c>
      <c r="B88" s="865" t="s">
        <v>1108</v>
      </c>
      <c r="C88" s="864">
        <v>43205</v>
      </c>
      <c r="D88" s="867">
        <v>1343.981</v>
      </c>
    </row>
    <row r="89" spans="1:9">
      <c r="A89" t="s">
        <v>719</v>
      </c>
      <c r="B89" t="s">
        <v>720</v>
      </c>
      <c r="C89" s="111">
        <v>43206</v>
      </c>
      <c r="D89" s="49">
        <v>928</v>
      </c>
    </row>
    <row r="90" spans="1:9">
      <c r="A90" t="s">
        <v>719</v>
      </c>
      <c r="B90" t="s">
        <v>720</v>
      </c>
      <c r="C90" s="111">
        <v>43209</v>
      </c>
      <c r="D90" s="49">
        <v>788.83600000000001</v>
      </c>
    </row>
    <row r="91" spans="1:9">
      <c r="A91" t="s">
        <v>579</v>
      </c>
      <c r="B91" t="s">
        <v>580</v>
      </c>
      <c r="C91" s="111">
        <v>43211</v>
      </c>
      <c r="D91" s="49">
        <v>11000</v>
      </c>
    </row>
    <row r="92" spans="1:9">
      <c r="A92" t="s">
        <v>579</v>
      </c>
      <c r="B92" t="s">
        <v>580</v>
      </c>
      <c r="C92" s="111">
        <v>43220</v>
      </c>
      <c r="D92" s="49">
        <v>12023.987999999999</v>
      </c>
    </row>
    <row r="93" spans="1:9" ht="15.75" thickBot="1">
      <c r="A93" t="s">
        <v>283</v>
      </c>
      <c r="B93" t="s">
        <v>421</v>
      </c>
      <c r="C93" s="111">
        <v>43225</v>
      </c>
      <c r="D93" s="49">
        <v>5436.26</v>
      </c>
    </row>
    <row r="94" spans="1:9" ht="15.75" thickBot="1">
      <c r="A94" s="919" t="s">
        <v>1029</v>
      </c>
      <c r="B94" s="920"/>
      <c r="C94" s="920"/>
      <c r="D94" s="796">
        <f>SUM(D79:D93)</f>
        <v>68399.149999999994</v>
      </c>
    </row>
    <row r="95" spans="1:9" ht="15.75" thickBot="1"/>
    <row r="96" spans="1:9" ht="15.75" thickBot="1">
      <c r="A96" s="921" t="s">
        <v>929</v>
      </c>
      <c r="B96" s="922"/>
      <c r="C96" s="922"/>
      <c r="D96" s="673">
        <f>+D94+D78</f>
        <v>248234.74400000006</v>
      </c>
    </row>
  </sheetData>
  <mergeCells count="3">
    <mergeCell ref="A96:C96"/>
    <mergeCell ref="A78:C78"/>
    <mergeCell ref="A94:C94"/>
  </mergeCells>
  <pageMargins left="0.70866141732283472" right="0.70866141732283472" top="0.74803149606299213" bottom="0.74803149606299213" header="0.31496062992125984" footer="0.31496062992125984"/>
  <pageSetup paperSize="9" orientation="portrait" verticalDpi="200" r:id="rId1"/>
  <headerFooter>
    <oddFooter>&amp;C&amp;A&amp;R&amp;P/&amp;N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87"/>
  <sheetViews>
    <sheetView topLeftCell="A37" zoomScale="85" zoomScaleNormal="85" workbookViewId="0">
      <selection activeCell="O70" sqref="O70"/>
    </sheetView>
  </sheetViews>
  <sheetFormatPr baseColWidth="10" defaultRowHeight="12.75"/>
  <cols>
    <col min="1" max="1" width="1.5703125" style="26" customWidth="1"/>
    <col min="2" max="2" width="10.85546875" style="608" bestFit="1" customWidth="1"/>
    <col min="3" max="3" width="18.85546875" style="26" bestFit="1" customWidth="1"/>
    <col min="4" max="4" width="3.85546875" style="609" bestFit="1" customWidth="1"/>
    <col min="5" max="5" width="19.140625" style="443" bestFit="1" customWidth="1"/>
    <col min="6" max="7" width="11.7109375" style="600" bestFit="1" customWidth="1"/>
    <col min="8" max="8" width="10.28515625" style="600" bestFit="1" customWidth="1"/>
    <col min="9" max="9" width="11.28515625" style="600" bestFit="1" customWidth="1"/>
    <col min="10" max="10" width="9.5703125" style="26" bestFit="1" customWidth="1"/>
    <col min="11" max="11" width="12.42578125" style="609" bestFit="1" customWidth="1"/>
    <col min="12" max="12" width="7.5703125" style="609" bestFit="1" customWidth="1"/>
    <col min="13" max="13" width="11.28515625" style="600" bestFit="1" customWidth="1"/>
    <col min="14" max="14" width="10.28515625" style="610" bestFit="1" customWidth="1"/>
    <col min="15" max="15" width="9.42578125" style="611" bestFit="1" customWidth="1"/>
    <col min="16" max="16" width="26" style="694" customWidth="1"/>
    <col min="17" max="17" width="9.140625" style="689" customWidth="1"/>
    <col min="18" max="16384" width="11.42578125" style="26"/>
  </cols>
  <sheetData>
    <row r="1" spans="2:17" s="682" customFormat="1" ht="26.25" thickBot="1">
      <c r="B1" s="629" t="s">
        <v>424</v>
      </c>
      <c r="C1" s="630" t="s">
        <v>425</v>
      </c>
      <c r="D1" s="630" t="s">
        <v>426</v>
      </c>
      <c r="E1" s="631" t="s">
        <v>427</v>
      </c>
      <c r="F1" s="632" t="s">
        <v>428</v>
      </c>
      <c r="G1" s="632" t="s">
        <v>430</v>
      </c>
      <c r="H1" s="632" t="s">
        <v>431</v>
      </c>
      <c r="I1" s="632" t="s">
        <v>432</v>
      </c>
      <c r="J1" s="630" t="s">
        <v>433</v>
      </c>
      <c r="K1" s="630" t="s">
        <v>434</v>
      </c>
      <c r="L1" s="630" t="s">
        <v>429</v>
      </c>
      <c r="M1" s="632" t="s">
        <v>11</v>
      </c>
      <c r="N1" s="633" t="s">
        <v>10</v>
      </c>
      <c r="O1" s="634" t="s">
        <v>435</v>
      </c>
      <c r="P1" s="634" t="s">
        <v>874</v>
      </c>
      <c r="Q1" s="681" t="s">
        <v>873</v>
      </c>
    </row>
    <row r="2" spans="2:17" s="47" customFormat="1">
      <c r="B2" s="580">
        <v>42751</v>
      </c>
      <c r="C2" s="581" t="s">
        <v>439</v>
      </c>
      <c r="D2" s="582" t="s">
        <v>436</v>
      </c>
      <c r="E2" s="583">
        <v>2086</v>
      </c>
      <c r="F2" s="520">
        <v>32.200000000000003</v>
      </c>
      <c r="G2" s="520">
        <f t="shared" ref="G2:G11" si="0">+E2*F2</f>
        <v>67169.200000000012</v>
      </c>
      <c r="H2" s="520">
        <f t="shared" ref="H2:H11" si="1">G2*0.18</f>
        <v>12090.456000000002</v>
      </c>
      <c r="I2" s="520">
        <f t="shared" ref="I2:I11" si="2">+G2+H2</f>
        <v>79259.656000000017</v>
      </c>
      <c r="J2" s="581" t="s">
        <v>437</v>
      </c>
      <c r="K2" s="582">
        <v>3909</v>
      </c>
      <c r="L2" s="582" t="s">
        <v>46</v>
      </c>
      <c r="M2" s="520">
        <v>15192</v>
      </c>
      <c r="N2" s="598">
        <v>42901</v>
      </c>
      <c r="O2" s="585" t="s">
        <v>103</v>
      </c>
      <c r="P2" s="923" t="s">
        <v>872</v>
      </c>
      <c r="Q2" s="926" t="s">
        <v>46</v>
      </c>
    </row>
    <row r="3" spans="2:17" s="47" customFormat="1">
      <c r="B3" s="574">
        <v>42759</v>
      </c>
      <c r="C3" s="575" t="s">
        <v>439</v>
      </c>
      <c r="D3" s="576" t="s">
        <v>436</v>
      </c>
      <c r="E3" s="577">
        <v>993</v>
      </c>
      <c r="F3" s="521">
        <v>32.200000000000003</v>
      </c>
      <c r="G3" s="521">
        <f t="shared" si="0"/>
        <v>31974.600000000002</v>
      </c>
      <c r="H3" s="521">
        <f t="shared" si="1"/>
        <v>5755.4279999999999</v>
      </c>
      <c r="I3" s="521">
        <f t="shared" si="2"/>
        <v>37730.028000000006</v>
      </c>
      <c r="J3" s="521" t="s">
        <v>437</v>
      </c>
      <c r="K3" s="576">
        <v>3778</v>
      </c>
      <c r="L3" s="576" t="s">
        <v>46</v>
      </c>
      <c r="M3" s="521">
        <v>75000</v>
      </c>
      <c r="N3" s="599">
        <v>42793</v>
      </c>
      <c r="O3" s="579" t="s">
        <v>103</v>
      </c>
      <c r="P3" s="924"/>
      <c r="Q3" s="927"/>
    </row>
    <row r="4" spans="2:17">
      <c r="B4" s="574">
        <v>42810</v>
      </c>
      <c r="C4" s="575" t="s">
        <v>439</v>
      </c>
      <c r="D4" s="576" t="s">
        <v>436</v>
      </c>
      <c r="E4" s="577">
        <v>1100</v>
      </c>
      <c r="F4" s="521">
        <v>32.200000000000003</v>
      </c>
      <c r="G4" s="521">
        <f t="shared" si="0"/>
        <v>35420</v>
      </c>
      <c r="H4" s="521">
        <f t="shared" si="1"/>
        <v>6375.5999999999995</v>
      </c>
      <c r="I4" s="521">
        <f t="shared" si="2"/>
        <v>41795.599999999999</v>
      </c>
      <c r="J4" s="575" t="s">
        <v>437</v>
      </c>
      <c r="K4" s="576">
        <v>3858</v>
      </c>
      <c r="L4" s="576" t="s">
        <v>46</v>
      </c>
      <c r="M4" s="521">
        <v>35000</v>
      </c>
      <c r="N4" s="578">
        <v>42842</v>
      </c>
      <c r="O4" s="579" t="s">
        <v>103</v>
      </c>
      <c r="P4" s="924"/>
      <c r="Q4" s="927"/>
    </row>
    <row r="5" spans="2:17" ht="13.5" thickBot="1">
      <c r="B5" s="586"/>
      <c r="C5" s="587"/>
      <c r="D5" s="588"/>
      <c r="E5" s="589"/>
      <c r="F5" s="522"/>
      <c r="G5" s="522"/>
      <c r="H5" s="522"/>
      <c r="I5" s="522"/>
      <c r="J5" s="587" t="s">
        <v>437</v>
      </c>
      <c r="K5" s="588">
        <v>3910</v>
      </c>
      <c r="L5" s="588" t="s">
        <v>46</v>
      </c>
      <c r="M5" s="522">
        <v>33593.784</v>
      </c>
      <c r="N5" s="590">
        <v>42865</v>
      </c>
      <c r="O5" s="591" t="s">
        <v>103</v>
      </c>
      <c r="P5" s="925"/>
      <c r="Q5" s="928"/>
    </row>
    <row r="6" spans="2:17" s="361" customFormat="1" ht="13.5" thickBot="1">
      <c r="B6" s="641"/>
      <c r="D6" s="642"/>
      <c r="E6" s="643"/>
      <c r="F6" s="372"/>
      <c r="G6" s="372"/>
      <c r="H6" s="372"/>
      <c r="I6" s="372"/>
      <c r="K6" s="642"/>
      <c r="L6" s="642"/>
      <c r="M6" s="372"/>
      <c r="N6" s="644"/>
      <c r="O6" s="373"/>
      <c r="P6" s="692"/>
      <c r="Q6" s="693"/>
    </row>
    <row r="7" spans="2:17">
      <c r="B7" s="580">
        <v>42784</v>
      </c>
      <c r="C7" s="581" t="s">
        <v>438</v>
      </c>
      <c r="D7" s="582" t="s">
        <v>436</v>
      </c>
      <c r="E7" s="583">
        <v>30905</v>
      </c>
      <c r="F7" s="520">
        <v>4.22</v>
      </c>
      <c r="G7" s="520">
        <f t="shared" si="0"/>
        <v>130419.09999999999</v>
      </c>
      <c r="H7" s="520">
        <f t="shared" si="1"/>
        <v>23475.437999999998</v>
      </c>
      <c r="I7" s="520">
        <f t="shared" si="2"/>
        <v>153894.538</v>
      </c>
      <c r="J7" s="520" t="s">
        <v>437</v>
      </c>
      <c r="K7" s="582">
        <v>150</v>
      </c>
      <c r="L7" s="582" t="s">
        <v>45</v>
      </c>
      <c r="M7" s="520">
        <v>60000</v>
      </c>
      <c r="N7" s="598">
        <v>42751</v>
      </c>
      <c r="O7" s="585" t="s">
        <v>103</v>
      </c>
      <c r="P7" s="923" t="s">
        <v>872</v>
      </c>
      <c r="Q7" s="926" t="s">
        <v>45</v>
      </c>
    </row>
    <row r="8" spans="2:17">
      <c r="B8" s="574">
        <v>42795</v>
      </c>
      <c r="C8" s="575" t="s">
        <v>438</v>
      </c>
      <c r="D8" s="576" t="s">
        <v>436</v>
      </c>
      <c r="E8" s="577">
        <v>15460</v>
      </c>
      <c r="F8" s="521">
        <v>4.22</v>
      </c>
      <c r="G8" s="521">
        <f t="shared" si="0"/>
        <v>65241.2</v>
      </c>
      <c r="H8" s="521">
        <f t="shared" si="1"/>
        <v>11743.415999999999</v>
      </c>
      <c r="I8" s="521">
        <f t="shared" si="2"/>
        <v>76984.615999999995</v>
      </c>
      <c r="J8" s="521" t="s">
        <v>437</v>
      </c>
      <c r="K8" s="576">
        <v>345</v>
      </c>
      <c r="L8" s="576" t="s">
        <v>45</v>
      </c>
      <c r="M8" s="521">
        <v>80000</v>
      </c>
      <c r="N8" s="599">
        <v>42811</v>
      </c>
      <c r="O8" s="579" t="s">
        <v>103</v>
      </c>
      <c r="P8" s="924"/>
      <c r="Q8" s="927"/>
    </row>
    <row r="9" spans="2:17">
      <c r="B9" s="574">
        <v>42808</v>
      </c>
      <c r="C9" s="575" t="s">
        <v>438</v>
      </c>
      <c r="D9" s="576" t="s">
        <v>436</v>
      </c>
      <c r="E9" s="577">
        <v>16380</v>
      </c>
      <c r="F9" s="521">
        <v>4.22</v>
      </c>
      <c r="G9" s="521">
        <f t="shared" si="0"/>
        <v>69123.599999999991</v>
      </c>
      <c r="H9" s="521">
        <f t="shared" si="1"/>
        <v>12442.247999999998</v>
      </c>
      <c r="I9" s="521">
        <f t="shared" si="2"/>
        <v>81565.847999999984</v>
      </c>
      <c r="J9" s="575" t="s">
        <v>437</v>
      </c>
      <c r="K9" s="576">
        <v>372</v>
      </c>
      <c r="L9" s="576" t="s">
        <v>45</v>
      </c>
      <c r="M9" s="521">
        <v>50000</v>
      </c>
      <c r="N9" s="599">
        <v>42828</v>
      </c>
      <c r="O9" s="579" t="s">
        <v>103</v>
      </c>
      <c r="P9" s="924"/>
      <c r="Q9" s="927"/>
    </row>
    <row r="10" spans="2:17">
      <c r="B10" s="574">
        <v>42825</v>
      </c>
      <c r="C10" s="575" t="s">
        <v>438</v>
      </c>
      <c r="D10" s="576" t="s">
        <v>436</v>
      </c>
      <c r="E10" s="577">
        <v>5986</v>
      </c>
      <c r="F10" s="521">
        <v>4.22</v>
      </c>
      <c r="G10" s="521">
        <f t="shared" si="0"/>
        <v>25260.92</v>
      </c>
      <c r="H10" s="521">
        <f t="shared" si="1"/>
        <v>4546.9655999999995</v>
      </c>
      <c r="I10" s="521">
        <f t="shared" si="2"/>
        <v>29807.885599999998</v>
      </c>
      <c r="J10" s="575" t="s">
        <v>437</v>
      </c>
      <c r="K10" s="576">
        <v>411</v>
      </c>
      <c r="L10" s="576" t="s">
        <v>45</v>
      </c>
      <c r="M10" s="521">
        <v>35000</v>
      </c>
      <c r="N10" s="578">
        <v>42842</v>
      </c>
      <c r="O10" s="579" t="s">
        <v>103</v>
      </c>
      <c r="P10" s="924"/>
      <c r="Q10" s="927"/>
    </row>
    <row r="11" spans="2:17" ht="13.5" thickBot="1">
      <c r="B11" s="586">
        <v>42836</v>
      </c>
      <c r="C11" s="587" t="s">
        <v>438</v>
      </c>
      <c r="D11" s="588" t="s">
        <v>436</v>
      </c>
      <c r="E11" s="589">
        <v>4995</v>
      </c>
      <c r="F11" s="522">
        <v>4.22</v>
      </c>
      <c r="G11" s="522">
        <f t="shared" si="0"/>
        <v>21078.899999999998</v>
      </c>
      <c r="H11" s="522">
        <f t="shared" si="1"/>
        <v>3794.2019999999993</v>
      </c>
      <c r="I11" s="522">
        <f t="shared" si="2"/>
        <v>24873.101999999999</v>
      </c>
      <c r="J11" s="587" t="s">
        <v>437</v>
      </c>
      <c r="K11" s="588">
        <v>482</v>
      </c>
      <c r="L11" s="588" t="s">
        <v>45</v>
      </c>
      <c r="M11" s="522">
        <v>142126.49</v>
      </c>
      <c r="N11" s="590">
        <v>42865</v>
      </c>
      <c r="O11" s="591" t="s">
        <v>103</v>
      </c>
      <c r="P11" s="925"/>
      <c r="Q11" s="928"/>
    </row>
    <row r="12" spans="2:17" s="361" customFormat="1" ht="13.5" thickBot="1">
      <c r="B12" s="641"/>
      <c r="D12" s="642"/>
      <c r="E12" s="643"/>
      <c r="F12" s="372"/>
      <c r="G12" s="372"/>
      <c r="H12" s="372"/>
      <c r="I12" s="372"/>
      <c r="K12" s="642"/>
      <c r="L12" s="642"/>
      <c r="M12" s="372"/>
      <c r="N12" s="644"/>
      <c r="O12" s="373"/>
      <c r="P12" s="692"/>
      <c r="Q12" s="693"/>
    </row>
    <row r="13" spans="2:17">
      <c r="B13" s="580">
        <v>42838</v>
      </c>
      <c r="C13" s="581" t="s">
        <v>438</v>
      </c>
      <c r="D13" s="582" t="s">
        <v>436</v>
      </c>
      <c r="E13" s="583">
        <v>3694</v>
      </c>
      <c r="F13" s="520">
        <v>4.0999999999999996</v>
      </c>
      <c r="G13" s="520">
        <f>+E13*F13</f>
        <v>15145.399999999998</v>
      </c>
      <c r="H13" s="520">
        <f>+G13*0.18</f>
        <v>2726.1719999999996</v>
      </c>
      <c r="I13" s="520">
        <f>+H13+G13</f>
        <v>17871.571999999996</v>
      </c>
      <c r="J13" s="581" t="s">
        <v>437</v>
      </c>
      <c r="K13" s="582">
        <v>525</v>
      </c>
      <c r="L13" s="582" t="s">
        <v>45</v>
      </c>
      <c r="M13" s="520">
        <v>60000</v>
      </c>
      <c r="N13" s="584">
        <v>42877</v>
      </c>
      <c r="O13" s="585" t="s">
        <v>103</v>
      </c>
      <c r="P13" s="923" t="s">
        <v>875</v>
      </c>
      <c r="Q13" s="926" t="s">
        <v>45</v>
      </c>
    </row>
    <row r="14" spans="2:17">
      <c r="B14" s="574">
        <v>42849</v>
      </c>
      <c r="C14" s="575" t="s">
        <v>438</v>
      </c>
      <c r="D14" s="576" t="s">
        <v>436</v>
      </c>
      <c r="E14" s="577">
        <v>6403</v>
      </c>
      <c r="F14" s="521">
        <v>4.0999999999999996</v>
      </c>
      <c r="G14" s="521">
        <f t="shared" ref="G14:G26" si="3">+E14*F14</f>
        <v>26252.3</v>
      </c>
      <c r="H14" s="521">
        <f t="shared" ref="H14:H26" si="4">+G14*0.18</f>
        <v>4725.4139999999998</v>
      </c>
      <c r="I14" s="521">
        <f t="shared" ref="I14:I26" si="5">+H14+G14</f>
        <v>30977.714</v>
      </c>
      <c r="J14" s="575" t="s">
        <v>437</v>
      </c>
      <c r="K14" s="576">
        <v>621</v>
      </c>
      <c r="L14" s="576" t="s">
        <v>45</v>
      </c>
      <c r="M14" s="521">
        <v>80000</v>
      </c>
      <c r="N14" s="578">
        <v>42901</v>
      </c>
      <c r="O14" s="579" t="s">
        <v>103</v>
      </c>
      <c r="P14" s="924"/>
      <c r="Q14" s="927"/>
    </row>
    <row r="15" spans="2:17">
      <c r="B15" s="574">
        <v>42867</v>
      </c>
      <c r="C15" s="575" t="s">
        <v>438</v>
      </c>
      <c r="D15" s="576" t="s">
        <v>436</v>
      </c>
      <c r="E15" s="577">
        <v>6510</v>
      </c>
      <c r="F15" s="521">
        <v>4.0999999999999996</v>
      </c>
      <c r="G15" s="521">
        <f t="shared" si="3"/>
        <v>26690.999999999996</v>
      </c>
      <c r="H15" s="521">
        <f t="shared" si="4"/>
        <v>4804.3799999999992</v>
      </c>
      <c r="I15" s="521">
        <f t="shared" si="5"/>
        <v>31495.379999999997</v>
      </c>
      <c r="J15" s="575" t="s">
        <v>437</v>
      </c>
      <c r="K15" s="576">
        <v>739</v>
      </c>
      <c r="L15" s="576" t="s">
        <v>45</v>
      </c>
      <c r="M15" s="521">
        <v>100000</v>
      </c>
      <c r="N15" s="578">
        <v>42940</v>
      </c>
      <c r="O15" s="579" t="s">
        <v>103</v>
      </c>
      <c r="P15" s="924"/>
      <c r="Q15" s="927"/>
    </row>
    <row r="16" spans="2:17">
      <c r="B16" s="574">
        <v>42879</v>
      </c>
      <c r="C16" s="575" t="s">
        <v>438</v>
      </c>
      <c r="D16" s="576" t="s">
        <v>436</v>
      </c>
      <c r="E16" s="577">
        <v>5998</v>
      </c>
      <c r="F16" s="521">
        <v>4.0999999999999996</v>
      </c>
      <c r="G16" s="521">
        <f t="shared" si="3"/>
        <v>24591.8</v>
      </c>
      <c r="H16" s="521">
        <f t="shared" si="4"/>
        <v>4426.5239999999994</v>
      </c>
      <c r="I16" s="521">
        <f t="shared" si="5"/>
        <v>29018.324000000001</v>
      </c>
      <c r="J16" s="575" t="s">
        <v>437</v>
      </c>
      <c r="K16" s="576">
        <v>740</v>
      </c>
      <c r="L16" s="576" t="s">
        <v>45</v>
      </c>
      <c r="M16" s="521">
        <v>60000</v>
      </c>
      <c r="N16" s="578">
        <v>42943</v>
      </c>
      <c r="O16" s="579" t="s">
        <v>103</v>
      </c>
      <c r="P16" s="924"/>
      <c r="Q16" s="927"/>
    </row>
    <row r="17" spans="2:17">
      <c r="B17" s="574">
        <v>42887</v>
      </c>
      <c r="C17" s="575" t="s">
        <v>438</v>
      </c>
      <c r="D17" s="576" t="s">
        <v>436</v>
      </c>
      <c r="E17" s="577">
        <v>4662</v>
      </c>
      <c r="F17" s="521">
        <v>4.0999999999999996</v>
      </c>
      <c r="G17" s="521">
        <f t="shared" si="3"/>
        <v>19114.199999999997</v>
      </c>
      <c r="H17" s="521">
        <f t="shared" si="4"/>
        <v>3440.5559999999991</v>
      </c>
      <c r="I17" s="521">
        <f t="shared" si="5"/>
        <v>22554.755999999998</v>
      </c>
      <c r="J17" s="575" t="s">
        <v>437</v>
      </c>
      <c r="K17" s="576">
        <v>830</v>
      </c>
      <c r="L17" s="576" t="s">
        <v>45</v>
      </c>
      <c r="M17" s="521">
        <v>100000</v>
      </c>
      <c r="N17" s="578">
        <v>42963</v>
      </c>
      <c r="O17" s="579" t="s">
        <v>103</v>
      </c>
      <c r="P17" s="924"/>
      <c r="Q17" s="927"/>
    </row>
    <row r="18" spans="2:17">
      <c r="B18" s="574">
        <v>42893</v>
      </c>
      <c r="C18" s="575" t="s">
        <v>438</v>
      </c>
      <c r="D18" s="576" t="s">
        <v>436</v>
      </c>
      <c r="E18" s="577">
        <v>4753</v>
      </c>
      <c r="F18" s="521">
        <v>4.0999999999999996</v>
      </c>
      <c r="G18" s="521">
        <f t="shared" si="3"/>
        <v>19487.3</v>
      </c>
      <c r="H18" s="521">
        <f t="shared" si="4"/>
        <v>3507.7139999999999</v>
      </c>
      <c r="I18" s="521">
        <f t="shared" si="5"/>
        <v>22995.013999999999</v>
      </c>
      <c r="J18" s="575" t="s">
        <v>437</v>
      </c>
      <c r="K18" s="576">
        <v>831</v>
      </c>
      <c r="L18" s="576" t="s">
        <v>45</v>
      </c>
      <c r="M18" s="521">
        <v>72777.786999999997</v>
      </c>
      <c r="N18" s="578">
        <v>42963</v>
      </c>
      <c r="O18" s="579" t="s">
        <v>103</v>
      </c>
      <c r="P18" s="924"/>
      <c r="Q18" s="927"/>
    </row>
    <row r="19" spans="2:17">
      <c r="B19" s="574">
        <v>42900</v>
      </c>
      <c r="C19" s="575" t="s">
        <v>438</v>
      </c>
      <c r="D19" s="576" t="s">
        <v>436</v>
      </c>
      <c r="E19" s="577">
        <v>5116</v>
      </c>
      <c r="F19" s="521">
        <v>4.0999999999999996</v>
      </c>
      <c r="G19" s="521">
        <f t="shared" si="3"/>
        <v>20975.599999999999</v>
      </c>
      <c r="H19" s="521">
        <f t="shared" si="4"/>
        <v>3775.6079999999997</v>
      </c>
      <c r="I19" s="521">
        <f t="shared" si="5"/>
        <v>24751.207999999999</v>
      </c>
      <c r="J19" s="575"/>
      <c r="K19" s="576"/>
      <c r="L19" s="576"/>
      <c r="M19" s="521"/>
      <c r="N19" s="578"/>
      <c r="O19" s="579"/>
      <c r="P19" s="924"/>
      <c r="Q19" s="927"/>
    </row>
    <row r="20" spans="2:17">
      <c r="B20" s="574">
        <v>42915</v>
      </c>
      <c r="C20" s="575" t="s">
        <v>438</v>
      </c>
      <c r="D20" s="576" t="s">
        <v>436</v>
      </c>
      <c r="E20" s="577">
        <v>4553</v>
      </c>
      <c r="F20" s="521">
        <v>4.0999999999999996</v>
      </c>
      <c r="G20" s="521">
        <f t="shared" si="3"/>
        <v>18667.3</v>
      </c>
      <c r="H20" s="521">
        <f t="shared" si="4"/>
        <v>3360.1139999999996</v>
      </c>
      <c r="I20" s="521">
        <f t="shared" si="5"/>
        <v>22027.413999999997</v>
      </c>
      <c r="J20" s="575"/>
      <c r="K20" s="576"/>
      <c r="L20" s="576"/>
      <c r="M20" s="521"/>
      <c r="N20" s="578"/>
      <c r="O20" s="579"/>
      <c r="P20" s="924"/>
      <c r="Q20" s="927"/>
    </row>
    <row r="21" spans="2:17">
      <c r="B21" s="574">
        <v>42916</v>
      </c>
      <c r="C21" s="575" t="s">
        <v>438</v>
      </c>
      <c r="D21" s="576" t="s">
        <v>436</v>
      </c>
      <c r="E21" s="577">
        <v>3889</v>
      </c>
      <c r="F21" s="521">
        <v>4.0999999999999996</v>
      </c>
      <c r="G21" s="521">
        <f t="shared" si="3"/>
        <v>15944.899999999998</v>
      </c>
      <c r="H21" s="521">
        <f t="shared" si="4"/>
        <v>2870.0819999999994</v>
      </c>
      <c r="I21" s="521">
        <f t="shared" si="5"/>
        <v>18814.981999999996</v>
      </c>
      <c r="J21" s="575"/>
      <c r="K21" s="576"/>
      <c r="L21" s="576"/>
      <c r="M21" s="521"/>
      <c r="N21" s="578"/>
      <c r="O21" s="579"/>
      <c r="P21" s="924"/>
      <c r="Q21" s="927"/>
    </row>
    <row r="22" spans="2:17">
      <c r="B22" s="574">
        <v>42922</v>
      </c>
      <c r="C22" s="575" t="s">
        <v>438</v>
      </c>
      <c r="D22" s="576" t="s">
        <v>436</v>
      </c>
      <c r="E22" s="577">
        <v>1694</v>
      </c>
      <c r="F22" s="521">
        <v>4.0999999999999996</v>
      </c>
      <c r="G22" s="521">
        <f t="shared" si="3"/>
        <v>6945.4</v>
      </c>
      <c r="H22" s="521">
        <f t="shared" si="4"/>
        <v>1250.1719999999998</v>
      </c>
      <c r="I22" s="521">
        <f t="shared" si="5"/>
        <v>8195.5720000000001</v>
      </c>
      <c r="J22" s="575"/>
      <c r="K22" s="576"/>
      <c r="L22" s="576"/>
      <c r="M22" s="521"/>
      <c r="N22" s="578"/>
      <c r="O22" s="579"/>
      <c r="P22" s="924"/>
      <c r="Q22" s="927"/>
    </row>
    <row r="23" spans="2:17">
      <c r="B23" s="574">
        <v>42922</v>
      </c>
      <c r="C23" s="575" t="s">
        <v>438</v>
      </c>
      <c r="D23" s="576" t="s">
        <v>436</v>
      </c>
      <c r="E23" s="577">
        <v>1634</v>
      </c>
      <c r="F23" s="521">
        <v>4.0999999999999996</v>
      </c>
      <c r="G23" s="521">
        <f t="shared" si="3"/>
        <v>6699.4</v>
      </c>
      <c r="H23" s="521">
        <f t="shared" si="4"/>
        <v>1205.8919999999998</v>
      </c>
      <c r="I23" s="521">
        <f t="shared" si="5"/>
        <v>7905.2919999999995</v>
      </c>
      <c r="J23" s="575"/>
      <c r="K23" s="576"/>
      <c r="L23" s="576"/>
      <c r="M23" s="521"/>
      <c r="N23" s="578"/>
      <c r="O23" s="579"/>
      <c r="P23" s="924"/>
      <c r="Q23" s="927"/>
    </row>
    <row r="24" spans="2:17">
      <c r="B24" s="574">
        <v>42926</v>
      </c>
      <c r="C24" s="575" t="s">
        <v>438</v>
      </c>
      <c r="D24" s="576" t="s">
        <v>436</v>
      </c>
      <c r="E24" s="577">
        <v>1450</v>
      </c>
      <c r="F24" s="521">
        <v>4.0999999999999996</v>
      </c>
      <c r="G24" s="521">
        <f t="shared" si="3"/>
        <v>5944.9999999999991</v>
      </c>
      <c r="H24" s="521">
        <f t="shared" si="4"/>
        <v>1070.0999999999999</v>
      </c>
      <c r="I24" s="521">
        <f t="shared" si="5"/>
        <v>7015.0999999999985</v>
      </c>
      <c r="J24" s="575"/>
      <c r="K24" s="576"/>
      <c r="L24" s="576"/>
      <c r="M24" s="521"/>
      <c r="N24" s="578"/>
      <c r="O24" s="579"/>
      <c r="P24" s="924"/>
      <c r="Q24" s="927"/>
    </row>
    <row r="25" spans="2:17">
      <c r="B25" s="574">
        <v>42930</v>
      </c>
      <c r="C25" s="575" t="s">
        <v>438</v>
      </c>
      <c r="D25" s="576" t="s">
        <v>436</v>
      </c>
      <c r="E25" s="577">
        <v>3022</v>
      </c>
      <c r="F25" s="521">
        <v>4.0999999999999996</v>
      </c>
      <c r="G25" s="521">
        <f t="shared" si="3"/>
        <v>12390.199999999999</v>
      </c>
      <c r="H25" s="521">
        <f t="shared" si="4"/>
        <v>2230.2359999999999</v>
      </c>
      <c r="I25" s="521">
        <f t="shared" si="5"/>
        <v>14620.435999999998</v>
      </c>
      <c r="J25" s="575"/>
      <c r="K25" s="576"/>
      <c r="L25" s="576"/>
      <c r="M25" s="521"/>
      <c r="N25" s="578"/>
      <c r="O25" s="579"/>
      <c r="P25" s="924"/>
      <c r="Q25" s="927"/>
    </row>
    <row r="26" spans="2:17">
      <c r="B26" s="574">
        <v>42942</v>
      </c>
      <c r="C26" s="575" t="s">
        <v>438</v>
      </c>
      <c r="D26" s="576" t="s">
        <v>436</v>
      </c>
      <c r="E26" s="577">
        <v>2704</v>
      </c>
      <c r="F26" s="521">
        <v>4.0999999999999996</v>
      </c>
      <c r="G26" s="521">
        <f t="shared" si="3"/>
        <v>11086.4</v>
      </c>
      <c r="H26" s="521">
        <f t="shared" si="4"/>
        <v>1995.5519999999999</v>
      </c>
      <c r="I26" s="521">
        <f t="shared" si="5"/>
        <v>13081.951999999999</v>
      </c>
      <c r="J26" s="575"/>
      <c r="K26" s="576"/>
      <c r="L26" s="576"/>
      <c r="M26" s="521"/>
      <c r="N26" s="578"/>
      <c r="O26" s="579"/>
      <c r="P26" s="924"/>
      <c r="Q26" s="927"/>
    </row>
    <row r="27" spans="2:17">
      <c r="B27" s="574">
        <v>42894</v>
      </c>
      <c r="C27" s="575" t="s">
        <v>501</v>
      </c>
      <c r="D27" s="576" t="s">
        <v>436</v>
      </c>
      <c r="E27" s="577">
        <v>29940</v>
      </c>
      <c r="F27" s="521">
        <v>1.35</v>
      </c>
      <c r="G27" s="521">
        <f>+E27*F27</f>
        <v>40419</v>
      </c>
      <c r="H27" s="521">
        <f>+G27*0.18</f>
        <v>7275.42</v>
      </c>
      <c r="I27" s="521">
        <f>+H27+G27</f>
        <v>47694.42</v>
      </c>
      <c r="J27" s="575"/>
      <c r="K27" s="576"/>
      <c r="L27" s="576"/>
      <c r="M27" s="521"/>
      <c r="N27" s="578"/>
      <c r="O27" s="579"/>
      <c r="P27" s="924"/>
      <c r="Q27" s="927"/>
    </row>
    <row r="28" spans="2:17">
      <c r="B28" s="574">
        <v>42899</v>
      </c>
      <c r="C28" s="575" t="s">
        <v>501</v>
      </c>
      <c r="D28" s="576" t="s">
        <v>436</v>
      </c>
      <c r="E28" s="577">
        <v>32820</v>
      </c>
      <c r="F28" s="521">
        <v>1.35</v>
      </c>
      <c r="G28" s="521">
        <f t="shared" ref="G28:G31" si="6">+E28*F28</f>
        <v>44307</v>
      </c>
      <c r="H28" s="521">
        <f t="shared" ref="H28:H31" si="7">+G28*0.18</f>
        <v>7975.2599999999993</v>
      </c>
      <c r="I28" s="521">
        <f t="shared" ref="I28:I31" si="8">+H28+G28</f>
        <v>52282.26</v>
      </c>
      <c r="J28" s="575"/>
      <c r="K28" s="576"/>
      <c r="L28" s="576"/>
      <c r="M28" s="521"/>
      <c r="N28" s="578"/>
      <c r="O28" s="579"/>
      <c r="P28" s="924"/>
      <c r="Q28" s="927"/>
    </row>
    <row r="29" spans="2:17">
      <c r="B29" s="574">
        <v>42922</v>
      </c>
      <c r="C29" s="575" t="s">
        <v>501</v>
      </c>
      <c r="D29" s="576" t="s">
        <v>436</v>
      </c>
      <c r="E29" s="577">
        <v>31960</v>
      </c>
      <c r="F29" s="521">
        <v>1.35</v>
      </c>
      <c r="G29" s="521">
        <f t="shared" si="6"/>
        <v>43146</v>
      </c>
      <c r="H29" s="521">
        <f t="shared" si="7"/>
        <v>7766.28</v>
      </c>
      <c r="I29" s="521">
        <f t="shared" si="8"/>
        <v>50912.28</v>
      </c>
      <c r="J29" s="575"/>
      <c r="K29" s="576"/>
      <c r="L29" s="576"/>
      <c r="M29" s="521"/>
      <c r="N29" s="578"/>
      <c r="O29" s="579"/>
      <c r="P29" s="924"/>
      <c r="Q29" s="927"/>
    </row>
    <row r="30" spans="2:17">
      <c r="B30" s="574">
        <v>42927</v>
      </c>
      <c r="C30" s="575" t="s">
        <v>501</v>
      </c>
      <c r="D30" s="576" t="s">
        <v>436</v>
      </c>
      <c r="E30" s="577">
        <v>3121</v>
      </c>
      <c r="F30" s="521">
        <v>1.35</v>
      </c>
      <c r="G30" s="521">
        <f t="shared" si="6"/>
        <v>4213.3500000000004</v>
      </c>
      <c r="H30" s="521">
        <f t="shared" si="7"/>
        <v>758.40300000000002</v>
      </c>
      <c r="I30" s="521">
        <f t="shared" si="8"/>
        <v>4971.7530000000006</v>
      </c>
      <c r="J30" s="575"/>
      <c r="K30" s="576"/>
      <c r="L30" s="576"/>
      <c r="M30" s="521"/>
      <c r="N30" s="578"/>
      <c r="O30" s="579"/>
      <c r="P30" s="924"/>
      <c r="Q30" s="927"/>
    </row>
    <row r="31" spans="2:17" ht="13.5" thickBot="1">
      <c r="B31" s="586">
        <v>42943</v>
      </c>
      <c r="C31" s="587" t="s">
        <v>501</v>
      </c>
      <c r="D31" s="588" t="s">
        <v>436</v>
      </c>
      <c r="E31" s="589">
        <v>33140</v>
      </c>
      <c r="F31" s="522">
        <v>1.35</v>
      </c>
      <c r="G31" s="522">
        <f t="shared" si="6"/>
        <v>44739</v>
      </c>
      <c r="H31" s="522">
        <f t="shared" si="7"/>
        <v>8053.0199999999995</v>
      </c>
      <c r="I31" s="522">
        <f t="shared" si="8"/>
        <v>52792.02</v>
      </c>
      <c r="J31" s="587"/>
      <c r="K31" s="588"/>
      <c r="L31" s="588"/>
      <c r="M31" s="522"/>
      <c r="N31" s="590"/>
      <c r="O31" s="591"/>
      <c r="P31" s="925"/>
      <c r="Q31" s="928"/>
    </row>
    <row r="32" spans="2:17" ht="13.5" thickBot="1"/>
    <row r="33" spans="2:20">
      <c r="B33" s="580">
        <v>42838</v>
      </c>
      <c r="C33" s="581" t="s">
        <v>439</v>
      </c>
      <c r="D33" s="582" t="s">
        <v>436</v>
      </c>
      <c r="E33" s="583">
        <v>236</v>
      </c>
      <c r="F33" s="520">
        <v>30</v>
      </c>
      <c r="G33" s="520">
        <f t="shared" ref="G33:G38" si="9">+E33*F33</f>
        <v>7080</v>
      </c>
      <c r="H33" s="520">
        <f>G33*0.18</f>
        <v>1274.3999999999999</v>
      </c>
      <c r="I33" s="520">
        <f>+G33+H33</f>
        <v>8354.4</v>
      </c>
      <c r="J33" s="581" t="s">
        <v>437</v>
      </c>
      <c r="K33" s="582">
        <v>3938</v>
      </c>
      <c r="L33" s="582" t="s">
        <v>46</v>
      </c>
      <c r="M33" s="520">
        <f>20000/0.985</f>
        <v>20304.568527918782</v>
      </c>
      <c r="N33" s="584">
        <v>42901</v>
      </c>
      <c r="O33" s="585" t="s">
        <v>103</v>
      </c>
      <c r="P33" s="923" t="s">
        <v>875</v>
      </c>
      <c r="Q33" s="926" t="s">
        <v>46</v>
      </c>
    </row>
    <row r="34" spans="2:20">
      <c r="B34" s="574">
        <v>42849</v>
      </c>
      <c r="C34" s="575" t="s">
        <v>439</v>
      </c>
      <c r="D34" s="576" t="s">
        <v>436</v>
      </c>
      <c r="E34" s="577">
        <v>466</v>
      </c>
      <c r="F34" s="521">
        <v>30</v>
      </c>
      <c r="G34" s="521">
        <f t="shared" si="9"/>
        <v>13980</v>
      </c>
      <c r="H34" s="521">
        <f>G34*0.18</f>
        <v>2516.4</v>
      </c>
      <c r="I34" s="521">
        <f>+G34+H34</f>
        <v>16496.400000000001</v>
      </c>
      <c r="J34" s="575" t="s">
        <v>437</v>
      </c>
      <c r="K34" s="576">
        <v>4116</v>
      </c>
      <c r="L34" s="576" t="s">
        <v>46</v>
      </c>
      <c r="M34" s="521">
        <v>20000</v>
      </c>
      <c r="N34" s="578">
        <v>42985</v>
      </c>
      <c r="O34" s="579" t="s">
        <v>103</v>
      </c>
      <c r="P34" s="924"/>
      <c r="Q34" s="927"/>
    </row>
    <row r="35" spans="2:20">
      <c r="B35" s="574">
        <v>42867</v>
      </c>
      <c r="C35" s="575" t="s">
        <v>439</v>
      </c>
      <c r="D35" s="576" t="s">
        <v>436</v>
      </c>
      <c r="E35" s="577">
        <v>154</v>
      </c>
      <c r="F35" s="521">
        <v>30</v>
      </c>
      <c r="G35" s="521">
        <f t="shared" si="9"/>
        <v>4620</v>
      </c>
      <c r="H35" s="521">
        <f>G35*0.18</f>
        <v>831.6</v>
      </c>
      <c r="I35" s="521">
        <f>+G35+H35</f>
        <v>5451.6</v>
      </c>
      <c r="J35" s="575" t="s">
        <v>437</v>
      </c>
      <c r="K35" s="576">
        <v>4173</v>
      </c>
      <c r="L35" s="576" t="s">
        <v>46</v>
      </c>
      <c r="M35" s="521">
        <v>18377.330999999998</v>
      </c>
      <c r="N35" s="578">
        <v>43014</v>
      </c>
      <c r="O35" s="579" t="s">
        <v>103</v>
      </c>
      <c r="P35" s="924"/>
      <c r="Q35" s="927"/>
    </row>
    <row r="36" spans="2:20">
      <c r="B36" s="574">
        <v>42887</v>
      </c>
      <c r="C36" s="575" t="s">
        <v>439</v>
      </c>
      <c r="D36" s="576" t="s">
        <v>436</v>
      </c>
      <c r="E36" s="577">
        <v>205</v>
      </c>
      <c r="F36" s="521">
        <v>30</v>
      </c>
      <c r="G36" s="521">
        <f t="shared" si="9"/>
        <v>6150</v>
      </c>
      <c r="H36" s="521">
        <f>G36*0.18</f>
        <v>1107</v>
      </c>
      <c r="I36" s="521">
        <f>+G36+H36</f>
        <v>7257</v>
      </c>
      <c r="J36" s="575"/>
      <c r="K36" s="576"/>
      <c r="L36" s="576"/>
      <c r="M36" s="521"/>
      <c r="N36" s="578"/>
      <c r="O36" s="579"/>
      <c r="P36" s="924"/>
      <c r="Q36" s="927"/>
    </row>
    <row r="37" spans="2:20">
      <c r="B37" s="574">
        <v>42977</v>
      </c>
      <c r="C37" s="575" t="s">
        <v>439</v>
      </c>
      <c r="D37" s="576" t="s">
        <v>436</v>
      </c>
      <c r="E37" s="577">
        <v>532</v>
      </c>
      <c r="F37" s="521">
        <v>30</v>
      </c>
      <c r="G37" s="521">
        <f t="shared" si="9"/>
        <v>15960</v>
      </c>
      <c r="H37" s="521">
        <f>G37*0.18</f>
        <v>2872.7999999999997</v>
      </c>
      <c r="I37" s="521">
        <f>+G37+H37</f>
        <v>18832.8</v>
      </c>
      <c r="J37" s="575"/>
      <c r="K37" s="576"/>
      <c r="L37" s="576"/>
      <c r="M37" s="521"/>
      <c r="N37" s="578"/>
      <c r="O37" s="579"/>
      <c r="P37" s="924"/>
      <c r="Q37" s="927"/>
    </row>
    <row r="38" spans="2:20" ht="13.5" thickBot="1">
      <c r="B38" s="586">
        <v>42838</v>
      </c>
      <c r="C38" s="587" t="s">
        <v>462</v>
      </c>
      <c r="D38" s="588" t="s">
        <v>436</v>
      </c>
      <c r="E38" s="589">
        <v>485</v>
      </c>
      <c r="F38" s="522">
        <v>4</v>
      </c>
      <c r="G38" s="522">
        <f t="shared" si="9"/>
        <v>1940</v>
      </c>
      <c r="H38" s="522">
        <f>+G38*0.18</f>
        <v>349.2</v>
      </c>
      <c r="I38" s="522">
        <f>+H38+G38</f>
        <v>2289.1999999999998</v>
      </c>
      <c r="J38" s="587"/>
      <c r="K38" s="588"/>
      <c r="L38" s="588"/>
      <c r="M38" s="522"/>
      <c r="N38" s="590"/>
      <c r="O38" s="591"/>
      <c r="P38" s="925"/>
      <c r="Q38" s="928"/>
    </row>
    <row r="39" spans="2:20" ht="13.5" thickBot="1">
      <c r="B39" s="601"/>
      <c r="C39" s="602"/>
      <c r="D39" s="603"/>
      <c r="E39" s="604"/>
      <c r="F39" s="605"/>
      <c r="G39" s="372"/>
      <c r="H39" s="605"/>
      <c r="I39" s="605"/>
      <c r="J39" s="602"/>
      <c r="K39" s="603"/>
      <c r="L39" s="603"/>
      <c r="M39" s="605"/>
      <c r="N39" s="606"/>
      <c r="O39" s="607"/>
      <c r="P39" s="695"/>
    </row>
    <row r="40" spans="2:20" s="47" customFormat="1">
      <c r="B40" s="580">
        <v>42954</v>
      </c>
      <c r="C40" s="581" t="s">
        <v>438</v>
      </c>
      <c r="D40" s="582" t="s">
        <v>436</v>
      </c>
      <c r="E40" s="583">
        <v>3066</v>
      </c>
      <c r="F40" s="520">
        <v>4.0999999999999996</v>
      </c>
      <c r="G40" s="520">
        <f>+E40*F40</f>
        <v>12570.599999999999</v>
      </c>
      <c r="H40" s="520">
        <f>+G40*0.18</f>
        <v>2262.7079999999996</v>
      </c>
      <c r="I40" s="520">
        <f>+H40+G40</f>
        <v>14833.307999999997</v>
      </c>
      <c r="J40" s="581" t="s">
        <v>437</v>
      </c>
      <c r="K40" s="582">
        <v>897</v>
      </c>
      <c r="L40" s="582" t="s">
        <v>45</v>
      </c>
      <c r="M40" s="520">
        <v>50000</v>
      </c>
      <c r="N40" s="584">
        <v>42989</v>
      </c>
      <c r="O40" s="585" t="s">
        <v>103</v>
      </c>
      <c r="P40" s="923" t="s">
        <v>875</v>
      </c>
      <c r="Q40" s="926" t="s">
        <v>45</v>
      </c>
    </row>
    <row r="41" spans="2:20" s="47" customFormat="1">
      <c r="B41" s="574">
        <v>42958</v>
      </c>
      <c r="C41" s="575" t="s">
        <v>438</v>
      </c>
      <c r="D41" s="576" t="s">
        <v>436</v>
      </c>
      <c r="E41" s="577">
        <v>4570</v>
      </c>
      <c r="F41" s="521">
        <v>4.0999999999999996</v>
      </c>
      <c r="G41" s="521">
        <f>+E41*F41</f>
        <v>18737</v>
      </c>
      <c r="H41" s="521">
        <f>+G41*0.18</f>
        <v>3372.66</v>
      </c>
      <c r="I41" s="521">
        <f>+H41+G41</f>
        <v>22109.66</v>
      </c>
      <c r="J41" s="575" t="s">
        <v>437</v>
      </c>
      <c r="K41" s="576">
        <v>933</v>
      </c>
      <c r="L41" s="576" t="s">
        <v>45</v>
      </c>
      <c r="M41" s="521">
        <v>33569.756999999998</v>
      </c>
      <c r="N41" s="578">
        <v>43000</v>
      </c>
      <c r="O41" s="579" t="s">
        <v>103</v>
      </c>
      <c r="P41" s="924"/>
      <c r="Q41" s="927"/>
    </row>
    <row r="42" spans="2:20" s="47" customFormat="1">
      <c r="B42" s="574">
        <v>42965</v>
      </c>
      <c r="C42" s="575" t="s">
        <v>438</v>
      </c>
      <c r="D42" s="576" t="s">
        <v>436</v>
      </c>
      <c r="E42" s="577">
        <v>2535</v>
      </c>
      <c r="F42" s="521">
        <v>4.0999999999999996</v>
      </c>
      <c r="G42" s="521">
        <f t="shared" ref="G42:G44" si="10">+E42*F42</f>
        <v>10393.5</v>
      </c>
      <c r="H42" s="521">
        <f t="shared" ref="H42:H44" si="11">+G42*0.18</f>
        <v>1870.83</v>
      </c>
      <c r="I42" s="521">
        <f t="shared" ref="I42:I44" si="12">+H42+G42</f>
        <v>12264.33</v>
      </c>
      <c r="J42" s="575"/>
      <c r="K42" s="576"/>
      <c r="L42" s="576"/>
      <c r="M42" s="521"/>
      <c r="N42" s="578"/>
      <c r="O42" s="579"/>
      <c r="P42" s="924"/>
      <c r="Q42" s="927"/>
      <c r="T42" s="363"/>
    </row>
    <row r="43" spans="2:20" s="47" customFormat="1">
      <c r="B43" s="574">
        <v>42971</v>
      </c>
      <c r="C43" s="575" t="s">
        <v>438</v>
      </c>
      <c r="D43" s="576" t="s">
        <v>436</v>
      </c>
      <c r="E43" s="577">
        <v>4650</v>
      </c>
      <c r="F43" s="521">
        <v>4.0999999999999996</v>
      </c>
      <c r="G43" s="521">
        <f t="shared" si="10"/>
        <v>19065</v>
      </c>
      <c r="H43" s="521">
        <f t="shared" si="11"/>
        <v>3431.7</v>
      </c>
      <c r="I43" s="521">
        <f t="shared" si="12"/>
        <v>22496.7</v>
      </c>
      <c r="J43" s="575"/>
      <c r="K43" s="576"/>
      <c r="L43" s="576"/>
      <c r="M43" s="521"/>
      <c r="N43" s="578"/>
      <c r="O43" s="579"/>
      <c r="P43" s="924"/>
      <c r="Q43" s="927"/>
      <c r="T43" s="363"/>
    </row>
    <row r="44" spans="2:20" s="47" customFormat="1" ht="13.5" thickBot="1">
      <c r="B44" s="586">
        <v>42977</v>
      </c>
      <c r="C44" s="587" t="s">
        <v>438</v>
      </c>
      <c r="D44" s="588" t="s">
        <v>436</v>
      </c>
      <c r="E44" s="589">
        <v>2610</v>
      </c>
      <c r="F44" s="522">
        <v>4.0999999999999996</v>
      </c>
      <c r="G44" s="522">
        <f t="shared" si="10"/>
        <v>10700.999999999998</v>
      </c>
      <c r="H44" s="522">
        <f t="shared" si="11"/>
        <v>1926.1799999999996</v>
      </c>
      <c r="I44" s="522">
        <f t="shared" si="12"/>
        <v>12627.179999999998</v>
      </c>
      <c r="J44" s="587"/>
      <c r="K44" s="588"/>
      <c r="L44" s="588"/>
      <c r="M44" s="522"/>
      <c r="N44" s="590"/>
      <c r="O44" s="591"/>
      <c r="P44" s="925"/>
      <c r="Q44" s="928"/>
    </row>
    <row r="45" spans="2:20" s="47" customFormat="1" ht="13.5" thickBot="1">
      <c r="B45" s="641"/>
      <c r="C45" s="361"/>
      <c r="D45" s="642"/>
      <c r="E45" s="643"/>
      <c r="F45" s="372"/>
      <c r="G45" s="372"/>
      <c r="H45" s="372"/>
      <c r="I45" s="372"/>
      <c r="J45" s="361"/>
      <c r="K45" s="642"/>
      <c r="L45" s="642"/>
      <c r="M45" s="372"/>
      <c r="N45" s="644"/>
      <c r="O45" s="373"/>
      <c r="P45" s="696"/>
      <c r="Q45" s="691"/>
    </row>
    <row r="46" spans="2:20" s="47" customFormat="1">
      <c r="B46" s="580">
        <v>42956</v>
      </c>
      <c r="C46" s="581" t="s">
        <v>501</v>
      </c>
      <c r="D46" s="582" t="s">
        <v>436</v>
      </c>
      <c r="E46" s="583">
        <v>9684</v>
      </c>
      <c r="F46" s="520">
        <v>1.35</v>
      </c>
      <c r="G46" s="520">
        <f>+E46*F46</f>
        <v>13073.400000000001</v>
      </c>
      <c r="H46" s="520">
        <f>+G46*0.18</f>
        <v>2353.212</v>
      </c>
      <c r="I46" s="520">
        <f>+H46+G46</f>
        <v>15426.612000000001</v>
      </c>
      <c r="J46" s="581" t="s">
        <v>437</v>
      </c>
      <c r="K46" s="582">
        <v>896</v>
      </c>
      <c r="L46" s="582" t="s">
        <v>45</v>
      </c>
      <c r="M46" s="520">
        <v>100000</v>
      </c>
      <c r="N46" s="584">
        <v>42985</v>
      </c>
      <c r="O46" s="585" t="s">
        <v>103</v>
      </c>
      <c r="P46" s="923" t="s">
        <v>875</v>
      </c>
      <c r="Q46" s="926" t="s">
        <v>45</v>
      </c>
    </row>
    <row r="47" spans="2:20" s="47" customFormat="1">
      <c r="B47" s="574">
        <v>42957</v>
      </c>
      <c r="C47" s="575" t="s">
        <v>501</v>
      </c>
      <c r="D47" s="576" t="s">
        <v>436</v>
      </c>
      <c r="E47" s="577">
        <v>30640</v>
      </c>
      <c r="F47" s="521">
        <v>1.35</v>
      </c>
      <c r="G47" s="521">
        <f>+E47*F47</f>
        <v>41364</v>
      </c>
      <c r="H47" s="521">
        <f>+G47*0.18</f>
        <v>7445.5199999999995</v>
      </c>
      <c r="I47" s="521">
        <f>+H47+G47</f>
        <v>48809.52</v>
      </c>
      <c r="J47" s="575" t="s">
        <v>437</v>
      </c>
      <c r="K47" s="576">
        <v>932</v>
      </c>
      <c r="L47" s="576" t="s">
        <v>45</v>
      </c>
      <c r="M47" s="521">
        <v>50000</v>
      </c>
      <c r="N47" s="578">
        <v>43000</v>
      </c>
      <c r="O47" s="579" t="s">
        <v>103</v>
      </c>
      <c r="P47" s="924"/>
      <c r="Q47" s="927"/>
    </row>
    <row r="48" spans="2:20" s="47" customFormat="1">
      <c r="B48" s="574">
        <v>42972</v>
      </c>
      <c r="C48" s="575" t="s">
        <v>501</v>
      </c>
      <c r="D48" s="576" t="s">
        <v>436</v>
      </c>
      <c r="E48" s="577">
        <v>35720</v>
      </c>
      <c r="F48" s="521">
        <v>1.35</v>
      </c>
      <c r="G48" s="521">
        <f t="shared" ref="G48:G58" si="13">+E48*F48</f>
        <v>48222</v>
      </c>
      <c r="H48" s="521">
        <f t="shared" ref="H48:H58" si="14">+G48*0.18</f>
        <v>8679.9599999999991</v>
      </c>
      <c r="I48" s="521">
        <f t="shared" ref="I48:I58" si="15">+H48+G48</f>
        <v>56901.96</v>
      </c>
      <c r="J48" s="575" t="s">
        <v>437</v>
      </c>
      <c r="K48" s="576">
        <v>1035</v>
      </c>
      <c r="L48" s="576" t="s">
        <v>45</v>
      </c>
      <c r="M48" s="521">
        <v>80495.323000000004</v>
      </c>
      <c r="N48" s="578">
        <v>43014</v>
      </c>
      <c r="O48" s="579" t="s">
        <v>103</v>
      </c>
      <c r="P48" s="924"/>
      <c r="Q48" s="927"/>
    </row>
    <row r="49" spans="2:17" s="47" customFormat="1">
      <c r="B49" s="574">
        <v>42975</v>
      </c>
      <c r="C49" s="575" t="s">
        <v>501</v>
      </c>
      <c r="D49" s="576" t="s">
        <v>436</v>
      </c>
      <c r="E49" s="577">
        <v>34300</v>
      </c>
      <c r="F49" s="521">
        <v>1.35</v>
      </c>
      <c r="G49" s="521">
        <f t="shared" si="13"/>
        <v>46305</v>
      </c>
      <c r="H49" s="521">
        <f t="shared" si="14"/>
        <v>8334.9</v>
      </c>
      <c r="I49" s="521">
        <f t="shared" si="15"/>
        <v>54639.9</v>
      </c>
      <c r="J49" s="575"/>
      <c r="K49" s="576"/>
      <c r="L49" s="576"/>
      <c r="M49" s="521"/>
      <c r="N49" s="578"/>
      <c r="O49" s="579"/>
      <c r="P49" s="924"/>
      <c r="Q49" s="927"/>
    </row>
    <row r="50" spans="2:17" s="47" customFormat="1">
      <c r="B50" s="574">
        <v>42975</v>
      </c>
      <c r="C50" s="575" t="s">
        <v>501</v>
      </c>
      <c r="D50" s="576" t="s">
        <v>436</v>
      </c>
      <c r="E50" s="577">
        <v>3304</v>
      </c>
      <c r="F50" s="521">
        <v>1.35</v>
      </c>
      <c r="G50" s="521">
        <f t="shared" si="13"/>
        <v>4460.4000000000005</v>
      </c>
      <c r="H50" s="521">
        <f t="shared" si="14"/>
        <v>802.87200000000007</v>
      </c>
      <c r="I50" s="521">
        <f t="shared" si="15"/>
        <v>5263.2720000000008</v>
      </c>
      <c r="J50" s="575"/>
      <c r="K50" s="576"/>
      <c r="L50" s="576"/>
      <c r="M50" s="521"/>
      <c r="N50" s="578"/>
      <c r="O50" s="579"/>
      <c r="P50" s="924"/>
      <c r="Q50" s="927"/>
    </row>
    <row r="51" spans="2:17" s="47" customFormat="1">
      <c r="B51" s="574">
        <v>42977</v>
      </c>
      <c r="C51" s="575" t="s">
        <v>501</v>
      </c>
      <c r="D51" s="576" t="s">
        <v>436</v>
      </c>
      <c r="E51" s="577">
        <v>886</v>
      </c>
      <c r="F51" s="521">
        <v>1.35</v>
      </c>
      <c r="G51" s="521">
        <f t="shared" si="13"/>
        <v>1196.1000000000001</v>
      </c>
      <c r="H51" s="521">
        <f t="shared" si="14"/>
        <v>215.29800000000003</v>
      </c>
      <c r="I51" s="521">
        <f t="shared" si="15"/>
        <v>1411.3980000000001</v>
      </c>
      <c r="J51" s="575"/>
      <c r="K51" s="576"/>
      <c r="L51" s="576"/>
      <c r="M51" s="521"/>
      <c r="N51" s="578"/>
      <c r="O51" s="579"/>
      <c r="P51" s="924"/>
      <c r="Q51" s="927"/>
    </row>
    <row r="52" spans="2:17" s="47" customFormat="1" ht="13.5" thickBot="1">
      <c r="B52" s="586">
        <v>42977</v>
      </c>
      <c r="C52" s="587" t="s">
        <v>501</v>
      </c>
      <c r="D52" s="588" t="s">
        <v>436</v>
      </c>
      <c r="E52" s="589">
        <v>29680</v>
      </c>
      <c r="F52" s="522">
        <v>1.35</v>
      </c>
      <c r="G52" s="522">
        <f t="shared" si="13"/>
        <v>40068</v>
      </c>
      <c r="H52" s="522">
        <f t="shared" si="14"/>
        <v>7212.24</v>
      </c>
      <c r="I52" s="522">
        <f t="shared" si="15"/>
        <v>47280.24</v>
      </c>
      <c r="J52" s="587"/>
      <c r="K52" s="588"/>
      <c r="L52" s="588"/>
      <c r="M52" s="522"/>
      <c r="N52" s="590"/>
      <c r="O52" s="591"/>
      <c r="P52" s="925"/>
      <c r="Q52" s="928"/>
    </row>
    <row r="53" spans="2:17" s="361" customFormat="1" ht="13.5" thickBot="1">
      <c r="B53" s="641"/>
      <c r="D53" s="642"/>
      <c r="E53" s="643"/>
      <c r="F53" s="372"/>
      <c r="G53" s="372"/>
      <c r="H53" s="372"/>
      <c r="I53" s="372"/>
      <c r="K53" s="642"/>
      <c r="L53" s="642"/>
      <c r="M53" s="372"/>
      <c r="N53" s="644"/>
      <c r="O53" s="373"/>
      <c r="P53" s="692"/>
      <c r="Q53" s="693"/>
    </row>
    <row r="54" spans="2:17" s="47" customFormat="1">
      <c r="B54" s="645">
        <v>42986</v>
      </c>
      <c r="C54" s="646" t="s">
        <v>501</v>
      </c>
      <c r="D54" s="647" t="s">
        <v>436</v>
      </c>
      <c r="E54" s="648">
        <v>30440</v>
      </c>
      <c r="F54" s="649">
        <v>1.4</v>
      </c>
      <c r="G54" s="649">
        <f t="shared" si="13"/>
        <v>42616</v>
      </c>
      <c r="H54" s="649">
        <f t="shared" si="14"/>
        <v>7670.88</v>
      </c>
      <c r="I54" s="649">
        <f t="shared" si="15"/>
        <v>50286.879999999997</v>
      </c>
      <c r="J54" s="581" t="s">
        <v>437</v>
      </c>
      <c r="K54" s="582">
        <v>4195</v>
      </c>
      <c r="L54" s="582" t="s">
        <v>46</v>
      </c>
      <c r="M54" s="520">
        <v>100000</v>
      </c>
      <c r="N54" s="584">
        <v>43024</v>
      </c>
      <c r="O54" s="585" t="s">
        <v>103</v>
      </c>
      <c r="P54" s="932" t="s">
        <v>875</v>
      </c>
      <c r="Q54" s="935" t="s">
        <v>46</v>
      </c>
    </row>
    <row r="55" spans="2:17" s="47" customFormat="1">
      <c r="B55" s="650">
        <v>42998</v>
      </c>
      <c r="C55" s="361" t="s">
        <v>501</v>
      </c>
      <c r="D55" s="642" t="s">
        <v>436</v>
      </c>
      <c r="E55" s="643">
        <v>25980</v>
      </c>
      <c r="F55" s="372">
        <v>1.4</v>
      </c>
      <c r="G55" s="372">
        <f t="shared" si="13"/>
        <v>36372</v>
      </c>
      <c r="H55" s="372">
        <f t="shared" si="14"/>
        <v>6546.96</v>
      </c>
      <c r="I55" s="372">
        <f t="shared" si="15"/>
        <v>42918.96</v>
      </c>
      <c r="J55" s="575" t="s">
        <v>437</v>
      </c>
      <c r="K55" s="576">
        <v>1170</v>
      </c>
      <c r="L55" s="576" t="s">
        <v>45</v>
      </c>
      <c r="M55" s="521">
        <v>100000</v>
      </c>
      <c r="N55" s="578">
        <v>43041</v>
      </c>
      <c r="O55" s="579" t="s">
        <v>103</v>
      </c>
      <c r="P55" s="933"/>
      <c r="Q55" s="936"/>
    </row>
    <row r="56" spans="2:17" s="47" customFormat="1">
      <c r="B56" s="650">
        <v>43003</v>
      </c>
      <c r="C56" s="361" t="s">
        <v>501</v>
      </c>
      <c r="D56" s="642" t="s">
        <v>436</v>
      </c>
      <c r="E56" s="643">
        <v>41100</v>
      </c>
      <c r="F56" s="372">
        <v>1.4</v>
      </c>
      <c r="G56" s="372">
        <f t="shared" si="13"/>
        <v>57539.999999999993</v>
      </c>
      <c r="H56" s="372">
        <f t="shared" si="14"/>
        <v>10357.199999999999</v>
      </c>
      <c r="I56" s="372">
        <f t="shared" si="15"/>
        <v>67897.2</v>
      </c>
      <c r="J56" s="361"/>
      <c r="K56" s="642"/>
      <c r="L56" s="642"/>
      <c r="M56" s="372"/>
      <c r="N56" s="644"/>
      <c r="O56" s="373"/>
      <c r="P56" s="933"/>
      <c r="Q56" s="936"/>
    </row>
    <row r="57" spans="2:17" s="47" customFormat="1">
      <c r="B57" s="650">
        <v>43006</v>
      </c>
      <c r="C57" s="361" t="s">
        <v>501</v>
      </c>
      <c r="D57" s="642" t="s">
        <v>436</v>
      </c>
      <c r="E57" s="643">
        <v>16670</v>
      </c>
      <c r="F57" s="372">
        <v>1.4</v>
      </c>
      <c r="G57" s="372">
        <f t="shared" si="13"/>
        <v>23338</v>
      </c>
      <c r="H57" s="372">
        <f t="shared" si="14"/>
        <v>4200.84</v>
      </c>
      <c r="I57" s="372">
        <f t="shared" si="15"/>
        <v>27538.84</v>
      </c>
      <c r="J57" s="361"/>
      <c r="K57" s="642"/>
      <c r="L57" s="642"/>
      <c r="M57" s="372"/>
      <c r="N57" s="644"/>
      <c r="O57" s="373"/>
      <c r="P57" s="933"/>
      <c r="Q57" s="936"/>
    </row>
    <row r="58" spans="2:17" s="47" customFormat="1" ht="13.5" thickBot="1">
      <c r="B58" s="651">
        <v>43006</v>
      </c>
      <c r="C58" s="652" t="s">
        <v>501</v>
      </c>
      <c r="D58" s="653" t="s">
        <v>436</v>
      </c>
      <c r="E58" s="654">
        <v>16192</v>
      </c>
      <c r="F58" s="655">
        <v>1.4</v>
      </c>
      <c r="G58" s="655">
        <f t="shared" si="13"/>
        <v>22668.799999999999</v>
      </c>
      <c r="H58" s="655">
        <f t="shared" si="14"/>
        <v>4080.3839999999996</v>
      </c>
      <c r="I58" s="655">
        <f t="shared" si="15"/>
        <v>26749.183999999997</v>
      </c>
      <c r="J58" s="652"/>
      <c r="K58" s="653"/>
      <c r="L58" s="653"/>
      <c r="M58" s="655"/>
      <c r="N58" s="656"/>
      <c r="O58" s="657"/>
      <c r="P58" s="934"/>
      <c r="Q58" s="937"/>
    </row>
    <row r="59" spans="2:17" s="47" customFormat="1">
      <c r="B59" s="641"/>
      <c r="C59" s="361"/>
      <c r="D59" s="642"/>
      <c r="E59" s="643"/>
      <c r="F59" s="372"/>
      <c r="G59" s="372"/>
      <c r="H59" s="372"/>
      <c r="I59" s="372"/>
      <c r="J59" s="361"/>
      <c r="K59" s="642"/>
      <c r="L59" s="642"/>
      <c r="M59" s="372"/>
      <c r="N59" s="644"/>
      <c r="O59" s="373"/>
      <c r="P59" s="692"/>
      <c r="Q59" s="693"/>
    </row>
    <row r="60" spans="2:17" s="47" customFormat="1" ht="12.75" customHeight="1">
      <c r="B60" s="641">
        <v>43003</v>
      </c>
      <c r="C60" s="361" t="s">
        <v>438</v>
      </c>
      <c r="D60" s="642" t="s">
        <v>436</v>
      </c>
      <c r="E60" s="643">
        <v>6570</v>
      </c>
      <c r="F60" s="372">
        <v>4.2</v>
      </c>
      <c r="G60" s="372">
        <f>+E60*F60</f>
        <v>27594</v>
      </c>
      <c r="H60" s="372">
        <f>+G60*0.18</f>
        <v>4966.92</v>
      </c>
      <c r="I60" s="372">
        <f>+G60+H60</f>
        <v>32560.92</v>
      </c>
      <c r="J60" s="372" t="s">
        <v>437</v>
      </c>
      <c r="K60" s="785">
        <v>1214</v>
      </c>
      <c r="L60" s="372" t="s">
        <v>45</v>
      </c>
      <c r="M60" s="372">
        <v>150000</v>
      </c>
      <c r="N60" s="644">
        <v>1.1818181818181819</v>
      </c>
      <c r="O60" s="368" t="s">
        <v>103</v>
      </c>
      <c r="P60" s="372"/>
      <c r="Q60" s="372"/>
    </row>
    <row r="61" spans="2:17" s="47" customFormat="1" ht="12.75" customHeight="1">
      <c r="B61" s="641">
        <v>43006</v>
      </c>
      <c r="C61" s="361" t="s">
        <v>438</v>
      </c>
      <c r="D61" s="642" t="s">
        <v>436</v>
      </c>
      <c r="E61" s="643">
        <v>6113</v>
      </c>
      <c r="F61" s="372">
        <v>4.2</v>
      </c>
      <c r="G61" s="372">
        <f t="shared" ref="G61:G67" si="16">+E61*F61</f>
        <v>25674.600000000002</v>
      </c>
      <c r="H61" s="372">
        <f t="shared" ref="H61:H67" si="17">+G61*0.18</f>
        <v>4621.4279999999999</v>
      </c>
      <c r="I61" s="372">
        <f t="shared" ref="I61:I67" si="18">+G61+H61</f>
        <v>30296.028000000002</v>
      </c>
      <c r="J61" s="372" t="s">
        <v>437</v>
      </c>
      <c r="K61" s="785">
        <v>1237</v>
      </c>
      <c r="L61" s="372" t="s">
        <v>45</v>
      </c>
      <c r="M61" s="372">
        <v>100000</v>
      </c>
      <c r="N61" s="644">
        <v>43060</v>
      </c>
      <c r="O61" s="372" t="s">
        <v>103</v>
      </c>
      <c r="P61" s="372"/>
      <c r="Q61" s="372"/>
    </row>
    <row r="62" spans="2:17" s="47" customFormat="1" ht="12.75" customHeight="1">
      <c r="B62" s="641">
        <v>43010</v>
      </c>
      <c r="C62" s="361" t="s">
        <v>438</v>
      </c>
      <c r="D62" s="642" t="s">
        <v>436</v>
      </c>
      <c r="E62" s="643">
        <v>2661</v>
      </c>
      <c r="F62" s="372">
        <v>4.4000000000000004</v>
      </c>
      <c r="G62" s="372">
        <f t="shared" si="16"/>
        <v>11708.400000000001</v>
      </c>
      <c r="H62" s="372">
        <f t="shared" si="17"/>
        <v>2107.5120000000002</v>
      </c>
      <c r="I62" s="372">
        <f t="shared" si="18"/>
        <v>13815.912000000002</v>
      </c>
      <c r="J62" s="372"/>
      <c r="K62" s="372"/>
      <c r="L62" s="372"/>
      <c r="M62" s="372"/>
      <c r="N62" s="372"/>
      <c r="O62" s="372"/>
      <c r="P62" s="372"/>
      <c r="Q62" s="372"/>
    </row>
    <row r="63" spans="2:17" s="47" customFormat="1" ht="12.75" customHeight="1">
      <c r="B63" s="641">
        <v>43021</v>
      </c>
      <c r="C63" s="361" t="s">
        <v>438</v>
      </c>
      <c r="D63" s="642" t="s">
        <v>436</v>
      </c>
      <c r="E63" s="643">
        <v>6100</v>
      </c>
      <c r="F63" s="372">
        <v>4.4000000000000004</v>
      </c>
      <c r="G63" s="372">
        <f t="shared" si="16"/>
        <v>26840.000000000004</v>
      </c>
      <c r="H63" s="372">
        <f t="shared" si="17"/>
        <v>4831.2000000000007</v>
      </c>
      <c r="I63" s="372">
        <f t="shared" si="18"/>
        <v>31671.200000000004</v>
      </c>
      <c r="J63" s="372"/>
      <c r="K63" s="372"/>
      <c r="L63" s="372"/>
      <c r="M63" s="372"/>
      <c r="N63" s="372"/>
      <c r="O63" s="372"/>
      <c r="P63" s="372"/>
      <c r="Q63" s="372"/>
    </row>
    <row r="64" spans="2:17" s="47" customFormat="1" ht="12.75" customHeight="1">
      <c r="B64" s="641">
        <v>43026</v>
      </c>
      <c r="C64" s="361" t="s">
        <v>438</v>
      </c>
      <c r="D64" s="642" t="s">
        <v>436</v>
      </c>
      <c r="E64" s="643">
        <v>3964</v>
      </c>
      <c r="F64" s="372">
        <v>4.4000000000000004</v>
      </c>
      <c r="G64" s="372">
        <f t="shared" si="16"/>
        <v>17441.600000000002</v>
      </c>
      <c r="H64" s="372">
        <f t="shared" si="17"/>
        <v>3139.4880000000003</v>
      </c>
      <c r="I64" s="372">
        <f t="shared" si="18"/>
        <v>20581.088000000003</v>
      </c>
      <c r="J64" s="372"/>
      <c r="K64" s="372"/>
      <c r="L64" s="372"/>
      <c r="M64" s="372"/>
      <c r="N64" s="372"/>
      <c r="O64" s="372"/>
      <c r="P64" s="372"/>
      <c r="Q64" s="372"/>
    </row>
    <row r="65" spans="2:17" ht="12.75" customHeight="1">
      <c r="B65" s="601">
        <v>43027</v>
      </c>
      <c r="C65" s="602" t="s">
        <v>438</v>
      </c>
      <c r="D65" s="603" t="s">
        <v>436</v>
      </c>
      <c r="E65" s="604">
        <v>3876</v>
      </c>
      <c r="F65" s="372">
        <v>4.4000000000000004</v>
      </c>
      <c r="G65" s="605">
        <f t="shared" si="16"/>
        <v>17054.400000000001</v>
      </c>
      <c r="H65" s="605">
        <f t="shared" si="17"/>
        <v>3069.7920000000004</v>
      </c>
      <c r="I65" s="605">
        <f t="shared" si="18"/>
        <v>20124.192000000003</v>
      </c>
      <c r="J65" s="372"/>
      <c r="K65" s="372"/>
      <c r="L65" s="372"/>
      <c r="M65" s="372"/>
      <c r="N65" s="372"/>
      <c r="O65" s="372"/>
      <c r="P65" s="372"/>
      <c r="Q65" s="372"/>
    </row>
    <row r="66" spans="2:17" ht="12.75" customHeight="1">
      <c r="B66" s="601">
        <v>43031</v>
      </c>
      <c r="C66" s="602" t="s">
        <v>438</v>
      </c>
      <c r="D66" s="603" t="s">
        <v>436</v>
      </c>
      <c r="E66" s="604">
        <v>4967</v>
      </c>
      <c r="F66" s="372">
        <v>4.4000000000000004</v>
      </c>
      <c r="G66" s="372">
        <f t="shared" si="16"/>
        <v>21854.800000000003</v>
      </c>
      <c r="H66" s="605">
        <f t="shared" si="17"/>
        <v>3933.8640000000005</v>
      </c>
      <c r="I66" s="605">
        <f t="shared" si="18"/>
        <v>25788.664000000004</v>
      </c>
      <c r="J66" s="372"/>
      <c r="K66" s="372"/>
      <c r="L66" s="372"/>
      <c r="M66" s="372"/>
      <c r="N66" s="372"/>
      <c r="O66" s="372"/>
      <c r="P66" s="372"/>
      <c r="Q66" s="372"/>
    </row>
    <row r="67" spans="2:17" ht="12.75" customHeight="1">
      <c r="B67" s="601">
        <v>43039</v>
      </c>
      <c r="C67" s="602" t="s">
        <v>438</v>
      </c>
      <c r="D67" s="603" t="s">
        <v>436</v>
      </c>
      <c r="E67" s="604">
        <v>2714</v>
      </c>
      <c r="F67" s="372">
        <v>4.4000000000000004</v>
      </c>
      <c r="G67" s="372">
        <f t="shared" si="16"/>
        <v>11941.6</v>
      </c>
      <c r="H67" s="605">
        <f t="shared" si="17"/>
        <v>2149.4879999999998</v>
      </c>
      <c r="I67" s="605">
        <f t="shared" si="18"/>
        <v>14091.088</v>
      </c>
      <c r="J67" s="372"/>
      <c r="K67" s="372"/>
      <c r="L67" s="372"/>
      <c r="M67" s="372"/>
      <c r="N67" s="372"/>
      <c r="O67" s="372"/>
      <c r="P67" s="372"/>
      <c r="Q67" s="372"/>
    </row>
    <row r="68" spans="2:17">
      <c r="B68" s="601"/>
      <c r="C68" s="602"/>
      <c r="D68" s="603"/>
      <c r="E68" s="604"/>
      <c r="F68" s="605"/>
      <c r="G68" s="605"/>
      <c r="H68" s="605"/>
      <c r="I68" s="605"/>
      <c r="J68" s="602"/>
      <c r="K68" s="688"/>
      <c r="L68" s="603"/>
      <c r="M68" s="605"/>
      <c r="N68" s="606"/>
      <c r="O68" s="607"/>
      <c r="P68" s="695"/>
    </row>
    <row r="69" spans="2:17">
      <c r="B69" s="601">
        <v>43024</v>
      </c>
      <c r="C69" s="602" t="s">
        <v>501</v>
      </c>
      <c r="D69" s="603" t="s">
        <v>436</v>
      </c>
      <c r="E69" s="604">
        <v>40940</v>
      </c>
      <c r="F69" s="605">
        <v>1.4</v>
      </c>
      <c r="G69" s="372">
        <f t="shared" ref="G69" si="19">+E69*F69</f>
        <v>57316</v>
      </c>
      <c r="H69" s="372">
        <f t="shared" ref="H69" si="20">+G69*0.18</f>
        <v>10316.879999999999</v>
      </c>
      <c r="I69" s="372">
        <f t="shared" ref="I69" si="21">+H69+G69</f>
        <v>67632.88</v>
      </c>
      <c r="J69" s="602"/>
      <c r="K69" s="603"/>
      <c r="L69" s="603"/>
      <c r="M69" s="605"/>
      <c r="N69" s="606"/>
      <c r="O69" s="607"/>
      <c r="P69" s="695"/>
    </row>
    <row r="70" spans="2:17" s="361" customFormat="1">
      <c r="B70" s="641">
        <v>43031</v>
      </c>
      <c r="C70" s="361" t="s">
        <v>501</v>
      </c>
      <c r="D70" s="642" t="s">
        <v>436</v>
      </c>
      <c r="E70" s="643">
        <v>11391</v>
      </c>
      <c r="F70" s="372">
        <v>1.4</v>
      </c>
      <c r="G70" s="372">
        <f t="shared" ref="G70:G74" si="22">+E70*F70</f>
        <v>15947.4</v>
      </c>
      <c r="H70" s="372">
        <f t="shared" ref="H70:H74" si="23">+G70*0.18</f>
        <v>2870.5319999999997</v>
      </c>
      <c r="I70" s="372">
        <f t="shared" ref="I70:I74" si="24">+H70+G70</f>
        <v>18817.932000000001</v>
      </c>
      <c r="K70" s="642"/>
      <c r="L70" s="642"/>
      <c r="M70" s="372"/>
      <c r="N70" s="644"/>
      <c r="O70" s="373"/>
      <c r="P70" s="696"/>
      <c r="Q70" s="690"/>
    </row>
    <row r="71" spans="2:17" s="361" customFormat="1">
      <c r="B71" s="641">
        <v>43038</v>
      </c>
      <c r="C71" s="361" t="s">
        <v>501</v>
      </c>
      <c r="D71" s="642" t="s">
        <v>436</v>
      </c>
      <c r="E71" s="643">
        <v>41120</v>
      </c>
      <c r="F71" s="372">
        <v>1.4</v>
      </c>
      <c r="G71" s="372">
        <f t="shared" si="22"/>
        <v>57567.999999999993</v>
      </c>
      <c r="H71" s="372">
        <f t="shared" si="23"/>
        <v>10362.239999999998</v>
      </c>
      <c r="I71" s="372">
        <f t="shared" si="24"/>
        <v>67930.239999999991</v>
      </c>
      <c r="K71" s="642"/>
      <c r="L71" s="642"/>
      <c r="M71" s="372"/>
      <c r="N71" s="644"/>
      <c r="O71" s="373"/>
      <c r="P71" s="696"/>
      <c r="Q71" s="690"/>
    </row>
    <row r="72" spans="2:17">
      <c r="B72" s="601">
        <v>43039</v>
      </c>
      <c r="C72" s="602" t="s">
        <v>501</v>
      </c>
      <c r="D72" s="603" t="s">
        <v>436</v>
      </c>
      <c r="E72" s="604">
        <v>6073</v>
      </c>
      <c r="F72" s="605">
        <v>1.4</v>
      </c>
      <c r="G72" s="605">
        <f t="shared" si="22"/>
        <v>8502.1999999999989</v>
      </c>
      <c r="H72" s="605">
        <f t="shared" si="23"/>
        <v>1530.3959999999997</v>
      </c>
      <c r="I72" s="372">
        <f t="shared" si="24"/>
        <v>10032.595999999998</v>
      </c>
      <c r="J72" s="602"/>
      <c r="K72" s="603"/>
      <c r="L72" s="603"/>
      <c r="M72" s="605"/>
      <c r="N72" s="606"/>
      <c r="O72" s="607"/>
      <c r="P72" s="695"/>
    </row>
    <row r="73" spans="2:17">
      <c r="B73" s="608">
        <v>43045</v>
      </c>
      <c r="C73" s="26" t="s">
        <v>501</v>
      </c>
      <c r="D73" s="609" t="s">
        <v>436</v>
      </c>
      <c r="E73" s="443">
        <v>18422</v>
      </c>
      <c r="F73" s="795">
        <v>1.45</v>
      </c>
      <c r="G73" s="600">
        <f t="shared" si="22"/>
        <v>26711.899999999998</v>
      </c>
      <c r="H73" s="600">
        <f t="shared" si="23"/>
        <v>4808.1419999999998</v>
      </c>
      <c r="I73" s="372">
        <f t="shared" si="24"/>
        <v>31520.041999999998</v>
      </c>
    </row>
    <row r="74" spans="2:17">
      <c r="B74" s="608">
        <v>43056</v>
      </c>
      <c r="C74" s="26" t="s">
        <v>501</v>
      </c>
      <c r="D74" s="609" t="s">
        <v>436</v>
      </c>
      <c r="E74" s="443">
        <v>41320</v>
      </c>
      <c r="F74" s="795">
        <v>1.45</v>
      </c>
      <c r="G74" s="600">
        <f t="shared" si="22"/>
        <v>59914</v>
      </c>
      <c r="H74" s="600">
        <f t="shared" si="23"/>
        <v>10784.52</v>
      </c>
      <c r="I74" s="372">
        <f t="shared" si="24"/>
        <v>70698.52</v>
      </c>
    </row>
    <row r="76" spans="2:17">
      <c r="B76" s="789">
        <v>43054</v>
      </c>
      <c r="C76" s="4" t="s">
        <v>462</v>
      </c>
      <c r="D76" s="790" t="s">
        <v>436</v>
      </c>
      <c r="E76" s="440">
        <v>400</v>
      </c>
      <c r="F76" s="791">
        <v>4</v>
      </c>
      <c r="G76" s="792">
        <f t="shared" ref="G76" si="25">+E76*F76</f>
        <v>1600</v>
      </c>
      <c r="H76" s="792">
        <f t="shared" ref="H76" si="26">+G76*0.18</f>
        <v>288</v>
      </c>
      <c r="I76" s="792">
        <f t="shared" ref="I76" si="27">+H76+G76</f>
        <v>1888</v>
      </c>
    </row>
    <row r="77" spans="2:17">
      <c r="B77" s="789">
        <v>43054</v>
      </c>
      <c r="C77" s="4" t="s">
        <v>439</v>
      </c>
      <c r="D77" s="790" t="s">
        <v>436</v>
      </c>
      <c r="E77" s="440">
        <v>573</v>
      </c>
      <c r="F77" s="791">
        <v>33</v>
      </c>
      <c r="G77" s="792">
        <f t="shared" ref="G77:G81" si="28">+E77*F77</f>
        <v>18909</v>
      </c>
      <c r="H77" s="792">
        <f t="shared" ref="H77:H81" si="29">+G77*0.18</f>
        <v>3403.62</v>
      </c>
      <c r="I77" s="792">
        <f t="shared" ref="I77:I81" si="30">+H77+G77</f>
        <v>22312.62</v>
      </c>
    </row>
    <row r="78" spans="2:17">
      <c r="B78" s="789">
        <v>43054</v>
      </c>
      <c r="C78" s="4" t="s">
        <v>438</v>
      </c>
      <c r="D78" s="790" t="s">
        <v>436</v>
      </c>
      <c r="E78" s="440">
        <v>2850</v>
      </c>
      <c r="F78" s="791">
        <v>4.4000000000000004</v>
      </c>
      <c r="G78" s="792">
        <f t="shared" si="28"/>
        <v>12540.000000000002</v>
      </c>
      <c r="H78" s="792">
        <f t="shared" si="29"/>
        <v>2257.2000000000003</v>
      </c>
      <c r="I78" s="792">
        <f t="shared" si="30"/>
        <v>14797.200000000003</v>
      </c>
    </row>
    <row r="79" spans="2:17">
      <c r="B79" s="789">
        <v>43052</v>
      </c>
      <c r="C79" s="4" t="s">
        <v>438</v>
      </c>
      <c r="D79" s="790" t="s">
        <v>436</v>
      </c>
      <c r="E79" s="440">
        <v>4924</v>
      </c>
      <c r="F79" s="791">
        <v>4.4000000000000004</v>
      </c>
      <c r="G79" s="792">
        <f t="shared" si="28"/>
        <v>21665.600000000002</v>
      </c>
      <c r="H79" s="792">
        <f t="shared" si="29"/>
        <v>3899.8080000000004</v>
      </c>
      <c r="I79" s="792">
        <f t="shared" si="30"/>
        <v>25565.408000000003</v>
      </c>
    </row>
    <row r="80" spans="2:17">
      <c r="B80" s="789">
        <v>43049</v>
      </c>
      <c r="C80" s="4" t="s">
        <v>936</v>
      </c>
      <c r="D80" s="790" t="s">
        <v>436</v>
      </c>
      <c r="E80" s="440">
        <v>3500</v>
      </c>
      <c r="F80" s="791">
        <v>0.3</v>
      </c>
      <c r="G80" s="792">
        <f t="shared" si="28"/>
        <v>1050</v>
      </c>
      <c r="H80" s="792">
        <f t="shared" si="29"/>
        <v>189</v>
      </c>
      <c r="I80" s="792">
        <f t="shared" si="30"/>
        <v>1239</v>
      </c>
    </row>
    <row r="81" spans="2:17">
      <c r="B81" s="789">
        <v>43055</v>
      </c>
      <c r="C81" s="4" t="s">
        <v>936</v>
      </c>
      <c r="D81" s="790" t="s">
        <v>436</v>
      </c>
      <c r="E81" s="440">
        <v>13320</v>
      </c>
      <c r="F81" s="791">
        <v>0.3</v>
      </c>
      <c r="G81" s="792">
        <f t="shared" si="28"/>
        <v>3996</v>
      </c>
      <c r="H81" s="792">
        <f t="shared" si="29"/>
        <v>719.28</v>
      </c>
      <c r="I81" s="792">
        <f t="shared" si="30"/>
        <v>4715.28</v>
      </c>
    </row>
    <row r="85" spans="2:17" ht="13.5" thickBot="1"/>
    <row r="86" spans="2:17" s="611" customFormat="1" ht="13.5" thickBot="1">
      <c r="B86" s="929" t="s">
        <v>933</v>
      </c>
      <c r="C86" s="930"/>
      <c r="D86" s="930"/>
      <c r="E86" s="930"/>
      <c r="F86" s="930"/>
      <c r="G86" s="930"/>
      <c r="H86" s="930"/>
      <c r="I86" s="783">
        <f>SUM(I54:I84)</f>
        <v>741469.87400000007</v>
      </c>
      <c r="J86" s="931" t="s">
        <v>934</v>
      </c>
      <c r="K86" s="931"/>
      <c r="L86" s="931"/>
      <c r="M86" s="784">
        <f>M54+M55+M60+M61</f>
        <v>450000</v>
      </c>
      <c r="N86" s="782"/>
      <c r="P86" s="694"/>
      <c r="Q86" s="689"/>
    </row>
    <row r="87" spans="2:17">
      <c r="M87" s="600">
        <f>I86-M86</f>
        <v>291469.87400000007</v>
      </c>
    </row>
  </sheetData>
  <sortState ref="J5:P9">
    <sortCondition ref="N5:N9"/>
  </sortState>
  <mergeCells count="16">
    <mergeCell ref="B86:H86"/>
    <mergeCell ref="J86:L86"/>
    <mergeCell ref="P33:P38"/>
    <mergeCell ref="Q33:Q38"/>
    <mergeCell ref="P54:P58"/>
    <mergeCell ref="Q54:Q58"/>
    <mergeCell ref="P40:P44"/>
    <mergeCell ref="Q40:Q44"/>
    <mergeCell ref="P46:P52"/>
    <mergeCell ref="Q46:Q52"/>
    <mergeCell ref="P2:P5"/>
    <mergeCell ref="Q2:Q5"/>
    <mergeCell ref="P7:P11"/>
    <mergeCell ref="Q7:Q11"/>
    <mergeCell ref="P13:P31"/>
    <mergeCell ref="Q13:Q31"/>
  </mergeCells>
  <pageMargins left="0" right="0" top="0.74803149606299213" bottom="0.74803149606299213" header="0.31496062992125984" footer="0.31496062992125984"/>
  <pageSetup paperSize="9" scale="76" orientation="landscape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23"/>
  <sheetViews>
    <sheetView zoomScale="85" zoomScaleNormal="85" workbookViewId="0">
      <selection activeCell="L31" sqref="L31"/>
    </sheetView>
  </sheetViews>
  <sheetFormatPr baseColWidth="10" defaultRowHeight="12.75"/>
  <cols>
    <col min="1" max="1" width="1.5703125" style="683" customWidth="1"/>
    <col min="2" max="2" width="10.85546875" style="722" bestFit="1" customWidth="1"/>
    <col min="3" max="3" width="18.85546875" style="683" bestFit="1" customWidth="1"/>
    <col min="4" max="4" width="3.85546875" style="687" bestFit="1" customWidth="1"/>
    <col min="5" max="5" width="19.140625" style="723" bestFit="1" customWidth="1"/>
    <col min="6" max="7" width="11.7109375" style="684" bestFit="1" customWidth="1"/>
    <col min="8" max="8" width="10.28515625" style="684" bestFit="1" customWidth="1"/>
    <col min="9" max="9" width="10.28515625" style="684" customWidth="1"/>
    <col min="10" max="10" width="11.28515625" style="684" bestFit="1" customWidth="1"/>
    <col min="11" max="11" width="9.5703125" style="683" bestFit="1" customWidth="1"/>
    <col min="12" max="12" width="12.42578125" style="683" bestFit="1" customWidth="1"/>
    <col min="13" max="13" width="9.42578125" style="687" customWidth="1"/>
    <col min="14" max="14" width="11.28515625" style="684" bestFit="1" customWidth="1"/>
    <col min="15" max="15" width="10.85546875" style="722" bestFit="1" customWidth="1"/>
    <col min="16" max="16" width="9.42578125" style="689" bestFit="1" customWidth="1"/>
    <col min="17" max="17" width="11.7109375" style="683" bestFit="1" customWidth="1"/>
    <col min="18" max="18" width="12" style="683" bestFit="1" customWidth="1"/>
    <col min="19" max="16384" width="11.42578125" style="683"/>
  </cols>
  <sheetData>
    <row r="1" spans="2:20" s="682" customFormat="1" ht="26.25" thickBot="1">
      <c r="B1" s="629" t="s">
        <v>424</v>
      </c>
      <c r="C1" s="630" t="s">
        <v>425</v>
      </c>
      <c r="D1" s="630" t="s">
        <v>426</v>
      </c>
      <c r="E1" s="631" t="s">
        <v>427</v>
      </c>
      <c r="F1" s="632" t="s">
        <v>428</v>
      </c>
      <c r="G1" s="632" t="s">
        <v>430</v>
      </c>
      <c r="H1" s="632" t="s">
        <v>431</v>
      </c>
      <c r="I1" s="632" t="s">
        <v>879</v>
      </c>
      <c r="J1" s="632" t="s">
        <v>432</v>
      </c>
      <c r="K1" s="630" t="s">
        <v>433</v>
      </c>
      <c r="L1" s="630" t="s">
        <v>434</v>
      </c>
      <c r="M1" s="630" t="s">
        <v>429</v>
      </c>
      <c r="N1" s="632" t="s">
        <v>11</v>
      </c>
      <c r="O1" s="629" t="s">
        <v>10</v>
      </c>
      <c r="P1" s="634" t="s">
        <v>435</v>
      </c>
      <c r="Q1" s="634" t="s">
        <v>874</v>
      </c>
      <c r="R1" s="681" t="s">
        <v>873</v>
      </c>
    </row>
    <row r="2" spans="2:20" s="686" customFormat="1" ht="13.5" thickBot="1">
      <c r="B2" s="698">
        <v>42872</v>
      </c>
      <c r="C2" s="699" t="s">
        <v>501</v>
      </c>
      <c r="D2" s="700" t="s">
        <v>436</v>
      </c>
      <c r="E2" s="701">
        <v>36260</v>
      </c>
      <c r="F2" s="702">
        <v>1.4</v>
      </c>
      <c r="G2" s="702">
        <f t="shared" ref="G2" si="0">+E2*F2</f>
        <v>50764</v>
      </c>
      <c r="H2" s="702">
        <f t="shared" ref="H2" si="1">+G2*0.18</f>
        <v>9137.52</v>
      </c>
      <c r="I2" s="702">
        <f>(G2+H2)*1%</f>
        <v>599.01520000000005</v>
      </c>
      <c r="J2" s="702">
        <f>+H2+G2+I2</f>
        <v>60500.535200000006</v>
      </c>
      <c r="K2" s="699" t="s">
        <v>877</v>
      </c>
      <c r="L2" s="699">
        <v>545</v>
      </c>
      <c r="M2" s="699" t="s">
        <v>45</v>
      </c>
      <c r="N2" s="702">
        <f>J2+0.5</f>
        <v>60501.035200000006</v>
      </c>
      <c r="O2" s="725">
        <v>42880</v>
      </c>
      <c r="P2" s="704" t="s">
        <v>103</v>
      </c>
      <c r="Q2" s="704" t="s">
        <v>880</v>
      </c>
      <c r="R2" s="706" t="s">
        <v>45</v>
      </c>
    </row>
    <row r="3" spans="2:20" ht="13.5" thickBot="1">
      <c r="B3" s="698">
        <v>42888</v>
      </c>
      <c r="C3" s="699" t="s">
        <v>501</v>
      </c>
      <c r="D3" s="700" t="s">
        <v>436</v>
      </c>
      <c r="E3" s="701">
        <v>36260</v>
      </c>
      <c r="F3" s="702">
        <v>1.4</v>
      </c>
      <c r="G3" s="702">
        <f t="shared" ref="G3:G22" si="2">+E3*F3</f>
        <v>50764</v>
      </c>
      <c r="H3" s="702">
        <f t="shared" ref="H3:H22" si="3">+G3*0.18</f>
        <v>9137.52</v>
      </c>
      <c r="I3" s="702">
        <f t="shared" ref="I3:I22" si="4">(G3+H3)*1%</f>
        <v>599.01520000000005</v>
      </c>
      <c r="J3" s="702">
        <f t="shared" ref="J3:J22" si="5">+H3+G3+I3</f>
        <v>60500.535200000006</v>
      </c>
      <c r="K3" s="941" t="s">
        <v>881</v>
      </c>
      <c r="L3" s="941"/>
      <c r="M3" s="699" t="s">
        <v>45</v>
      </c>
      <c r="N3" s="702">
        <v>61018.027000000002</v>
      </c>
      <c r="O3" s="725">
        <v>42947</v>
      </c>
      <c r="P3" s="704" t="s">
        <v>103</v>
      </c>
      <c r="Q3" s="704" t="s">
        <v>880</v>
      </c>
      <c r="R3" s="706" t="s">
        <v>45</v>
      </c>
      <c r="T3" s="686"/>
    </row>
    <row r="4" spans="2:20" ht="13.5" thickBot="1">
      <c r="B4" s="698">
        <v>42899</v>
      </c>
      <c r="C4" s="699" t="s">
        <v>501</v>
      </c>
      <c r="D4" s="700" t="s">
        <v>436</v>
      </c>
      <c r="E4" s="701">
        <v>36880</v>
      </c>
      <c r="F4" s="702">
        <v>1.4</v>
      </c>
      <c r="G4" s="702">
        <f t="shared" si="2"/>
        <v>51632</v>
      </c>
      <c r="H4" s="702">
        <f t="shared" si="3"/>
        <v>9293.76</v>
      </c>
      <c r="I4" s="702">
        <f t="shared" si="4"/>
        <v>609.25760000000002</v>
      </c>
      <c r="J4" s="702">
        <f t="shared" si="5"/>
        <v>61535.017599999999</v>
      </c>
      <c r="K4" s="941" t="s">
        <v>881</v>
      </c>
      <c r="L4" s="941"/>
      <c r="M4" s="699" t="s">
        <v>45</v>
      </c>
      <c r="N4" s="702">
        <v>61018.027000000002</v>
      </c>
      <c r="O4" s="725">
        <v>42962</v>
      </c>
      <c r="P4" s="704" t="s">
        <v>103</v>
      </c>
      <c r="Q4" s="704" t="s">
        <v>880</v>
      </c>
      <c r="R4" s="706" t="s">
        <v>45</v>
      </c>
      <c r="T4" s="686"/>
    </row>
    <row r="5" spans="2:20" ht="13.5" thickBot="1">
      <c r="B5" s="698">
        <v>42908</v>
      </c>
      <c r="C5" s="699" t="s">
        <v>501</v>
      </c>
      <c r="D5" s="700" t="s">
        <v>436</v>
      </c>
      <c r="E5" s="701">
        <v>37660</v>
      </c>
      <c r="F5" s="702">
        <v>1.4</v>
      </c>
      <c r="G5" s="702">
        <f t="shared" si="2"/>
        <v>52724</v>
      </c>
      <c r="H5" s="702">
        <f t="shared" si="3"/>
        <v>9490.32</v>
      </c>
      <c r="I5" s="702">
        <f t="shared" si="4"/>
        <v>622.14319999999998</v>
      </c>
      <c r="J5" s="702">
        <f t="shared" si="5"/>
        <v>62836.463199999998</v>
      </c>
      <c r="K5" s="699" t="s">
        <v>877</v>
      </c>
      <c r="L5" s="699">
        <v>689</v>
      </c>
      <c r="M5" s="699" t="s">
        <v>45</v>
      </c>
      <c r="N5" s="702">
        <f>J5+0.5</f>
        <v>62836.963199999998</v>
      </c>
      <c r="O5" s="725">
        <v>42930</v>
      </c>
      <c r="P5" s="704" t="s">
        <v>103</v>
      </c>
      <c r="Q5" s="704" t="s">
        <v>880</v>
      </c>
      <c r="R5" s="706" t="s">
        <v>45</v>
      </c>
      <c r="T5" s="686"/>
    </row>
    <row r="6" spans="2:20" ht="13.5" thickBot="1">
      <c r="B6" s="698">
        <v>42933</v>
      </c>
      <c r="C6" s="699" t="s">
        <v>501</v>
      </c>
      <c r="D6" s="700" t="s">
        <v>436</v>
      </c>
      <c r="E6" s="701">
        <v>37460</v>
      </c>
      <c r="F6" s="702">
        <v>1.4</v>
      </c>
      <c r="G6" s="702">
        <f t="shared" si="2"/>
        <v>52444</v>
      </c>
      <c r="H6" s="702">
        <f t="shared" si="3"/>
        <v>9439.92</v>
      </c>
      <c r="I6" s="702">
        <f t="shared" si="4"/>
        <v>618.83920000000001</v>
      </c>
      <c r="J6" s="702">
        <f t="shared" si="5"/>
        <v>62502.7592</v>
      </c>
      <c r="K6" s="699" t="s">
        <v>877</v>
      </c>
      <c r="L6" s="699">
        <v>748</v>
      </c>
      <c r="M6" s="699" t="s">
        <v>45</v>
      </c>
      <c r="N6" s="702">
        <f t="shared" ref="N6:N11" si="6">J6+0.5</f>
        <v>62503.2592</v>
      </c>
      <c r="O6" s="725">
        <v>42942</v>
      </c>
      <c r="P6" s="704" t="s">
        <v>103</v>
      </c>
      <c r="Q6" s="704" t="s">
        <v>880</v>
      </c>
      <c r="R6" s="706" t="s">
        <v>45</v>
      </c>
      <c r="T6" s="686"/>
    </row>
    <row r="7" spans="2:20" ht="13.5" thickBot="1">
      <c r="B7" s="698">
        <v>42950</v>
      </c>
      <c r="C7" s="699" t="s">
        <v>501</v>
      </c>
      <c r="D7" s="700" t="s">
        <v>436</v>
      </c>
      <c r="E7" s="701">
        <v>37400</v>
      </c>
      <c r="F7" s="702">
        <v>1.4</v>
      </c>
      <c r="G7" s="702">
        <f t="shared" si="2"/>
        <v>52360</v>
      </c>
      <c r="H7" s="702">
        <f t="shared" si="3"/>
        <v>9424.7999999999993</v>
      </c>
      <c r="I7" s="702">
        <f t="shared" si="4"/>
        <v>617.84800000000007</v>
      </c>
      <c r="J7" s="702">
        <f t="shared" si="5"/>
        <v>62402.648000000001</v>
      </c>
      <c r="K7" s="699" t="s">
        <v>877</v>
      </c>
      <c r="L7" s="699">
        <v>814</v>
      </c>
      <c r="M7" s="699" t="s">
        <v>45</v>
      </c>
      <c r="N7" s="702">
        <f t="shared" si="6"/>
        <v>62403.148000000001</v>
      </c>
      <c r="O7" s="725">
        <v>42964</v>
      </c>
      <c r="P7" s="704" t="s">
        <v>103</v>
      </c>
      <c r="Q7" s="704" t="s">
        <v>880</v>
      </c>
      <c r="R7" s="706" t="s">
        <v>45</v>
      </c>
      <c r="T7" s="686"/>
    </row>
    <row r="8" spans="2:20" ht="13.5" thickBot="1">
      <c r="B8" s="698">
        <v>42963</v>
      </c>
      <c r="C8" s="699" t="s">
        <v>501</v>
      </c>
      <c r="D8" s="700" t="s">
        <v>436</v>
      </c>
      <c r="E8" s="701">
        <v>36600</v>
      </c>
      <c r="F8" s="702">
        <v>1.4</v>
      </c>
      <c r="G8" s="702">
        <f t="shared" si="2"/>
        <v>51240</v>
      </c>
      <c r="H8" s="702">
        <f t="shared" si="3"/>
        <v>9223.1999999999989</v>
      </c>
      <c r="I8" s="702">
        <f t="shared" si="4"/>
        <v>604.63199999999995</v>
      </c>
      <c r="J8" s="702">
        <f t="shared" si="5"/>
        <v>61067.831999999995</v>
      </c>
      <c r="K8" s="699" t="s">
        <v>877</v>
      </c>
      <c r="L8" s="699">
        <v>869</v>
      </c>
      <c r="M8" s="699" t="s">
        <v>45</v>
      </c>
      <c r="N8" s="702">
        <f t="shared" si="6"/>
        <v>61068.331999999995</v>
      </c>
      <c r="O8" s="725">
        <v>42972</v>
      </c>
      <c r="P8" s="704" t="s">
        <v>103</v>
      </c>
      <c r="Q8" s="704" t="s">
        <v>880</v>
      </c>
      <c r="R8" s="706" t="s">
        <v>45</v>
      </c>
      <c r="T8" s="686"/>
    </row>
    <row r="9" spans="2:20" ht="13.5" thickBot="1">
      <c r="B9" s="698">
        <v>42968</v>
      </c>
      <c r="C9" s="699" t="s">
        <v>501</v>
      </c>
      <c r="D9" s="700" t="s">
        <v>436</v>
      </c>
      <c r="E9" s="701">
        <v>36100</v>
      </c>
      <c r="F9" s="702">
        <v>1.4</v>
      </c>
      <c r="G9" s="702">
        <f t="shared" si="2"/>
        <v>50540</v>
      </c>
      <c r="H9" s="702">
        <f t="shared" si="3"/>
        <v>9097.1999999999989</v>
      </c>
      <c r="I9" s="702">
        <f t="shared" si="4"/>
        <v>596.37199999999996</v>
      </c>
      <c r="J9" s="702">
        <f t="shared" si="5"/>
        <v>60233.572</v>
      </c>
      <c r="K9" s="699" t="s">
        <v>877</v>
      </c>
      <c r="L9" s="699">
        <v>889</v>
      </c>
      <c r="M9" s="699" t="s">
        <v>45</v>
      </c>
      <c r="N9" s="702">
        <f t="shared" si="6"/>
        <v>60234.072</v>
      </c>
      <c r="O9" s="725">
        <v>42985</v>
      </c>
      <c r="P9" s="704" t="s">
        <v>103</v>
      </c>
      <c r="Q9" s="704" t="s">
        <v>880</v>
      </c>
      <c r="R9" s="706" t="s">
        <v>45</v>
      </c>
      <c r="T9" s="686"/>
    </row>
    <row r="10" spans="2:20" ht="13.5" thickBot="1">
      <c r="B10" s="698">
        <v>42976</v>
      </c>
      <c r="C10" s="699" t="s">
        <v>501</v>
      </c>
      <c r="D10" s="700" t="s">
        <v>436</v>
      </c>
      <c r="E10" s="701">
        <v>37960</v>
      </c>
      <c r="F10" s="702">
        <v>1.4</v>
      </c>
      <c r="G10" s="702">
        <f t="shared" si="2"/>
        <v>53144</v>
      </c>
      <c r="H10" s="702">
        <f t="shared" si="3"/>
        <v>9565.92</v>
      </c>
      <c r="I10" s="702">
        <f t="shared" si="4"/>
        <v>627.0992</v>
      </c>
      <c r="J10" s="702">
        <f t="shared" si="5"/>
        <v>63337.019199999995</v>
      </c>
      <c r="K10" s="699" t="s">
        <v>877</v>
      </c>
      <c r="L10" s="699">
        <v>922</v>
      </c>
      <c r="M10" s="699" t="s">
        <v>45</v>
      </c>
      <c r="N10" s="702">
        <f t="shared" si="6"/>
        <v>63337.519199999995</v>
      </c>
      <c r="O10" s="725">
        <v>42990</v>
      </c>
      <c r="P10" s="704" t="s">
        <v>103</v>
      </c>
      <c r="Q10" s="704" t="s">
        <v>880</v>
      </c>
      <c r="R10" s="706" t="s">
        <v>45</v>
      </c>
      <c r="T10" s="686"/>
    </row>
    <row r="11" spans="2:20" ht="13.5" thickBot="1">
      <c r="B11" s="698">
        <v>42989</v>
      </c>
      <c r="C11" s="699" t="s">
        <v>501</v>
      </c>
      <c r="D11" s="700" t="s">
        <v>436</v>
      </c>
      <c r="E11" s="701">
        <v>37520</v>
      </c>
      <c r="F11" s="702">
        <v>1.4</v>
      </c>
      <c r="G11" s="702">
        <f t="shared" si="2"/>
        <v>52528</v>
      </c>
      <c r="H11" s="702">
        <f t="shared" si="3"/>
        <v>9455.0399999999991</v>
      </c>
      <c r="I11" s="702">
        <f t="shared" si="4"/>
        <v>619.83040000000005</v>
      </c>
      <c r="J11" s="702">
        <f t="shared" si="5"/>
        <v>62602.8704</v>
      </c>
      <c r="K11" s="699" t="s">
        <v>877</v>
      </c>
      <c r="L11" s="699">
        <v>966</v>
      </c>
      <c r="M11" s="699" t="s">
        <v>45</v>
      </c>
      <c r="N11" s="702">
        <f t="shared" si="6"/>
        <v>62603.3704</v>
      </c>
      <c r="O11" s="725">
        <v>43000</v>
      </c>
      <c r="P11" s="704" t="s">
        <v>103</v>
      </c>
      <c r="Q11" s="704" t="s">
        <v>880</v>
      </c>
      <c r="R11" s="706" t="s">
        <v>45</v>
      </c>
      <c r="T11" s="686"/>
    </row>
    <row r="12" spans="2:20" ht="13.5" thickBot="1">
      <c r="B12" s="698">
        <v>42993</v>
      </c>
      <c r="C12" s="699" t="s">
        <v>501</v>
      </c>
      <c r="D12" s="700" t="s">
        <v>436</v>
      </c>
      <c r="E12" s="701">
        <v>34260</v>
      </c>
      <c r="F12" s="702">
        <v>1.4</v>
      </c>
      <c r="G12" s="702">
        <f t="shared" si="2"/>
        <v>47964</v>
      </c>
      <c r="H12" s="702">
        <f t="shared" si="3"/>
        <v>8633.52</v>
      </c>
      <c r="I12" s="702">
        <f t="shared" si="4"/>
        <v>565.97520000000009</v>
      </c>
      <c r="J12" s="702">
        <f t="shared" si="5"/>
        <v>57163.495200000005</v>
      </c>
      <c r="K12" s="941" t="s">
        <v>877</v>
      </c>
      <c r="L12" s="942">
        <v>978</v>
      </c>
      <c r="M12" s="941" t="s">
        <v>45</v>
      </c>
      <c r="N12" s="943">
        <f>J12+J13+0.5</f>
        <v>122136.164</v>
      </c>
      <c r="O12" s="944">
        <v>43004</v>
      </c>
      <c r="P12" s="938" t="s">
        <v>103</v>
      </c>
      <c r="Q12" s="939" t="s">
        <v>880</v>
      </c>
      <c r="R12" s="940" t="s">
        <v>45</v>
      </c>
      <c r="T12" s="686"/>
    </row>
    <row r="13" spans="2:20" ht="13.5" thickBot="1">
      <c r="B13" s="698">
        <v>42996</v>
      </c>
      <c r="C13" s="699" t="s">
        <v>501</v>
      </c>
      <c r="D13" s="700" t="s">
        <v>436</v>
      </c>
      <c r="E13" s="701">
        <v>38940</v>
      </c>
      <c r="F13" s="702">
        <v>1.4</v>
      </c>
      <c r="G13" s="702">
        <f t="shared" si="2"/>
        <v>54516</v>
      </c>
      <c r="H13" s="702">
        <f t="shared" si="3"/>
        <v>9812.8799999999992</v>
      </c>
      <c r="I13" s="702">
        <f t="shared" si="4"/>
        <v>643.28880000000004</v>
      </c>
      <c r="J13" s="702">
        <f t="shared" si="5"/>
        <v>64972.168799999999</v>
      </c>
      <c r="K13" s="941"/>
      <c r="L13" s="942"/>
      <c r="M13" s="941"/>
      <c r="N13" s="943"/>
      <c r="O13" s="944"/>
      <c r="P13" s="938"/>
      <c r="Q13" s="939"/>
      <c r="R13" s="940"/>
      <c r="T13" s="686"/>
    </row>
    <row r="14" spans="2:20" ht="13.5" thickBot="1">
      <c r="B14" s="698">
        <v>43003</v>
      </c>
      <c r="C14" s="699" t="s">
        <v>501</v>
      </c>
      <c r="D14" s="700" t="s">
        <v>436</v>
      </c>
      <c r="E14" s="701">
        <v>37400</v>
      </c>
      <c r="F14" s="702">
        <v>1.4</v>
      </c>
      <c r="G14" s="702">
        <f t="shared" si="2"/>
        <v>52360</v>
      </c>
      <c r="H14" s="702">
        <f t="shared" si="3"/>
        <v>9424.7999999999993</v>
      </c>
      <c r="I14" s="702">
        <f t="shared" si="4"/>
        <v>617.84800000000007</v>
      </c>
      <c r="J14" s="702">
        <f t="shared" si="5"/>
        <v>62402.648000000001</v>
      </c>
      <c r="K14" s="699" t="s">
        <v>877</v>
      </c>
      <c r="L14" s="699">
        <v>992</v>
      </c>
      <c r="M14" s="699" t="s">
        <v>45</v>
      </c>
      <c r="N14" s="702">
        <f t="shared" ref="N14:N17" si="7">J14+0.5</f>
        <v>62403.148000000001</v>
      </c>
      <c r="O14" s="725">
        <v>43013</v>
      </c>
      <c r="P14" s="704" t="s">
        <v>103</v>
      </c>
      <c r="Q14" s="704" t="s">
        <v>880</v>
      </c>
      <c r="R14" s="706" t="s">
        <v>45</v>
      </c>
      <c r="T14" s="686"/>
    </row>
    <row r="15" spans="2:20" ht="13.5" thickBot="1">
      <c r="B15" s="698">
        <v>43006</v>
      </c>
      <c r="C15" s="699" t="s">
        <v>501</v>
      </c>
      <c r="D15" s="700" t="s">
        <v>436</v>
      </c>
      <c r="E15" s="701">
        <v>38120</v>
      </c>
      <c r="F15" s="702">
        <v>1.4</v>
      </c>
      <c r="G15" s="702">
        <f t="shared" si="2"/>
        <v>53368</v>
      </c>
      <c r="H15" s="702">
        <f t="shared" si="3"/>
        <v>9606.24</v>
      </c>
      <c r="I15" s="702">
        <f t="shared" si="4"/>
        <v>629.74239999999998</v>
      </c>
      <c r="J15" s="702">
        <f t="shared" si="5"/>
        <v>63603.982400000001</v>
      </c>
      <c r="K15" s="699" t="s">
        <v>877</v>
      </c>
      <c r="L15" s="699">
        <v>1070</v>
      </c>
      <c r="M15" s="699" t="s">
        <v>45</v>
      </c>
      <c r="N15" s="702">
        <f t="shared" si="7"/>
        <v>63604.482400000001</v>
      </c>
      <c r="O15" s="725">
        <v>43019</v>
      </c>
      <c r="P15" s="704" t="s">
        <v>103</v>
      </c>
      <c r="Q15" s="704" t="s">
        <v>880</v>
      </c>
      <c r="R15" s="706" t="s">
        <v>45</v>
      </c>
      <c r="T15" s="686"/>
    </row>
    <row r="16" spans="2:20" ht="13.5" thickBot="1">
      <c r="B16" s="698">
        <v>43012</v>
      </c>
      <c r="C16" s="699" t="s">
        <v>501</v>
      </c>
      <c r="D16" s="700" t="s">
        <v>436</v>
      </c>
      <c r="E16" s="701">
        <v>29000</v>
      </c>
      <c r="F16" s="702">
        <v>1.4</v>
      </c>
      <c r="G16" s="702">
        <f t="shared" si="2"/>
        <v>40600</v>
      </c>
      <c r="H16" s="702">
        <f t="shared" si="3"/>
        <v>7308</v>
      </c>
      <c r="I16" s="702">
        <f t="shared" si="4"/>
        <v>479.08</v>
      </c>
      <c r="J16" s="702">
        <f t="shared" si="5"/>
        <v>48387.08</v>
      </c>
      <c r="K16" s="699" t="s">
        <v>877</v>
      </c>
      <c r="L16" s="699">
        <v>1072</v>
      </c>
      <c r="M16" s="699" t="s">
        <v>45</v>
      </c>
      <c r="N16" s="702">
        <f t="shared" si="7"/>
        <v>48387.58</v>
      </c>
      <c r="O16" s="725">
        <v>43019</v>
      </c>
      <c r="P16" s="704" t="s">
        <v>103</v>
      </c>
      <c r="Q16" s="704" t="s">
        <v>880</v>
      </c>
      <c r="R16" s="706" t="s">
        <v>45</v>
      </c>
      <c r="T16" s="686"/>
    </row>
    <row r="17" spans="2:20" ht="13.5" thickBot="1">
      <c r="B17" s="698">
        <v>43017</v>
      </c>
      <c r="C17" s="699" t="s">
        <v>501</v>
      </c>
      <c r="D17" s="700" t="s">
        <v>436</v>
      </c>
      <c r="E17" s="701">
        <v>36280</v>
      </c>
      <c r="F17" s="702">
        <v>1.4</v>
      </c>
      <c r="G17" s="702">
        <f t="shared" si="2"/>
        <v>50792</v>
      </c>
      <c r="H17" s="702">
        <f t="shared" si="3"/>
        <v>9142.56</v>
      </c>
      <c r="I17" s="702">
        <f t="shared" si="4"/>
        <v>599.34559999999999</v>
      </c>
      <c r="J17" s="702">
        <f t="shared" si="5"/>
        <v>60533.905599999998</v>
      </c>
      <c r="K17" s="699" t="s">
        <v>877</v>
      </c>
      <c r="L17" s="699">
        <v>1091</v>
      </c>
      <c r="M17" s="699" t="s">
        <v>45</v>
      </c>
      <c r="N17" s="702">
        <f t="shared" si="7"/>
        <v>60534.405599999998</v>
      </c>
      <c r="O17" s="725">
        <v>43032</v>
      </c>
      <c r="P17" s="704" t="s">
        <v>103</v>
      </c>
      <c r="Q17" s="704" t="s">
        <v>880</v>
      </c>
      <c r="R17" s="706" t="s">
        <v>45</v>
      </c>
      <c r="T17" s="686"/>
    </row>
    <row r="18" spans="2:20" ht="13.5" thickBot="1">
      <c r="B18" s="698">
        <v>43028</v>
      </c>
      <c r="C18" s="699" t="s">
        <v>501</v>
      </c>
      <c r="D18" s="700" t="s">
        <v>436</v>
      </c>
      <c r="E18" s="701">
        <v>38340</v>
      </c>
      <c r="F18" s="702">
        <v>1.4</v>
      </c>
      <c r="G18" s="702">
        <f t="shared" si="2"/>
        <v>53676</v>
      </c>
      <c r="H18" s="702">
        <f t="shared" si="3"/>
        <v>9661.68</v>
      </c>
      <c r="I18" s="702">
        <f t="shared" si="4"/>
        <v>633.3768</v>
      </c>
      <c r="J18" s="702">
        <f t="shared" si="5"/>
        <v>63971.056799999998</v>
      </c>
      <c r="K18" s="699" t="s">
        <v>877</v>
      </c>
      <c r="L18" s="699">
        <v>1153</v>
      </c>
      <c r="M18" s="745" t="s">
        <v>45</v>
      </c>
      <c r="N18" s="702">
        <f>+J18+0.5</f>
        <v>63971.556799999998</v>
      </c>
      <c r="O18" s="725">
        <v>43045</v>
      </c>
      <c r="P18" s="704" t="s">
        <v>103</v>
      </c>
      <c r="Q18" s="704" t="s">
        <v>880</v>
      </c>
      <c r="R18" s="706" t="s">
        <v>45</v>
      </c>
    </row>
    <row r="19" spans="2:20" ht="13.5" thickBot="1">
      <c r="B19" s="698">
        <v>43033</v>
      </c>
      <c r="C19" s="699" t="s">
        <v>501</v>
      </c>
      <c r="D19" s="700" t="s">
        <v>436</v>
      </c>
      <c r="E19" s="701">
        <v>37200</v>
      </c>
      <c r="F19" s="702">
        <v>1.4</v>
      </c>
      <c r="G19" s="702">
        <f t="shared" si="2"/>
        <v>52080</v>
      </c>
      <c r="H19" s="702">
        <f t="shared" si="3"/>
        <v>9374.4</v>
      </c>
      <c r="I19" s="702">
        <f t="shared" si="4"/>
        <v>614.54399999999998</v>
      </c>
      <c r="J19" s="702">
        <f t="shared" si="5"/>
        <v>62068.944000000003</v>
      </c>
      <c r="K19" s="699" t="s">
        <v>877</v>
      </c>
      <c r="L19" s="699">
        <v>1162</v>
      </c>
      <c r="M19" s="788" t="s">
        <v>45</v>
      </c>
      <c r="N19" s="702">
        <v>62068.944000000003</v>
      </c>
      <c r="O19" s="725">
        <v>43054</v>
      </c>
      <c r="P19" s="704" t="s">
        <v>103</v>
      </c>
      <c r="Q19" s="704" t="s">
        <v>880</v>
      </c>
      <c r="R19" s="787" t="s">
        <v>45</v>
      </c>
    </row>
    <row r="20" spans="2:20" ht="13.5" thickBot="1">
      <c r="B20" s="726">
        <v>43040</v>
      </c>
      <c r="C20" s="757" t="s">
        <v>501</v>
      </c>
      <c r="D20" s="728" t="s">
        <v>436</v>
      </c>
      <c r="E20" s="727">
        <v>36780</v>
      </c>
      <c r="F20" s="729">
        <v>1.4</v>
      </c>
      <c r="G20" s="729">
        <f t="shared" si="2"/>
        <v>51492</v>
      </c>
      <c r="H20" s="729">
        <f t="shared" si="3"/>
        <v>9268.56</v>
      </c>
      <c r="I20" s="729">
        <f t="shared" si="4"/>
        <v>607.60559999999998</v>
      </c>
      <c r="J20" s="729">
        <f t="shared" si="5"/>
        <v>61368.1656</v>
      </c>
      <c r="K20" s="757"/>
      <c r="L20" s="757"/>
      <c r="M20" s="728"/>
      <c r="N20" s="729"/>
      <c r="O20" s="730"/>
      <c r="P20" s="758"/>
      <c r="Q20" s="757"/>
      <c r="R20" s="759"/>
    </row>
    <row r="21" spans="2:20" ht="13.5" thickBot="1">
      <c r="B21" s="698">
        <v>43047</v>
      </c>
      <c r="C21" s="699" t="s">
        <v>501</v>
      </c>
      <c r="D21" s="700" t="s">
        <v>436</v>
      </c>
      <c r="E21" s="701">
        <v>32400</v>
      </c>
      <c r="F21" s="702">
        <v>1.4</v>
      </c>
      <c r="G21" s="702">
        <f t="shared" si="2"/>
        <v>45360</v>
      </c>
      <c r="H21" s="702">
        <f t="shared" si="3"/>
        <v>8164.7999999999993</v>
      </c>
      <c r="I21" s="702">
        <f t="shared" si="4"/>
        <v>535.24800000000005</v>
      </c>
      <c r="J21" s="702">
        <f t="shared" si="5"/>
        <v>54060.048000000003</v>
      </c>
      <c r="K21" s="699" t="s">
        <v>877</v>
      </c>
      <c r="L21" s="699">
        <v>1264</v>
      </c>
      <c r="M21" s="700" t="s">
        <v>45</v>
      </c>
      <c r="N21" s="702">
        <v>54060.548000000003</v>
      </c>
      <c r="O21" s="725">
        <v>43066</v>
      </c>
      <c r="P21" s="704" t="s">
        <v>103</v>
      </c>
      <c r="Q21" s="699" t="s">
        <v>880</v>
      </c>
      <c r="R21" s="858" t="s">
        <v>45</v>
      </c>
    </row>
    <row r="22" spans="2:20" ht="13.5" thickBot="1">
      <c r="B22" s="698">
        <v>43054</v>
      </c>
      <c r="C22" s="699" t="s">
        <v>501</v>
      </c>
      <c r="D22" s="700" t="s">
        <v>436</v>
      </c>
      <c r="E22" s="701">
        <v>38780</v>
      </c>
      <c r="F22" s="702">
        <v>1.4</v>
      </c>
      <c r="G22" s="702">
        <f t="shared" si="2"/>
        <v>54292</v>
      </c>
      <c r="H22" s="702">
        <f t="shared" si="3"/>
        <v>9772.56</v>
      </c>
      <c r="I22" s="702">
        <f t="shared" si="4"/>
        <v>640.64559999999994</v>
      </c>
      <c r="J22" s="702">
        <f t="shared" si="5"/>
        <v>64705.205600000001</v>
      </c>
      <c r="K22" s="699" t="s">
        <v>877</v>
      </c>
      <c r="L22" s="699">
        <v>1263</v>
      </c>
      <c r="M22" s="700" t="s">
        <v>45</v>
      </c>
      <c r="N22" s="702">
        <v>64705.705000000002</v>
      </c>
      <c r="O22" s="725">
        <v>43061</v>
      </c>
      <c r="P22" s="704" t="s">
        <v>103</v>
      </c>
      <c r="Q22" s="699" t="s">
        <v>880</v>
      </c>
      <c r="R22" s="858" t="s">
        <v>45</v>
      </c>
    </row>
    <row r="23" spans="2:20">
      <c r="O23" s="722" t="s">
        <v>498</v>
      </c>
    </row>
  </sheetData>
  <mergeCells count="10">
    <mergeCell ref="P12:P13"/>
    <mergeCell ref="Q12:Q13"/>
    <mergeCell ref="R12:R13"/>
    <mergeCell ref="M12:M13"/>
    <mergeCell ref="K3:L3"/>
    <mergeCell ref="K4:L4"/>
    <mergeCell ref="L12:L13"/>
    <mergeCell ref="K12:K13"/>
    <mergeCell ref="N12:N13"/>
    <mergeCell ref="O12:O13"/>
  </mergeCells>
  <pageMargins left="0" right="0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68"/>
  <sheetViews>
    <sheetView zoomScale="85" zoomScaleNormal="85" workbookViewId="0">
      <selection activeCell="I30" sqref="I30"/>
    </sheetView>
  </sheetViews>
  <sheetFormatPr baseColWidth="10" defaultRowHeight="19.5" customHeight="1"/>
  <cols>
    <col min="1" max="1" width="1.5703125" style="683" customWidth="1"/>
    <col min="2" max="2" width="10.85546875" style="722" bestFit="1" customWidth="1"/>
    <col min="3" max="3" width="18.85546875" style="683" bestFit="1" customWidth="1"/>
    <col min="4" max="4" width="3.85546875" style="687" bestFit="1" customWidth="1"/>
    <col min="5" max="5" width="19.140625" style="723" bestFit="1" customWidth="1"/>
    <col min="6" max="7" width="11.7109375" style="684" bestFit="1" customWidth="1"/>
    <col min="8" max="8" width="10.28515625" style="684" bestFit="1" customWidth="1"/>
    <col min="9" max="9" width="11.28515625" style="684" bestFit="1" customWidth="1"/>
    <col min="10" max="10" width="9.5703125" style="683" bestFit="1" customWidth="1"/>
    <col min="11" max="11" width="12.42578125" style="683" bestFit="1" customWidth="1"/>
    <col min="12" max="12" width="7.5703125" style="687" bestFit="1" customWidth="1"/>
    <col min="13" max="13" width="11.28515625" style="684" bestFit="1" customWidth="1"/>
    <col min="14" max="14" width="10.28515625" style="724" bestFit="1" customWidth="1"/>
    <col min="15" max="15" width="9.42578125" style="689" bestFit="1" customWidth="1"/>
    <col min="16" max="16" width="11.7109375" style="697" bestFit="1" customWidth="1"/>
    <col min="17" max="17" width="12" style="689" bestFit="1" customWidth="1"/>
    <col min="18" max="16384" width="11.42578125" style="683"/>
  </cols>
  <sheetData>
    <row r="1" spans="2:18" s="682" customFormat="1" ht="19.5" customHeight="1" thickBot="1">
      <c r="B1" s="629" t="s">
        <v>424</v>
      </c>
      <c r="C1" s="630" t="s">
        <v>425</v>
      </c>
      <c r="D1" s="630" t="s">
        <v>426</v>
      </c>
      <c r="E1" s="631" t="s">
        <v>427</v>
      </c>
      <c r="F1" s="632" t="s">
        <v>428</v>
      </c>
      <c r="G1" s="632" t="s">
        <v>430</v>
      </c>
      <c r="H1" s="632" t="s">
        <v>431</v>
      </c>
      <c r="I1" s="632" t="s">
        <v>432</v>
      </c>
      <c r="J1" s="630" t="s">
        <v>433</v>
      </c>
      <c r="K1" s="630" t="s">
        <v>434</v>
      </c>
      <c r="L1" s="630" t="s">
        <v>429</v>
      </c>
      <c r="M1" s="632" t="s">
        <v>11</v>
      </c>
      <c r="N1" s="633" t="s">
        <v>10</v>
      </c>
      <c r="O1" s="634" t="s">
        <v>435</v>
      </c>
      <c r="P1" s="634" t="s">
        <v>874</v>
      </c>
      <c r="Q1" s="681" t="s">
        <v>873</v>
      </c>
    </row>
    <row r="2" spans="2:18" s="685" customFormat="1" ht="19.5" customHeight="1" thickBot="1">
      <c r="B2" s="698">
        <v>43007</v>
      </c>
      <c r="C2" s="699" t="s">
        <v>501</v>
      </c>
      <c r="D2" s="700" t="s">
        <v>876</v>
      </c>
      <c r="E2" s="701">
        <v>33960</v>
      </c>
      <c r="F2" s="702">
        <v>1.4</v>
      </c>
      <c r="G2" s="702">
        <f>E2*F2</f>
        <v>47544</v>
      </c>
      <c r="H2" s="702">
        <f>G2*0.18</f>
        <v>8557.92</v>
      </c>
      <c r="I2" s="702">
        <f>H2+G2</f>
        <v>56101.919999999998</v>
      </c>
      <c r="J2" s="699" t="s">
        <v>877</v>
      </c>
      <c r="K2" s="699">
        <v>4172</v>
      </c>
      <c r="L2" s="700" t="s">
        <v>46</v>
      </c>
      <c r="M2" s="702">
        <v>56102.42</v>
      </c>
      <c r="N2" s="703">
        <v>43019</v>
      </c>
      <c r="O2" s="704" t="s">
        <v>103</v>
      </c>
      <c r="P2" s="705" t="s">
        <v>878</v>
      </c>
      <c r="Q2" s="706" t="s">
        <v>46</v>
      </c>
      <c r="R2" s="686"/>
    </row>
    <row r="3" spans="2:18" s="685" customFormat="1" ht="19.5" customHeight="1" thickBot="1">
      <c r="B3" s="698">
        <v>43011</v>
      </c>
      <c r="C3" s="699" t="s">
        <v>501</v>
      </c>
      <c r="D3" s="700" t="s">
        <v>876</v>
      </c>
      <c r="E3" s="701">
        <v>32880</v>
      </c>
      <c r="F3" s="702">
        <v>1.4</v>
      </c>
      <c r="G3" s="702">
        <f t="shared" ref="G3:G13" si="0">E3*F3</f>
        <v>46032</v>
      </c>
      <c r="H3" s="702">
        <f t="shared" ref="H3:H13" si="1">G3*0.18</f>
        <v>8285.76</v>
      </c>
      <c r="I3" s="702">
        <f t="shared" ref="I3:I13" si="2">H3+G3</f>
        <v>54317.760000000002</v>
      </c>
      <c r="J3" s="702" t="s">
        <v>877</v>
      </c>
      <c r="K3" s="699">
        <v>4192</v>
      </c>
      <c r="L3" s="700" t="s">
        <v>46</v>
      </c>
      <c r="M3" s="702">
        <v>54318.26</v>
      </c>
      <c r="N3" s="703">
        <v>43025</v>
      </c>
      <c r="O3" s="704" t="s">
        <v>103</v>
      </c>
      <c r="P3" s="705" t="s">
        <v>878</v>
      </c>
      <c r="Q3" s="706" t="s">
        <v>46</v>
      </c>
      <c r="R3" s="686"/>
    </row>
    <row r="4" spans="2:18" ht="19.5" customHeight="1" thickBot="1">
      <c r="B4" s="698">
        <v>43017</v>
      </c>
      <c r="C4" s="699" t="s">
        <v>501</v>
      </c>
      <c r="D4" s="700" t="s">
        <v>876</v>
      </c>
      <c r="E4" s="701">
        <v>26280</v>
      </c>
      <c r="F4" s="702">
        <v>1.4</v>
      </c>
      <c r="G4" s="702">
        <f t="shared" si="0"/>
        <v>36792</v>
      </c>
      <c r="H4" s="702">
        <f t="shared" si="1"/>
        <v>6622.5599999999995</v>
      </c>
      <c r="I4" s="702">
        <f t="shared" si="2"/>
        <v>43414.559999999998</v>
      </c>
      <c r="J4" s="699" t="s">
        <v>877</v>
      </c>
      <c r="K4" s="699">
        <v>4213</v>
      </c>
      <c r="L4" s="700" t="s">
        <v>46</v>
      </c>
      <c r="M4" s="702">
        <v>43415.06</v>
      </c>
      <c r="N4" s="707">
        <v>43031</v>
      </c>
      <c r="O4" s="704" t="s">
        <v>103</v>
      </c>
      <c r="P4" s="705" t="s">
        <v>878</v>
      </c>
      <c r="Q4" s="706" t="s">
        <v>46</v>
      </c>
      <c r="R4" s="686"/>
    </row>
    <row r="5" spans="2:18" ht="19.5" customHeight="1" thickBot="1">
      <c r="B5" s="698">
        <v>43019</v>
      </c>
      <c r="C5" s="699" t="s">
        <v>501</v>
      </c>
      <c r="D5" s="700" t="s">
        <v>876</v>
      </c>
      <c r="E5" s="701">
        <v>36890</v>
      </c>
      <c r="F5" s="702">
        <v>1.4</v>
      </c>
      <c r="G5" s="702">
        <f t="shared" si="0"/>
        <v>51646</v>
      </c>
      <c r="H5" s="702">
        <f t="shared" si="1"/>
        <v>9296.2799999999988</v>
      </c>
      <c r="I5" s="702">
        <f t="shared" si="2"/>
        <v>60942.28</v>
      </c>
      <c r="J5" s="699" t="s">
        <v>877</v>
      </c>
      <c r="K5" s="699">
        <v>1105</v>
      </c>
      <c r="L5" s="700" t="s">
        <v>45</v>
      </c>
      <c r="M5" s="702">
        <v>60942.78</v>
      </c>
      <c r="N5" s="707">
        <v>43033</v>
      </c>
      <c r="O5" s="704" t="s">
        <v>103</v>
      </c>
      <c r="P5" s="793" t="s">
        <v>878</v>
      </c>
      <c r="Q5" s="794" t="s">
        <v>45</v>
      </c>
      <c r="R5" s="686"/>
    </row>
    <row r="6" spans="2:18" ht="19.5" customHeight="1" thickBot="1">
      <c r="B6" s="698">
        <v>43024</v>
      </c>
      <c r="C6" s="699" t="s">
        <v>501</v>
      </c>
      <c r="D6" s="700" t="s">
        <v>876</v>
      </c>
      <c r="E6" s="701">
        <v>32460</v>
      </c>
      <c r="F6" s="702">
        <v>1.4</v>
      </c>
      <c r="G6" s="702">
        <f t="shared" si="0"/>
        <v>45444</v>
      </c>
      <c r="H6" s="702">
        <f t="shared" si="1"/>
        <v>8179.92</v>
      </c>
      <c r="I6" s="702">
        <f t="shared" si="2"/>
        <v>53623.92</v>
      </c>
      <c r="J6" s="702" t="s">
        <v>877</v>
      </c>
      <c r="K6" s="699">
        <v>1124</v>
      </c>
      <c r="L6" s="700" t="s">
        <v>45</v>
      </c>
      <c r="M6" s="702">
        <v>53624.42</v>
      </c>
      <c r="N6" s="703">
        <v>43048</v>
      </c>
      <c r="O6" s="704" t="s">
        <v>103</v>
      </c>
      <c r="P6" s="793" t="s">
        <v>878</v>
      </c>
      <c r="Q6" s="794" t="s">
        <v>45</v>
      </c>
      <c r="R6" s="686"/>
    </row>
    <row r="7" spans="2:18" ht="19.5" customHeight="1" thickBot="1">
      <c r="B7" s="698">
        <v>43027</v>
      </c>
      <c r="C7" s="699" t="s">
        <v>501</v>
      </c>
      <c r="D7" s="700" t="s">
        <v>876</v>
      </c>
      <c r="E7" s="701">
        <v>31480</v>
      </c>
      <c r="F7" s="702">
        <v>1.4</v>
      </c>
      <c r="G7" s="702">
        <f t="shared" si="0"/>
        <v>44072</v>
      </c>
      <c r="H7" s="702">
        <f t="shared" si="1"/>
        <v>7932.96</v>
      </c>
      <c r="I7" s="702">
        <f t="shared" si="2"/>
        <v>52004.959999999999</v>
      </c>
      <c r="J7" s="702" t="s">
        <v>877</v>
      </c>
      <c r="K7" s="699">
        <v>1118</v>
      </c>
      <c r="L7" s="700" t="s">
        <v>45</v>
      </c>
      <c r="M7" s="702">
        <v>52005.46</v>
      </c>
      <c r="N7" s="703">
        <v>43048</v>
      </c>
      <c r="O7" s="704" t="s">
        <v>103</v>
      </c>
      <c r="P7" s="793" t="s">
        <v>878</v>
      </c>
      <c r="Q7" s="794" t="s">
        <v>45</v>
      </c>
      <c r="R7" s="686"/>
    </row>
    <row r="8" spans="2:18" ht="19.5" customHeight="1" thickBot="1">
      <c r="B8" s="698">
        <v>43031</v>
      </c>
      <c r="C8" s="699" t="s">
        <v>501</v>
      </c>
      <c r="D8" s="700" t="s">
        <v>876</v>
      </c>
      <c r="E8" s="701">
        <v>28600</v>
      </c>
      <c r="F8" s="702">
        <v>1.4</v>
      </c>
      <c r="G8" s="702">
        <f t="shared" si="0"/>
        <v>40040</v>
      </c>
      <c r="H8" s="702">
        <f t="shared" si="1"/>
        <v>7207.2</v>
      </c>
      <c r="I8" s="702">
        <f t="shared" si="2"/>
        <v>47247.199999999997</v>
      </c>
      <c r="J8" s="699" t="s">
        <v>877</v>
      </c>
      <c r="K8" s="699">
        <v>1196</v>
      </c>
      <c r="L8" s="700" t="s">
        <v>45</v>
      </c>
      <c r="M8" s="702">
        <f>+I8+0.5</f>
        <v>47247.7</v>
      </c>
      <c r="N8" s="703">
        <v>43055</v>
      </c>
      <c r="O8" s="704" t="s">
        <v>103</v>
      </c>
      <c r="P8" s="793" t="s">
        <v>878</v>
      </c>
      <c r="Q8" s="794" t="s">
        <v>45</v>
      </c>
      <c r="R8" s="686"/>
    </row>
    <row r="9" spans="2:18" ht="19.5" customHeight="1" thickBot="1">
      <c r="B9" s="708">
        <v>43039</v>
      </c>
      <c r="C9" s="709" t="s">
        <v>501</v>
      </c>
      <c r="D9" s="710" t="s">
        <v>876</v>
      </c>
      <c r="E9" s="711">
        <v>32140</v>
      </c>
      <c r="F9" s="712">
        <v>1.4</v>
      </c>
      <c r="G9" s="712">
        <f t="shared" si="0"/>
        <v>44996</v>
      </c>
      <c r="H9" s="712">
        <f t="shared" si="1"/>
        <v>8099.28</v>
      </c>
      <c r="I9" s="712">
        <f t="shared" si="2"/>
        <v>53095.28</v>
      </c>
      <c r="J9" s="709"/>
      <c r="K9" s="709"/>
      <c r="L9" s="710"/>
      <c r="M9" s="712"/>
      <c r="N9" s="756"/>
      <c r="O9" s="713"/>
      <c r="P9" s="714" t="s">
        <v>878</v>
      </c>
      <c r="Q9" s="715" t="s">
        <v>45</v>
      </c>
      <c r="R9" s="686"/>
    </row>
    <row r="10" spans="2:18" ht="19.5" customHeight="1" thickBot="1">
      <c r="B10" s="698">
        <v>43042</v>
      </c>
      <c r="C10" s="699" t="s">
        <v>501</v>
      </c>
      <c r="D10" s="700" t="s">
        <v>876</v>
      </c>
      <c r="E10" s="701">
        <v>35680</v>
      </c>
      <c r="F10" s="702">
        <v>1.4</v>
      </c>
      <c r="G10" s="702">
        <f t="shared" si="0"/>
        <v>49952</v>
      </c>
      <c r="H10" s="702">
        <f t="shared" si="1"/>
        <v>8991.3599999999988</v>
      </c>
      <c r="I10" s="702">
        <f t="shared" si="2"/>
        <v>58943.360000000001</v>
      </c>
      <c r="J10" s="699" t="s">
        <v>877</v>
      </c>
      <c r="K10" s="699">
        <v>1197</v>
      </c>
      <c r="L10" s="700" t="s">
        <v>45</v>
      </c>
      <c r="M10" s="702">
        <v>58943.86</v>
      </c>
      <c r="N10" s="707">
        <v>43066</v>
      </c>
      <c r="O10" s="704" t="s">
        <v>103</v>
      </c>
      <c r="P10" s="846" t="s">
        <v>878</v>
      </c>
      <c r="Q10" s="847" t="s">
        <v>45</v>
      </c>
      <c r="R10" s="686"/>
    </row>
    <row r="11" spans="2:18" ht="19.5" customHeight="1" thickBot="1">
      <c r="B11" s="698">
        <v>43045</v>
      </c>
      <c r="C11" s="699" t="s">
        <v>501</v>
      </c>
      <c r="D11" s="700" t="s">
        <v>876</v>
      </c>
      <c r="E11" s="701">
        <v>32420</v>
      </c>
      <c r="F11" s="702">
        <v>1.4</v>
      </c>
      <c r="G11" s="702">
        <f t="shared" si="0"/>
        <v>45388</v>
      </c>
      <c r="H11" s="702">
        <f t="shared" si="1"/>
        <v>8169.84</v>
      </c>
      <c r="I11" s="702">
        <f t="shared" si="2"/>
        <v>53557.84</v>
      </c>
      <c r="J11" s="699" t="s">
        <v>877</v>
      </c>
      <c r="K11" s="699">
        <v>1195</v>
      </c>
      <c r="L11" s="700" t="s">
        <v>45</v>
      </c>
      <c r="M11" s="702">
        <v>53558.34</v>
      </c>
      <c r="N11" s="707">
        <v>43062</v>
      </c>
      <c r="O11" s="704" t="s">
        <v>103</v>
      </c>
      <c r="P11" s="846" t="s">
        <v>878</v>
      </c>
      <c r="Q11" s="847" t="s">
        <v>45</v>
      </c>
      <c r="R11" s="686"/>
    </row>
    <row r="12" spans="2:18" ht="19.5" customHeight="1" thickBot="1">
      <c r="B12" s="708">
        <v>43049</v>
      </c>
      <c r="C12" s="709" t="s">
        <v>501</v>
      </c>
      <c r="D12" s="710" t="s">
        <v>876</v>
      </c>
      <c r="E12" s="711">
        <v>35260</v>
      </c>
      <c r="F12" s="712">
        <v>1.4</v>
      </c>
      <c r="G12" s="712">
        <f t="shared" si="0"/>
        <v>49364</v>
      </c>
      <c r="H12" s="712">
        <f t="shared" si="1"/>
        <v>8885.52</v>
      </c>
      <c r="I12" s="712">
        <f t="shared" si="2"/>
        <v>58249.520000000004</v>
      </c>
      <c r="J12" s="709"/>
      <c r="K12" s="709"/>
      <c r="L12" s="710"/>
      <c r="M12" s="712"/>
      <c r="N12" s="756"/>
      <c r="O12" s="713"/>
      <c r="P12" s="714" t="s">
        <v>878</v>
      </c>
      <c r="Q12" s="715" t="s">
        <v>45</v>
      </c>
      <c r="R12" s="686"/>
    </row>
    <row r="13" spans="2:18" ht="19.5" customHeight="1" thickBot="1">
      <c r="B13" s="708">
        <v>43056</v>
      </c>
      <c r="C13" s="709" t="s">
        <v>501</v>
      </c>
      <c r="D13" s="710" t="s">
        <v>876</v>
      </c>
      <c r="E13" s="711">
        <v>33980</v>
      </c>
      <c r="F13" s="712">
        <v>1.4</v>
      </c>
      <c r="G13" s="712">
        <f t="shared" si="0"/>
        <v>47572</v>
      </c>
      <c r="H13" s="712">
        <f t="shared" si="1"/>
        <v>8562.9599999999991</v>
      </c>
      <c r="I13" s="712">
        <f t="shared" si="2"/>
        <v>56134.96</v>
      </c>
      <c r="J13" s="709"/>
      <c r="K13" s="709"/>
      <c r="L13" s="710"/>
      <c r="M13" s="712"/>
      <c r="N13" s="756"/>
      <c r="O13" s="713"/>
      <c r="P13" s="714" t="s">
        <v>878</v>
      </c>
      <c r="Q13" s="715" t="s">
        <v>45</v>
      </c>
      <c r="R13" s="686"/>
    </row>
    <row r="14" spans="2:18" ht="19.5" customHeight="1">
      <c r="B14" s="716"/>
      <c r="C14" s="686"/>
      <c r="D14" s="717"/>
      <c r="E14" s="718"/>
      <c r="F14" s="719"/>
      <c r="G14" s="719"/>
      <c r="H14" s="719"/>
      <c r="I14" s="719"/>
      <c r="J14" s="686"/>
      <c r="K14" s="686"/>
      <c r="L14" s="717"/>
      <c r="M14" s="719"/>
      <c r="N14" s="720"/>
      <c r="O14" s="690"/>
      <c r="P14" s="693"/>
      <c r="Q14" s="690"/>
      <c r="R14" s="686"/>
    </row>
    <row r="15" spans="2:18" ht="19.5" customHeight="1">
      <c r="B15" s="716"/>
      <c r="C15" s="686"/>
      <c r="D15" s="717"/>
      <c r="E15" s="718"/>
      <c r="F15" s="719"/>
      <c r="G15" s="719"/>
      <c r="H15" s="719"/>
      <c r="I15" s="719"/>
      <c r="J15" s="686"/>
      <c r="K15" s="686"/>
      <c r="L15" s="717"/>
      <c r="M15" s="719"/>
      <c r="N15" s="720"/>
      <c r="O15" s="690"/>
      <c r="P15" s="693"/>
      <c r="Q15" s="690"/>
      <c r="R15" s="686"/>
    </row>
    <row r="16" spans="2:18" ht="19.5" customHeight="1">
      <c r="B16" s="716"/>
      <c r="C16" s="686"/>
      <c r="D16" s="717"/>
      <c r="E16" s="718"/>
      <c r="F16" s="719"/>
      <c r="G16" s="719"/>
      <c r="H16" s="719"/>
      <c r="I16" s="719"/>
      <c r="J16" s="686"/>
      <c r="K16" s="686"/>
      <c r="L16" s="717"/>
      <c r="M16" s="719"/>
      <c r="N16" s="720"/>
      <c r="O16" s="690"/>
      <c r="P16" s="693"/>
      <c r="Q16" s="690"/>
      <c r="R16" s="686"/>
    </row>
    <row r="17" spans="2:18" ht="19.5" customHeight="1">
      <c r="B17" s="716"/>
      <c r="C17" s="686"/>
      <c r="D17" s="717"/>
      <c r="E17" s="718"/>
      <c r="F17" s="719"/>
      <c r="G17" s="719"/>
      <c r="H17" s="719"/>
      <c r="I17" s="719"/>
      <c r="J17" s="686"/>
      <c r="K17" s="686"/>
      <c r="L17" s="717"/>
      <c r="M17" s="719"/>
      <c r="N17" s="720"/>
      <c r="O17" s="690"/>
      <c r="P17" s="693"/>
      <c r="Q17" s="690"/>
      <c r="R17" s="686"/>
    </row>
    <row r="18" spans="2:18" ht="19.5" customHeight="1">
      <c r="B18" s="716"/>
      <c r="C18" s="686"/>
      <c r="D18" s="717"/>
      <c r="E18" s="718"/>
      <c r="F18" s="719"/>
      <c r="G18" s="719"/>
      <c r="H18" s="719"/>
      <c r="I18" s="719"/>
      <c r="J18" s="686"/>
      <c r="K18" s="686"/>
      <c r="L18" s="717"/>
      <c r="M18" s="719"/>
      <c r="N18" s="720"/>
      <c r="O18" s="690"/>
      <c r="P18" s="693"/>
      <c r="Q18" s="690"/>
      <c r="R18" s="686"/>
    </row>
    <row r="19" spans="2:18" ht="19.5" customHeight="1">
      <c r="B19" s="716"/>
      <c r="C19" s="686"/>
      <c r="D19" s="717"/>
      <c r="E19" s="718"/>
      <c r="F19" s="719"/>
      <c r="G19" s="719"/>
      <c r="H19" s="719"/>
      <c r="I19" s="719"/>
      <c r="J19" s="686"/>
      <c r="K19" s="686"/>
      <c r="L19" s="717"/>
      <c r="M19" s="719"/>
      <c r="N19" s="720"/>
      <c r="O19" s="690"/>
      <c r="P19" s="693"/>
      <c r="Q19" s="690"/>
      <c r="R19" s="686"/>
    </row>
    <row r="20" spans="2:18" ht="19.5" customHeight="1">
      <c r="B20" s="716"/>
      <c r="C20" s="686"/>
      <c r="D20" s="717"/>
      <c r="E20" s="718"/>
      <c r="F20" s="719"/>
      <c r="G20" s="719"/>
      <c r="H20" s="719"/>
      <c r="I20" s="719"/>
      <c r="J20" s="686"/>
      <c r="K20" s="686"/>
      <c r="L20" s="717"/>
      <c r="M20" s="719"/>
      <c r="N20" s="720"/>
      <c r="O20" s="690"/>
      <c r="P20" s="693"/>
      <c r="Q20" s="690"/>
      <c r="R20" s="686"/>
    </row>
    <row r="21" spans="2:18" ht="19.5" customHeight="1">
      <c r="B21" s="716"/>
      <c r="C21" s="686"/>
      <c r="D21" s="717"/>
      <c r="E21" s="718"/>
      <c r="F21" s="719"/>
      <c r="G21" s="719"/>
      <c r="H21" s="719"/>
      <c r="I21" s="719"/>
      <c r="J21" s="686"/>
      <c r="K21" s="686"/>
      <c r="L21" s="717"/>
      <c r="M21" s="719"/>
      <c r="N21" s="720"/>
      <c r="O21" s="690"/>
      <c r="P21" s="693"/>
      <c r="Q21" s="690"/>
      <c r="R21" s="686"/>
    </row>
    <row r="22" spans="2:18" ht="19.5" customHeight="1">
      <c r="B22" s="716"/>
      <c r="C22" s="686"/>
      <c r="D22" s="717"/>
      <c r="E22" s="718"/>
      <c r="F22" s="719"/>
      <c r="G22" s="719"/>
      <c r="H22" s="719"/>
      <c r="I22" s="719"/>
      <c r="J22" s="686"/>
      <c r="K22" s="686"/>
      <c r="L22" s="717"/>
      <c r="M22" s="719"/>
      <c r="N22" s="720"/>
      <c r="O22" s="690"/>
      <c r="P22" s="693"/>
      <c r="Q22" s="690"/>
      <c r="R22" s="686"/>
    </row>
    <row r="23" spans="2:18" ht="19.5" customHeight="1">
      <c r="B23" s="716"/>
      <c r="C23" s="686"/>
      <c r="D23" s="717"/>
      <c r="E23" s="718"/>
      <c r="F23" s="719"/>
      <c r="G23" s="719"/>
      <c r="H23" s="719"/>
      <c r="I23" s="719"/>
      <c r="J23" s="686"/>
      <c r="K23" s="686"/>
      <c r="L23" s="717"/>
      <c r="M23" s="719"/>
      <c r="N23" s="720"/>
      <c r="O23" s="690"/>
      <c r="P23" s="693"/>
      <c r="Q23" s="690"/>
      <c r="R23" s="686"/>
    </row>
    <row r="24" spans="2:18" ht="19.5" customHeight="1">
      <c r="B24" s="716"/>
      <c r="C24" s="686"/>
      <c r="D24" s="717"/>
      <c r="E24" s="718"/>
      <c r="F24" s="719"/>
      <c r="G24" s="719"/>
      <c r="H24" s="719"/>
      <c r="I24" s="719"/>
      <c r="J24" s="686"/>
      <c r="K24" s="686"/>
      <c r="L24" s="717"/>
      <c r="M24" s="719"/>
      <c r="N24" s="720"/>
      <c r="O24" s="690"/>
      <c r="P24" s="693"/>
      <c r="Q24" s="690"/>
      <c r="R24" s="686"/>
    </row>
    <row r="25" spans="2:18" ht="19.5" customHeight="1">
      <c r="B25" s="716"/>
      <c r="C25" s="686"/>
      <c r="D25" s="717"/>
      <c r="E25" s="718"/>
      <c r="F25" s="719"/>
      <c r="G25" s="719"/>
      <c r="H25" s="719"/>
      <c r="I25" s="719"/>
      <c r="J25" s="686"/>
      <c r="K25" s="686"/>
      <c r="L25" s="717"/>
      <c r="M25" s="719"/>
      <c r="N25" s="720"/>
      <c r="O25" s="690"/>
      <c r="P25" s="693"/>
      <c r="Q25" s="690"/>
      <c r="R25" s="686"/>
    </row>
    <row r="26" spans="2:18" ht="19.5" customHeight="1">
      <c r="B26" s="716"/>
      <c r="C26" s="686"/>
      <c r="D26" s="717"/>
      <c r="E26" s="718"/>
      <c r="F26" s="719"/>
      <c r="G26" s="719"/>
      <c r="H26" s="719"/>
      <c r="I26" s="719"/>
      <c r="J26" s="686"/>
      <c r="K26" s="686"/>
      <c r="L26" s="717"/>
      <c r="M26" s="719"/>
      <c r="N26" s="720"/>
      <c r="O26" s="690"/>
      <c r="P26" s="693"/>
      <c r="Q26" s="690"/>
      <c r="R26" s="686"/>
    </row>
    <row r="27" spans="2:18" ht="19.5" customHeight="1">
      <c r="B27" s="716"/>
      <c r="C27" s="686"/>
      <c r="D27" s="717"/>
      <c r="E27" s="718"/>
      <c r="F27" s="719"/>
      <c r="G27" s="719"/>
      <c r="H27" s="719"/>
      <c r="I27" s="719"/>
      <c r="J27" s="686"/>
      <c r="K27" s="686"/>
      <c r="L27" s="717"/>
      <c r="M27" s="719"/>
      <c r="N27" s="720"/>
      <c r="O27" s="690"/>
      <c r="P27" s="693"/>
      <c r="Q27" s="690"/>
      <c r="R27" s="686"/>
    </row>
    <row r="28" spans="2:18" ht="19.5" customHeight="1">
      <c r="B28" s="716"/>
      <c r="C28" s="686"/>
      <c r="D28" s="717"/>
      <c r="E28" s="718"/>
      <c r="F28" s="719"/>
      <c r="G28" s="719"/>
      <c r="H28" s="719"/>
      <c r="I28" s="719"/>
      <c r="J28" s="686"/>
      <c r="K28" s="686"/>
      <c r="L28" s="717"/>
      <c r="M28" s="719"/>
      <c r="N28" s="720"/>
      <c r="O28" s="690"/>
      <c r="P28" s="693"/>
      <c r="Q28" s="690"/>
      <c r="R28" s="686"/>
    </row>
    <row r="29" spans="2:18" ht="19.5" customHeight="1">
      <c r="B29" s="716"/>
      <c r="C29" s="686"/>
      <c r="D29" s="717"/>
      <c r="E29" s="718"/>
      <c r="F29" s="719"/>
      <c r="G29" s="719"/>
      <c r="H29" s="719"/>
      <c r="I29" s="719"/>
      <c r="J29" s="686"/>
      <c r="K29" s="686"/>
      <c r="L29" s="717"/>
      <c r="M29" s="719"/>
      <c r="N29" s="720"/>
      <c r="O29" s="690"/>
      <c r="P29" s="693"/>
      <c r="Q29" s="690"/>
      <c r="R29" s="686"/>
    </row>
    <row r="30" spans="2:18" ht="19.5" customHeight="1">
      <c r="B30" s="716"/>
      <c r="C30" s="686"/>
      <c r="D30" s="717"/>
      <c r="E30" s="718"/>
      <c r="F30" s="719"/>
      <c r="G30" s="719"/>
      <c r="H30" s="719"/>
      <c r="I30" s="719"/>
      <c r="J30" s="686"/>
      <c r="K30" s="686"/>
      <c r="L30" s="717"/>
      <c r="M30" s="719"/>
      <c r="N30" s="720"/>
      <c r="O30" s="690"/>
      <c r="P30" s="693"/>
      <c r="Q30" s="690"/>
      <c r="R30" s="686"/>
    </row>
    <row r="31" spans="2:18" ht="19.5" customHeight="1">
      <c r="B31" s="716"/>
      <c r="C31" s="686"/>
      <c r="D31" s="717"/>
      <c r="E31" s="718"/>
      <c r="F31" s="719"/>
      <c r="G31" s="719"/>
      <c r="H31" s="719"/>
      <c r="I31" s="719"/>
      <c r="J31" s="686"/>
      <c r="K31" s="686"/>
      <c r="L31" s="717"/>
      <c r="M31" s="719"/>
      <c r="N31" s="720"/>
      <c r="O31" s="690"/>
      <c r="P31" s="693"/>
      <c r="Q31" s="690"/>
      <c r="R31" s="686"/>
    </row>
    <row r="32" spans="2:18" ht="19.5" customHeight="1">
      <c r="B32" s="716"/>
      <c r="C32" s="686"/>
      <c r="D32" s="717"/>
      <c r="E32" s="718"/>
      <c r="F32" s="719"/>
      <c r="G32" s="719"/>
      <c r="H32" s="719"/>
      <c r="I32" s="719"/>
      <c r="J32" s="686"/>
      <c r="K32" s="686"/>
      <c r="L32" s="717"/>
      <c r="M32" s="719"/>
      <c r="N32" s="720"/>
      <c r="O32" s="690"/>
      <c r="P32" s="693"/>
      <c r="Q32" s="690"/>
      <c r="R32" s="686"/>
    </row>
    <row r="33" spans="2:20" ht="19.5" customHeight="1">
      <c r="B33" s="716"/>
      <c r="C33" s="686"/>
      <c r="D33" s="717"/>
      <c r="E33" s="718"/>
      <c r="F33" s="719"/>
      <c r="G33" s="719"/>
      <c r="H33" s="719"/>
      <c r="I33" s="719"/>
      <c r="J33" s="686"/>
      <c r="K33" s="686"/>
      <c r="L33" s="717"/>
      <c r="M33" s="719"/>
      <c r="N33" s="720"/>
      <c r="O33" s="690"/>
      <c r="P33" s="693"/>
      <c r="Q33" s="690"/>
      <c r="R33" s="686"/>
    </row>
    <row r="34" spans="2:20" ht="19.5" customHeight="1">
      <c r="B34" s="716"/>
      <c r="C34" s="686"/>
      <c r="D34" s="717"/>
      <c r="E34" s="718"/>
      <c r="F34" s="719"/>
      <c r="G34" s="719"/>
      <c r="H34" s="719"/>
      <c r="I34" s="719"/>
      <c r="J34" s="686"/>
      <c r="K34" s="686"/>
      <c r="L34" s="717"/>
      <c r="M34" s="719"/>
      <c r="N34" s="720"/>
      <c r="O34" s="690"/>
      <c r="P34" s="693"/>
      <c r="Q34" s="690"/>
      <c r="R34" s="686"/>
    </row>
    <row r="35" spans="2:20" ht="19.5" customHeight="1">
      <c r="B35" s="716"/>
      <c r="C35" s="686"/>
      <c r="D35" s="717"/>
      <c r="E35" s="718"/>
      <c r="F35" s="719"/>
      <c r="G35" s="719"/>
      <c r="H35" s="719"/>
      <c r="I35" s="719"/>
      <c r="J35" s="686"/>
      <c r="K35" s="686"/>
      <c r="L35" s="717"/>
      <c r="M35" s="719"/>
      <c r="N35" s="720"/>
      <c r="O35" s="690"/>
      <c r="P35" s="693"/>
      <c r="Q35" s="690"/>
      <c r="R35" s="686"/>
    </row>
    <row r="36" spans="2:20" ht="19.5" customHeight="1">
      <c r="B36" s="716"/>
      <c r="C36" s="686"/>
      <c r="D36" s="717"/>
      <c r="E36" s="718"/>
      <c r="F36" s="719"/>
      <c r="G36" s="719"/>
      <c r="H36" s="719"/>
      <c r="I36" s="719"/>
      <c r="J36" s="686"/>
      <c r="K36" s="686"/>
      <c r="L36" s="717"/>
      <c r="M36" s="719"/>
      <c r="N36" s="720"/>
      <c r="O36" s="690"/>
      <c r="P36" s="693"/>
      <c r="Q36" s="690"/>
      <c r="R36" s="686"/>
    </row>
    <row r="37" spans="2:20" ht="19.5" customHeight="1">
      <c r="B37" s="716"/>
      <c r="C37" s="686"/>
      <c r="D37" s="717"/>
      <c r="E37" s="718"/>
      <c r="F37" s="719"/>
      <c r="G37" s="719"/>
      <c r="H37" s="719"/>
      <c r="I37" s="719"/>
      <c r="J37" s="686"/>
      <c r="K37" s="686"/>
      <c r="L37" s="717"/>
      <c r="M37" s="719"/>
      <c r="N37" s="720"/>
      <c r="O37" s="690"/>
      <c r="P37" s="693"/>
      <c r="Q37" s="690"/>
      <c r="R37" s="686"/>
    </row>
    <row r="38" spans="2:20" s="685" customFormat="1" ht="19.5" customHeight="1">
      <c r="B38" s="716"/>
      <c r="C38" s="686"/>
      <c r="D38" s="717"/>
      <c r="E38" s="718"/>
      <c r="F38" s="719"/>
      <c r="G38" s="719"/>
      <c r="H38" s="719"/>
      <c r="I38" s="719"/>
      <c r="J38" s="686"/>
      <c r="K38" s="686"/>
      <c r="L38" s="717"/>
      <c r="M38" s="719"/>
      <c r="N38" s="720"/>
      <c r="O38" s="690"/>
      <c r="P38" s="693"/>
      <c r="Q38" s="690"/>
      <c r="R38" s="686"/>
    </row>
    <row r="39" spans="2:20" s="685" customFormat="1" ht="19.5" customHeight="1">
      <c r="B39" s="716"/>
      <c r="C39" s="686"/>
      <c r="D39" s="717"/>
      <c r="E39" s="718"/>
      <c r="F39" s="719"/>
      <c r="G39" s="719"/>
      <c r="H39" s="719"/>
      <c r="I39" s="719"/>
      <c r="J39" s="686"/>
      <c r="K39" s="686"/>
      <c r="L39" s="717"/>
      <c r="M39" s="719"/>
      <c r="N39" s="720"/>
      <c r="O39" s="690"/>
      <c r="P39" s="693"/>
      <c r="Q39" s="690"/>
      <c r="R39" s="686"/>
    </row>
    <row r="40" spans="2:20" s="685" customFormat="1" ht="19.5" customHeight="1">
      <c r="B40" s="716"/>
      <c r="C40" s="686"/>
      <c r="D40" s="717"/>
      <c r="E40" s="718"/>
      <c r="F40" s="719"/>
      <c r="G40" s="719"/>
      <c r="H40" s="719"/>
      <c r="I40" s="719"/>
      <c r="J40" s="686"/>
      <c r="K40" s="686"/>
      <c r="L40" s="717"/>
      <c r="M40" s="719"/>
      <c r="N40" s="720"/>
      <c r="O40" s="690"/>
      <c r="P40" s="693"/>
      <c r="Q40" s="690"/>
      <c r="R40" s="686"/>
      <c r="T40" s="721"/>
    </row>
    <row r="41" spans="2:20" s="685" customFormat="1" ht="19.5" customHeight="1">
      <c r="B41" s="716"/>
      <c r="C41" s="686"/>
      <c r="D41" s="717"/>
      <c r="E41" s="718"/>
      <c r="F41" s="719"/>
      <c r="G41" s="719"/>
      <c r="H41" s="719"/>
      <c r="I41" s="719"/>
      <c r="J41" s="686"/>
      <c r="K41" s="686"/>
      <c r="L41" s="717"/>
      <c r="M41" s="719"/>
      <c r="N41" s="720"/>
      <c r="O41" s="690"/>
      <c r="P41" s="693"/>
      <c r="Q41" s="690"/>
      <c r="R41" s="686"/>
      <c r="T41" s="721"/>
    </row>
    <row r="42" spans="2:20" s="685" customFormat="1" ht="19.5" customHeight="1">
      <c r="B42" s="716"/>
      <c r="C42" s="686"/>
      <c r="D42" s="717"/>
      <c r="E42" s="718"/>
      <c r="F42" s="719"/>
      <c r="G42" s="719"/>
      <c r="H42" s="719"/>
      <c r="I42" s="719"/>
      <c r="J42" s="686"/>
      <c r="K42" s="686"/>
      <c r="L42" s="717"/>
      <c r="M42" s="719"/>
      <c r="N42" s="720"/>
      <c r="O42" s="690"/>
      <c r="P42" s="693"/>
      <c r="Q42" s="690"/>
      <c r="R42" s="686"/>
    </row>
    <row r="43" spans="2:20" s="685" customFormat="1" ht="19.5" customHeight="1">
      <c r="B43" s="716"/>
      <c r="C43" s="686"/>
      <c r="D43" s="717"/>
      <c r="E43" s="718"/>
      <c r="F43" s="719"/>
      <c r="G43" s="719"/>
      <c r="H43" s="719"/>
      <c r="I43" s="719"/>
      <c r="J43" s="686"/>
      <c r="K43" s="686"/>
      <c r="L43" s="717"/>
      <c r="M43" s="719"/>
      <c r="N43" s="720"/>
      <c r="O43" s="690"/>
      <c r="P43" s="693"/>
      <c r="Q43" s="690"/>
      <c r="R43" s="686"/>
    </row>
    <row r="44" spans="2:20" s="685" customFormat="1" ht="19.5" customHeight="1">
      <c r="B44" s="716"/>
      <c r="C44" s="686"/>
      <c r="D44" s="717"/>
      <c r="E44" s="718"/>
      <c r="F44" s="719"/>
      <c r="G44" s="719"/>
      <c r="H44" s="719"/>
      <c r="I44" s="719"/>
      <c r="J44" s="686"/>
      <c r="K44" s="686"/>
      <c r="L44" s="717"/>
      <c r="M44" s="719"/>
      <c r="N44" s="720"/>
      <c r="O44" s="690"/>
      <c r="P44" s="693"/>
      <c r="Q44" s="690"/>
      <c r="R44" s="686"/>
    </row>
    <row r="45" spans="2:20" s="685" customFormat="1" ht="19.5" customHeight="1">
      <c r="B45" s="716"/>
      <c r="C45" s="686"/>
      <c r="D45" s="717"/>
      <c r="E45" s="718"/>
      <c r="F45" s="719"/>
      <c r="G45" s="719"/>
      <c r="H45" s="719"/>
      <c r="I45" s="719"/>
      <c r="J45" s="686"/>
      <c r="K45" s="686"/>
      <c r="L45" s="717"/>
      <c r="M45" s="719"/>
      <c r="N45" s="720"/>
      <c r="O45" s="690"/>
      <c r="P45" s="693"/>
      <c r="Q45" s="690"/>
      <c r="R45" s="686"/>
    </row>
    <row r="46" spans="2:20" s="685" customFormat="1" ht="19.5" customHeight="1">
      <c r="B46" s="716"/>
      <c r="C46" s="686"/>
      <c r="D46" s="717"/>
      <c r="E46" s="718"/>
      <c r="F46" s="719"/>
      <c r="G46" s="719"/>
      <c r="H46" s="719"/>
      <c r="I46" s="719"/>
      <c r="J46" s="686"/>
      <c r="K46" s="686"/>
      <c r="L46" s="717"/>
      <c r="M46" s="719"/>
      <c r="N46" s="720"/>
      <c r="O46" s="690"/>
      <c r="P46" s="693"/>
      <c r="Q46" s="690"/>
      <c r="R46" s="686"/>
    </row>
    <row r="47" spans="2:20" s="685" customFormat="1" ht="19.5" customHeight="1">
      <c r="B47" s="716"/>
      <c r="C47" s="686"/>
      <c r="D47" s="717"/>
      <c r="E47" s="718"/>
      <c r="F47" s="719"/>
      <c r="G47" s="719"/>
      <c r="H47" s="719"/>
      <c r="I47" s="719"/>
      <c r="J47" s="686"/>
      <c r="K47" s="686"/>
      <c r="L47" s="717"/>
      <c r="M47" s="719"/>
      <c r="N47" s="720"/>
      <c r="O47" s="690"/>
      <c r="P47" s="693"/>
      <c r="Q47" s="690"/>
      <c r="R47" s="686"/>
    </row>
    <row r="48" spans="2:20" s="685" customFormat="1" ht="19.5" customHeight="1">
      <c r="B48" s="716"/>
      <c r="C48" s="686"/>
      <c r="D48" s="717"/>
      <c r="E48" s="718"/>
      <c r="F48" s="719"/>
      <c r="G48" s="719"/>
      <c r="H48" s="719"/>
      <c r="I48" s="719"/>
      <c r="J48" s="686"/>
      <c r="K48" s="686"/>
      <c r="L48" s="717"/>
      <c r="M48" s="719"/>
      <c r="N48" s="720"/>
      <c r="O48" s="690"/>
      <c r="P48" s="693"/>
      <c r="Q48" s="690"/>
      <c r="R48" s="686"/>
    </row>
    <row r="49" spans="2:18" s="685" customFormat="1" ht="19.5" customHeight="1">
      <c r="B49" s="716"/>
      <c r="C49" s="686"/>
      <c r="D49" s="717"/>
      <c r="E49" s="718"/>
      <c r="F49" s="719"/>
      <c r="G49" s="719"/>
      <c r="H49" s="719"/>
      <c r="I49" s="719"/>
      <c r="J49" s="686"/>
      <c r="K49" s="686"/>
      <c r="L49" s="717"/>
      <c r="M49" s="719"/>
      <c r="N49" s="720"/>
      <c r="O49" s="690"/>
      <c r="P49" s="693"/>
      <c r="Q49" s="690"/>
      <c r="R49" s="686"/>
    </row>
    <row r="50" spans="2:18" s="685" customFormat="1" ht="19.5" customHeight="1">
      <c r="B50" s="716"/>
      <c r="C50" s="686"/>
      <c r="D50" s="717"/>
      <c r="E50" s="718"/>
      <c r="F50" s="719"/>
      <c r="G50" s="719"/>
      <c r="H50" s="719"/>
      <c r="I50" s="719"/>
      <c r="J50" s="686"/>
      <c r="K50" s="686"/>
      <c r="L50" s="717"/>
      <c r="M50" s="719"/>
      <c r="N50" s="720"/>
      <c r="O50" s="690"/>
      <c r="P50" s="693"/>
      <c r="Q50" s="690"/>
      <c r="R50" s="686"/>
    </row>
    <row r="51" spans="2:18" s="685" customFormat="1" ht="19.5" customHeight="1">
      <c r="B51" s="716"/>
      <c r="C51" s="686"/>
      <c r="D51" s="717"/>
      <c r="E51" s="718"/>
      <c r="F51" s="719"/>
      <c r="G51" s="719"/>
      <c r="H51" s="719"/>
      <c r="I51" s="719"/>
      <c r="J51" s="686"/>
      <c r="K51" s="686"/>
      <c r="L51" s="717"/>
      <c r="M51" s="719"/>
      <c r="N51" s="720"/>
      <c r="O51" s="690"/>
      <c r="P51" s="693"/>
      <c r="Q51" s="690"/>
      <c r="R51" s="686"/>
    </row>
    <row r="52" spans="2:18" s="685" customFormat="1" ht="19.5" customHeight="1">
      <c r="B52" s="716"/>
      <c r="C52" s="686"/>
      <c r="D52" s="717"/>
      <c r="E52" s="718"/>
      <c r="F52" s="719"/>
      <c r="G52" s="719"/>
      <c r="H52" s="719"/>
      <c r="I52" s="719"/>
      <c r="J52" s="686"/>
      <c r="K52" s="686"/>
      <c r="L52" s="717"/>
      <c r="M52" s="719"/>
      <c r="N52" s="720"/>
      <c r="O52" s="690"/>
      <c r="P52" s="693"/>
      <c r="Q52" s="690"/>
      <c r="R52" s="686"/>
    </row>
    <row r="53" spans="2:18" s="685" customFormat="1" ht="19.5" customHeight="1">
      <c r="B53" s="716"/>
      <c r="C53" s="686"/>
      <c r="D53" s="717"/>
      <c r="E53" s="718"/>
      <c r="F53" s="719"/>
      <c r="G53" s="719"/>
      <c r="H53" s="719"/>
      <c r="I53" s="719"/>
      <c r="J53" s="686"/>
      <c r="K53" s="686"/>
      <c r="L53" s="717"/>
      <c r="M53" s="719"/>
      <c r="N53" s="720"/>
      <c r="O53" s="690"/>
      <c r="P53" s="693"/>
      <c r="Q53" s="690"/>
      <c r="R53" s="686"/>
    </row>
    <row r="54" spans="2:18" s="685" customFormat="1" ht="19.5" customHeight="1">
      <c r="B54" s="716"/>
      <c r="C54" s="686"/>
      <c r="D54" s="717"/>
      <c r="E54" s="718"/>
      <c r="F54" s="719"/>
      <c r="G54" s="719"/>
      <c r="H54" s="719"/>
      <c r="I54" s="719"/>
      <c r="J54" s="686"/>
      <c r="K54" s="686"/>
      <c r="L54" s="717"/>
      <c r="M54" s="719"/>
      <c r="N54" s="720"/>
      <c r="O54" s="690"/>
      <c r="P54" s="693"/>
      <c r="Q54" s="690"/>
      <c r="R54" s="686"/>
    </row>
    <row r="55" spans="2:18" s="685" customFormat="1" ht="19.5" customHeight="1">
      <c r="B55" s="716"/>
      <c r="C55" s="686"/>
      <c r="D55" s="717"/>
      <c r="E55" s="718"/>
      <c r="F55" s="719"/>
      <c r="G55" s="719"/>
      <c r="H55" s="719"/>
      <c r="I55" s="719"/>
      <c r="J55" s="686"/>
      <c r="K55" s="686"/>
      <c r="L55" s="717"/>
      <c r="M55" s="719"/>
      <c r="N55" s="720"/>
      <c r="O55" s="690"/>
      <c r="P55" s="693"/>
      <c r="Q55" s="690"/>
      <c r="R55" s="686"/>
    </row>
    <row r="56" spans="2:18" s="685" customFormat="1" ht="19.5" customHeight="1">
      <c r="B56" s="716"/>
      <c r="C56" s="686"/>
      <c r="D56" s="717"/>
      <c r="E56" s="718"/>
      <c r="F56" s="719"/>
      <c r="G56" s="719"/>
      <c r="H56" s="719"/>
      <c r="I56" s="719"/>
      <c r="J56" s="686"/>
      <c r="K56" s="686"/>
      <c r="L56" s="717"/>
      <c r="M56" s="719"/>
      <c r="N56" s="720"/>
      <c r="O56" s="690"/>
      <c r="P56" s="693"/>
      <c r="Q56" s="690"/>
      <c r="R56" s="686"/>
    </row>
    <row r="57" spans="2:18" s="685" customFormat="1" ht="19.5" customHeight="1">
      <c r="B57" s="716"/>
      <c r="C57" s="686"/>
      <c r="D57" s="717"/>
      <c r="E57" s="718"/>
      <c r="F57" s="719"/>
      <c r="G57" s="719"/>
      <c r="H57" s="719"/>
      <c r="I57" s="719"/>
      <c r="J57" s="686"/>
      <c r="K57" s="686"/>
      <c r="L57" s="717"/>
      <c r="M57" s="719"/>
      <c r="N57" s="720"/>
      <c r="O57" s="690"/>
      <c r="P57" s="693"/>
      <c r="Q57" s="690"/>
      <c r="R57" s="686"/>
    </row>
    <row r="58" spans="2:18" s="685" customFormat="1" ht="19.5" customHeight="1">
      <c r="B58" s="716"/>
      <c r="C58" s="686"/>
      <c r="D58" s="717"/>
      <c r="E58" s="718"/>
      <c r="F58" s="719"/>
      <c r="G58" s="719"/>
      <c r="H58" s="719"/>
      <c r="I58" s="719"/>
      <c r="J58" s="686"/>
      <c r="K58" s="686"/>
      <c r="L58" s="717"/>
      <c r="M58" s="719"/>
      <c r="N58" s="720"/>
      <c r="O58" s="690"/>
      <c r="P58" s="693"/>
      <c r="Q58" s="690"/>
      <c r="R58" s="686"/>
    </row>
    <row r="59" spans="2:18" s="685" customFormat="1" ht="19.5" customHeight="1">
      <c r="B59" s="716"/>
      <c r="C59" s="686"/>
      <c r="D59" s="717"/>
      <c r="E59" s="718"/>
      <c r="F59" s="719"/>
      <c r="G59" s="719"/>
      <c r="H59" s="719"/>
      <c r="I59" s="719"/>
      <c r="J59" s="686"/>
      <c r="K59" s="686"/>
      <c r="L59" s="717"/>
      <c r="M59" s="719"/>
      <c r="N59" s="720"/>
      <c r="O59" s="690"/>
      <c r="P59" s="693"/>
      <c r="Q59" s="690"/>
      <c r="R59" s="686"/>
    </row>
    <row r="60" spans="2:18" s="685" customFormat="1" ht="19.5" customHeight="1">
      <c r="B60" s="716"/>
      <c r="C60" s="686"/>
      <c r="D60" s="717"/>
      <c r="E60" s="718"/>
      <c r="F60" s="719"/>
      <c r="G60" s="719"/>
      <c r="H60" s="719"/>
      <c r="I60" s="719"/>
      <c r="J60" s="686"/>
      <c r="K60" s="719"/>
      <c r="L60" s="717"/>
      <c r="M60" s="719"/>
      <c r="N60" s="720"/>
      <c r="O60" s="690"/>
      <c r="P60" s="693"/>
      <c r="Q60" s="690"/>
      <c r="R60" s="686"/>
    </row>
    <row r="61" spans="2:18" s="685" customFormat="1" ht="19.5" customHeight="1">
      <c r="B61" s="716"/>
      <c r="C61" s="686"/>
      <c r="D61" s="717"/>
      <c r="E61" s="718"/>
      <c r="F61" s="719"/>
      <c r="G61" s="719"/>
      <c r="H61" s="719"/>
      <c r="I61" s="719"/>
      <c r="J61" s="686"/>
      <c r="K61" s="719"/>
      <c r="L61" s="717"/>
      <c r="M61" s="719"/>
      <c r="N61" s="720"/>
      <c r="O61" s="690"/>
      <c r="P61" s="693"/>
      <c r="Q61" s="690"/>
      <c r="R61" s="686"/>
    </row>
    <row r="62" spans="2:18" ht="19.5" customHeight="1">
      <c r="B62" s="716"/>
      <c r="C62" s="686"/>
      <c r="D62" s="717"/>
      <c r="E62" s="718"/>
      <c r="F62" s="719"/>
      <c r="G62" s="719"/>
      <c r="H62" s="719"/>
      <c r="I62" s="719"/>
      <c r="J62" s="686"/>
      <c r="K62" s="686"/>
      <c r="L62" s="717"/>
      <c r="M62" s="719"/>
      <c r="N62" s="720"/>
      <c r="O62" s="690"/>
      <c r="P62" s="693"/>
      <c r="Q62" s="690"/>
      <c r="R62" s="686"/>
    </row>
    <row r="63" spans="2:18" ht="19.5" customHeight="1">
      <c r="B63" s="716"/>
      <c r="C63" s="686"/>
      <c r="D63" s="717"/>
      <c r="E63" s="718"/>
      <c r="F63" s="719"/>
      <c r="G63" s="719"/>
      <c r="H63" s="719"/>
      <c r="I63" s="719"/>
      <c r="J63" s="686"/>
      <c r="K63" s="719"/>
      <c r="L63" s="717"/>
      <c r="M63" s="719"/>
      <c r="N63" s="720"/>
      <c r="O63" s="690"/>
      <c r="P63" s="693"/>
      <c r="Q63" s="690"/>
      <c r="R63" s="686"/>
    </row>
    <row r="64" spans="2:18" ht="19.5" customHeight="1">
      <c r="B64" s="716"/>
      <c r="C64" s="686"/>
      <c r="D64" s="717"/>
      <c r="E64" s="718"/>
      <c r="F64" s="719"/>
      <c r="G64" s="719"/>
      <c r="H64" s="719"/>
      <c r="I64" s="719"/>
      <c r="J64" s="686"/>
      <c r="K64" s="719"/>
      <c r="L64" s="717"/>
      <c r="M64" s="719"/>
      <c r="N64" s="720"/>
      <c r="O64" s="690"/>
      <c r="P64" s="693"/>
      <c r="Q64" s="690"/>
      <c r="R64" s="686"/>
    </row>
    <row r="65" spans="2:18" ht="19.5" customHeight="1">
      <c r="B65" s="716"/>
      <c r="C65" s="686"/>
      <c r="D65" s="717"/>
      <c r="E65" s="718"/>
      <c r="F65" s="719"/>
      <c r="G65" s="719"/>
      <c r="H65" s="719"/>
      <c r="I65" s="719"/>
      <c r="J65" s="686"/>
      <c r="K65" s="686"/>
      <c r="L65" s="717"/>
      <c r="M65" s="719"/>
      <c r="N65" s="720"/>
      <c r="O65" s="690"/>
      <c r="P65" s="693"/>
      <c r="Q65" s="690"/>
      <c r="R65" s="686"/>
    </row>
    <row r="66" spans="2:18" s="686" customFormat="1" ht="19.5" customHeight="1">
      <c r="B66" s="716"/>
      <c r="D66" s="717"/>
      <c r="E66" s="718"/>
      <c r="F66" s="719"/>
      <c r="G66" s="719"/>
      <c r="H66" s="719"/>
      <c r="I66" s="719"/>
      <c r="L66" s="717"/>
      <c r="M66" s="719"/>
      <c r="N66" s="720"/>
      <c r="O66" s="690"/>
      <c r="P66" s="693"/>
      <c r="Q66" s="690"/>
    </row>
    <row r="67" spans="2:18" ht="19.5" customHeight="1">
      <c r="B67" s="716"/>
      <c r="C67" s="686"/>
      <c r="D67" s="717"/>
      <c r="E67" s="718"/>
      <c r="F67" s="719"/>
      <c r="G67" s="719"/>
      <c r="H67" s="719"/>
      <c r="I67" s="719"/>
      <c r="J67" s="686"/>
      <c r="K67" s="686"/>
      <c r="L67" s="717"/>
      <c r="M67" s="719"/>
      <c r="N67" s="720"/>
      <c r="O67" s="690"/>
      <c r="P67" s="693"/>
      <c r="Q67" s="690"/>
      <c r="R67" s="686"/>
    </row>
    <row r="68" spans="2:18" ht="19.5" customHeight="1">
      <c r="B68" s="716"/>
      <c r="C68" s="686"/>
      <c r="D68" s="717"/>
      <c r="E68" s="718"/>
      <c r="F68" s="719"/>
      <c r="G68" s="719"/>
      <c r="H68" s="719"/>
      <c r="I68" s="719"/>
      <c r="J68" s="686"/>
      <c r="K68" s="686"/>
      <c r="L68" s="717"/>
      <c r="M68" s="719"/>
      <c r="N68" s="720"/>
      <c r="O68" s="690"/>
      <c r="P68" s="693"/>
      <c r="Q68" s="690"/>
      <c r="R68" s="686"/>
    </row>
  </sheetData>
  <pageMargins left="0" right="0" top="0.74803149606299213" bottom="0.74803149606299213" header="0.31496062992125984" footer="0.31496062992125984"/>
  <pageSetup paperSize="9" scale="81" orientation="landscape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1:U9"/>
  <sheetViews>
    <sheetView workbookViewId="0">
      <selection activeCell="K7" activeCellId="2" sqref="K3 K6 K7"/>
    </sheetView>
  </sheetViews>
  <sheetFormatPr baseColWidth="10" defaultRowHeight="12.75"/>
  <cols>
    <col min="1" max="1" width="1.5703125" style="683" customWidth="1"/>
    <col min="2" max="2" width="11.140625" style="722" bestFit="1" customWidth="1"/>
    <col min="3" max="3" width="35.140625" style="722" bestFit="1" customWidth="1"/>
    <col min="4" max="4" width="17" style="683" bestFit="1" customWidth="1"/>
    <col min="5" max="5" width="3.42578125" style="687" bestFit="1" customWidth="1"/>
    <col min="6" max="6" width="10.28515625" style="723" bestFit="1" customWidth="1"/>
    <col min="7" max="7" width="11" style="684" bestFit="1" customWidth="1"/>
    <col min="8" max="8" width="11.140625" style="684" bestFit="1" customWidth="1"/>
    <col min="9" max="9" width="9.28515625" style="684" bestFit="1" customWidth="1"/>
    <col min="10" max="10" width="7" style="684" bestFit="1" customWidth="1"/>
    <col min="11" max="11" width="8.7109375" style="684" bestFit="1" customWidth="1"/>
    <col min="12" max="12" width="8.28515625" style="683" bestFit="1" customWidth="1"/>
    <col min="13" max="13" width="11" style="683" bestFit="1" customWidth="1"/>
    <col min="14" max="14" width="10" style="687" bestFit="1" customWidth="1"/>
    <col min="15" max="15" width="8.7109375" style="684" bestFit="1" customWidth="1"/>
    <col min="16" max="16" width="9" style="722" bestFit="1" customWidth="1"/>
    <col min="17" max="17" width="8.85546875" style="689" bestFit="1" customWidth="1"/>
    <col min="18" max="18" width="9.85546875" style="683" bestFit="1" customWidth="1"/>
    <col min="19" max="19" width="11.140625" style="683" bestFit="1" customWidth="1"/>
    <col min="20" max="16384" width="11.42578125" style="683"/>
  </cols>
  <sheetData>
    <row r="1" spans="2:21" s="682" customFormat="1" ht="26.25" thickBot="1">
      <c r="B1" s="629" t="s">
        <v>882</v>
      </c>
      <c r="C1" s="629" t="s">
        <v>121</v>
      </c>
      <c r="D1" s="630" t="s">
        <v>425</v>
      </c>
      <c r="E1" s="630" t="s">
        <v>426</v>
      </c>
      <c r="F1" s="631" t="s">
        <v>883</v>
      </c>
      <c r="G1" s="632" t="s">
        <v>428</v>
      </c>
      <c r="H1" s="632" t="s">
        <v>430</v>
      </c>
      <c r="I1" s="632" t="s">
        <v>431</v>
      </c>
      <c r="J1" s="632" t="s">
        <v>879</v>
      </c>
      <c r="K1" s="632" t="s">
        <v>432</v>
      </c>
      <c r="L1" s="630" t="s">
        <v>433</v>
      </c>
      <c r="M1" s="630" t="s">
        <v>434</v>
      </c>
      <c r="N1" s="630" t="s">
        <v>429</v>
      </c>
      <c r="O1" s="632" t="s">
        <v>11</v>
      </c>
      <c r="P1" s="629" t="s">
        <v>10</v>
      </c>
      <c r="Q1" s="634" t="s">
        <v>435</v>
      </c>
      <c r="R1" s="634" t="s">
        <v>884</v>
      </c>
      <c r="S1" s="681" t="s">
        <v>834</v>
      </c>
    </row>
    <row r="2" spans="2:21" s="686" customFormat="1" ht="18.75" customHeight="1" thickBot="1">
      <c r="B2" s="698">
        <v>42914</v>
      </c>
      <c r="C2" s="725" t="s">
        <v>880</v>
      </c>
      <c r="D2" s="699" t="s">
        <v>501</v>
      </c>
      <c r="E2" s="700" t="s">
        <v>876</v>
      </c>
      <c r="F2" s="701">
        <v>37610</v>
      </c>
      <c r="G2" s="702">
        <v>1.4</v>
      </c>
      <c r="H2" s="702">
        <f>G2*F2</f>
        <v>52654</v>
      </c>
      <c r="I2" s="702">
        <f>H2*0.18</f>
        <v>9477.7199999999993</v>
      </c>
      <c r="J2" s="702">
        <f>(H2+I2)*1%</f>
        <v>621.31720000000007</v>
      </c>
      <c r="K2" s="702">
        <f>J2+I2+H2+0.5</f>
        <v>62753.537199999999</v>
      </c>
      <c r="L2" s="699" t="s">
        <v>877</v>
      </c>
      <c r="M2" s="699">
        <v>3</v>
      </c>
      <c r="N2" s="699" t="s">
        <v>126</v>
      </c>
      <c r="O2" s="702">
        <v>62753.536999999997</v>
      </c>
      <c r="P2" s="725">
        <v>42965</v>
      </c>
      <c r="Q2" s="704" t="s">
        <v>103</v>
      </c>
      <c r="R2" s="732">
        <f>+K2-I2</f>
        <v>53275.817199999998</v>
      </c>
      <c r="S2" s="706" t="s">
        <v>885</v>
      </c>
    </row>
    <row r="3" spans="2:21" ht="18.75" customHeight="1" thickBot="1">
      <c r="B3" s="708">
        <v>42942</v>
      </c>
      <c r="C3" s="731" t="s">
        <v>880</v>
      </c>
      <c r="D3" s="709" t="s">
        <v>501</v>
      </c>
      <c r="E3" s="710" t="s">
        <v>876</v>
      </c>
      <c r="F3" s="711">
        <v>37570</v>
      </c>
      <c r="G3" s="712">
        <v>1.4</v>
      </c>
      <c r="H3" s="712">
        <f t="shared" ref="H3:H5" si="0">G3*F3</f>
        <v>52598</v>
      </c>
      <c r="I3" s="712">
        <f t="shared" ref="I3:I5" si="1">H3*0.18</f>
        <v>9467.64</v>
      </c>
      <c r="J3" s="712">
        <f t="shared" ref="J3:J5" si="2">(H3+I3)*1%</f>
        <v>620.65639999999996</v>
      </c>
      <c r="K3" s="712">
        <f t="shared" ref="K3:K5" si="3">J3+I3+H3+0.5</f>
        <v>62686.796399999999</v>
      </c>
      <c r="L3" s="709"/>
      <c r="M3" s="709"/>
      <c r="N3" s="709" t="s">
        <v>126</v>
      </c>
      <c r="O3" s="712"/>
      <c r="P3" s="731"/>
      <c r="Q3" s="713"/>
      <c r="R3" s="713"/>
      <c r="S3" s="715"/>
      <c r="U3" s="686"/>
    </row>
    <row r="4" spans="2:21" ht="18.75" customHeight="1" thickBot="1">
      <c r="B4" s="708">
        <v>42958</v>
      </c>
      <c r="C4" s="731" t="s">
        <v>880</v>
      </c>
      <c r="D4" s="709" t="s">
        <v>501</v>
      </c>
      <c r="E4" s="710" t="s">
        <v>876</v>
      </c>
      <c r="F4" s="711">
        <v>35900</v>
      </c>
      <c r="G4" s="712">
        <v>1.4</v>
      </c>
      <c r="H4" s="712">
        <f t="shared" si="0"/>
        <v>50260</v>
      </c>
      <c r="I4" s="712">
        <f t="shared" si="1"/>
        <v>9046.7999999999993</v>
      </c>
      <c r="J4" s="712">
        <f t="shared" si="2"/>
        <v>593.0680000000001</v>
      </c>
      <c r="K4" s="712">
        <f t="shared" si="3"/>
        <v>59900.368000000002</v>
      </c>
      <c r="L4" s="709"/>
      <c r="M4" s="709"/>
      <c r="N4" s="709" t="s">
        <v>115</v>
      </c>
      <c r="O4" s="712"/>
      <c r="P4" s="731"/>
      <c r="Q4" s="713"/>
      <c r="R4" s="713"/>
      <c r="S4" s="715"/>
      <c r="U4" s="686"/>
    </row>
    <row r="5" spans="2:21" ht="18.75" customHeight="1" thickBot="1">
      <c r="B5" s="708">
        <v>42972</v>
      </c>
      <c r="C5" s="731" t="s">
        <v>880</v>
      </c>
      <c r="D5" s="709" t="s">
        <v>501</v>
      </c>
      <c r="E5" s="710" t="s">
        <v>876</v>
      </c>
      <c r="F5" s="711">
        <v>37400</v>
      </c>
      <c r="G5" s="712">
        <v>1.4</v>
      </c>
      <c r="H5" s="712">
        <f t="shared" si="0"/>
        <v>52360</v>
      </c>
      <c r="I5" s="712">
        <f t="shared" si="1"/>
        <v>9424.7999999999993</v>
      </c>
      <c r="J5" s="712">
        <f t="shared" si="2"/>
        <v>617.84800000000007</v>
      </c>
      <c r="K5" s="712">
        <f t="shared" si="3"/>
        <v>62403.148000000001</v>
      </c>
      <c r="L5" s="709"/>
      <c r="M5" s="709"/>
      <c r="N5" s="709" t="s">
        <v>115</v>
      </c>
      <c r="O5" s="712"/>
      <c r="P5" s="731"/>
      <c r="Q5" s="713"/>
      <c r="R5" s="713"/>
      <c r="S5" s="715"/>
      <c r="U5" s="686"/>
    </row>
    <row r="6" spans="2:21" ht="18.75" customHeight="1" thickBot="1">
      <c r="B6" s="708">
        <v>43036</v>
      </c>
      <c r="C6" s="731" t="s">
        <v>880</v>
      </c>
      <c r="D6" s="709" t="s">
        <v>501</v>
      </c>
      <c r="E6" s="710" t="s">
        <v>876</v>
      </c>
      <c r="F6" s="711">
        <v>38100</v>
      </c>
      <c r="G6" s="712">
        <v>1.4</v>
      </c>
      <c r="H6" s="712">
        <f t="shared" ref="H6" si="4">G6*F6</f>
        <v>53340</v>
      </c>
      <c r="I6" s="712">
        <f t="shared" ref="I6" si="5">H6*0.18</f>
        <v>9601.1999999999989</v>
      </c>
      <c r="J6" s="712">
        <f t="shared" ref="J6" si="6">(H6+I6)*1%</f>
        <v>629.41200000000003</v>
      </c>
      <c r="K6" s="712">
        <f t="shared" ref="K6" si="7">J6+I6+H6+0.5</f>
        <v>63571.112000000001</v>
      </c>
      <c r="L6" s="709"/>
      <c r="M6" s="709"/>
      <c r="N6" s="709" t="s">
        <v>126</v>
      </c>
      <c r="O6" s="712"/>
      <c r="P6" s="731"/>
      <c r="Q6" s="713"/>
      <c r="R6" s="713"/>
      <c r="S6" s="715"/>
      <c r="U6" s="686"/>
    </row>
    <row r="7" spans="2:21" ht="18.75" customHeight="1" thickBot="1">
      <c r="B7" s="708">
        <v>43039</v>
      </c>
      <c r="C7" s="731" t="s">
        <v>880</v>
      </c>
      <c r="D7" s="709" t="s">
        <v>501</v>
      </c>
      <c r="E7" s="710" t="s">
        <v>876</v>
      </c>
      <c r="F7" s="711">
        <v>36740</v>
      </c>
      <c r="G7" s="712">
        <v>1.4</v>
      </c>
      <c r="H7" s="712">
        <f t="shared" ref="H7" si="8">G7*F7</f>
        <v>51436</v>
      </c>
      <c r="I7" s="712">
        <f t="shared" ref="I7" si="9">H7*0.18</f>
        <v>9258.48</v>
      </c>
      <c r="J7" s="712">
        <f t="shared" ref="J7" si="10">(H7+I7)*1%</f>
        <v>606.94479999999999</v>
      </c>
      <c r="K7" s="712">
        <f t="shared" ref="K7" si="11">J7+I7+H7+0.5</f>
        <v>61301.924800000001</v>
      </c>
      <c r="L7" s="709"/>
      <c r="M7" s="709"/>
      <c r="N7" s="709" t="s">
        <v>126</v>
      </c>
      <c r="O7" s="712"/>
      <c r="P7" s="731"/>
      <c r="Q7" s="713"/>
      <c r="R7" s="713"/>
      <c r="S7" s="715"/>
      <c r="U7" s="686"/>
    </row>
    <row r="9" spans="2:21">
      <c r="P9" s="722" t="s">
        <v>498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E28"/>
  <sheetViews>
    <sheetView tabSelected="1" workbookViewId="0">
      <selection activeCell="M26" sqref="M26"/>
    </sheetView>
  </sheetViews>
  <sheetFormatPr baseColWidth="10" defaultRowHeight="15"/>
  <cols>
    <col min="1" max="1" width="21.28515625" bestFit="1" customWidth="1"/>
    <col min="2" max="2" width="11" style="49" bestFit="1" customWidth="1"/>
    <col min="3" max="3" width="13.140625" bestFit="1" customWidth="1"/>
    <col min="4" max="4" width="11" style="49" bestFit="1" customWidth="1"/>
    <col min="5" max="5" width="11.42578125" style="49"/>
  </cols>
  <sheetData>
    <row r="2" spans="1:5">
      <c r="A2" s="945" t="s">
        <v>1042</v>
      </c>
      <c r="B2" s="945"/>
      <c r="C2" s="945"/>
      <c r="D2" s="945"/>
      <c r="E2" s="945"/>
    </row>
    <row r="3" spans="1:5">
      <c r="A3" t="s">
        <v>1043</v>
      </c>
      <c r="B3" s="49">
        <v>82353.308999999994</v>
      </c>
    </row>
    <row r="4" spans="1:5">
      <c r="A4" t="s">
        <v>1058</v>
      </c>
      <c r="B4" s="49">
        <v>160892.139</v>
      </c>
    </row>
    <row r="5" spans="1:5">
      <c r="A5" t="s">
        <v>1057</v>
      </c>
      <c r="B5" s="49">
        <v>123466.409</v>
      </c>
    </row>
    <row r="6" spans="1:5">
      <c r="A6" t="s">
        <v>1267</v>
      </c>
      <c r="B6" s="49">
        <v>71700.870999999999</v>
      </c>
    </row>
    <row r="7" spans="1:5">
      <c r="A7" t="s">
        <v>1272</v>
      </c>
      <c r="B7" s="49">
        <v>66202.448999999993</v>
      </c>
    </row>
    <row r="8" spans="1:5">
      <c r="A8" t="s">
        <v>1273</v>
      </c>
      <c r="B8" s="49">
        <v>71065.577999999994</v>
      </c>
    </row>
    <row r="9" spans="1:5" s="113" customFormat="1">
      <c r="A9" s="113" t="s">
        <v>78</v>
      </c>
      <c r="B9" s="838">
        <f>SUM(B3:B8)*0.985</f>
        <v>567045.54367499985</v>
      </c>
      <c r="D9" s="838"/>
      <c r="E9" s="838"/>
    </row>
    <row r="10" spans="1:5">
      <c r="A10" t="s">
        <v>1044</v>
      </c>
      <c r="B10" s="49">
        <f>+B9*0.1</f>
        <v>56704.554367499986</v>
      </c>
    </row>
    <row r="11" spans="1:5">
      <c r="A11" t="s">
        <v>1045</v>
      </c>
      <c r="B11" s="49">
        <f>50000*0.985</f>
        <v>49250</v>
      </c>
    </row>
    <row r="12" spans="1:5" s="113" customFormat="1">
      <c r="A12" s="113" t="s">
        <v>1046</v>
      </c>
      <c r="B12" s="838">
        <f>+B9-B10-B11</f>
        <v>461090.98930749984</v>
      </c>
      <c r="D12" s="838"/>
      <c r="E12" s="838"/>
    </row>
    <row r="13" spans="1:5" s="113" customFormat="1" ht="6.75" customHeight="1">
      <c r="B13" s="838"/>
      <c r="D13" s="838"/>
      <c r="E13" s="838"/>
    </row>
    <row r="14" spans="1:5">
      <c r="A14" t="s">
        <v>1047</v>
      </c>
    </row>
    <row r="15" spans="1:5">
      <c r="A15" s="111">
        <v>42947</v>
      </c>
      <c r="B15" s="49" t="s">
        <v>1048</v>
      </c>
      <c r="C15" t="s">
        <v>1049</v>
      </c>
      <c r="D15" s="49">
        <v>32447.45</v>
      </c>
      <c r="E15" s="49">
        <v>32941.574000000001</v>
      </c>
    </row>
    <row r="16" spans="1:5">
      <c r="A16" s="111">
        <v>42971</v>
      </c>
      <c r="B16" s="49" t="s">
        <v>1050</v>
      </c>
      <c r="C16" t="s">
        <v>1051</v>
      </c>
      <c r="D16" s="49">
        <v>45000</v>
      </c>
      <c r="E16" s="49">
        <f>+D16/0.985</f>
        <v>45685.279187817257</v>
      </c>
    </row>
    <row r="17" spans="1:5">
      <c r="A17" s="111">
        <v>42972</v>
      </c>
      <c r="B17" s="49" t="s">
        <v>1052</v>
      </c>
      <c r="C17" t="s">
        <v>1051</v>
      </c>
      <c r="D17" s="49">
        <v>54000</v>
      </c>
      <c r="E17" s="49">
        <f t="shared" ref="E17:E18" si="0">+D17/0.985</f>
        <v>54822.335025380715</v>
      </c>
    </row>
    <row r="18" spans="1:5">
      <c r="A18" s="111">
        <v>43004</v>
      </c>
      <c r="B18" s="49" t="s">
        <v>1053</v>
      </c>
      <c r="C18" t="s">
        <v>1051</v>
      </c>
      <c r="D18" s="49">
        <v>32450</v>
      </c>
      <c r="E18" s="49">
        <f t="shared" si="0"/>
        <v>32944.16243654822</v>
      </c>
    </row>
    <row r="19" spans="1:5">
      <c r="A19" s="111">
        <v>43034</v>
      </c>
      <c r="B19" s="49" t="s">
        <v>1054</v>
      </c>
      <c r="C19" t="s">
        <v>1049</v>
      </c>
      <c r="D19" s="49">
        <v>39400</v>
      </c>
      <c r="E19" s="49">
        <v>40000</v>
      </c>
    </row>
    <row r="20" spans="1:5">
      <c r="A20" s="111">
        <v>43069</v>
      </c>
      <c r="B20" s="49" t="s">
        <v>1268</v>
      </c>
      <c r="C20" t="s">
        <v>1049</v>
      </c>
      <c r="D20" s="49">
        <v>68950</v>
      </c>
      <c r="E20" s="49">
        <v>70000</v>
      </c>
    </row>
    <row r="21" spans="1:5">
      <c r="A21" s="111">
        <v>43111</v>
      </c>
      <c r="B21" s="49" t="s">
        <v>1271</v>
      </c>
      <c r="C21" t="s">
        <v>1049</v>
      </c>
      <c r="D21" s="49">
        <v>39400</v>
      </c>
      <c r="E21" s="49">
        <f>+D21/0.985</f>
        <v>40000</v>
      </c>
    </row>
    <row r="22" spans="1:5">
      <c r="A22" s="111">
        <v>43279</v>
      </c>
      <c r="B22" s="49" t="s">
        <v>1269</v>
      </c>
      <c r="C22" t="s">
        <v>1049</v>
      </c>
      <c r="D22" s="49">
        <v>29550</v>
      </c>
      <c r="E22" s="49">
        <v>30000</v>
      </c>
    </row>
    <row r="23" spans="1:5">
      <c r="A23" s="111">
        <v>43209</v>
      </c>
      <c r="B23" s="49" t="s">
        <v>1270</v>
      </c>
      <c r="C23" t="s">
        <v>1049</v>
      </c>
      <c r="D23" s="49">
        <v>59100</v>
      </c>
      <c r="E23" s="49">
        <v>60000</v>
      </c>
    </row>
    <row r="24" spans="1:5">
      <c r="A24" s="111">
        <v>43410</v>
      </c>
      <c r="B24" s="49" t="s">
        <v>1274</v>
      </c>
      <c r="C24" t="s">
        <v>1051</v>
      </c>
      <c r="D24" s="49">
        <v>50000</v>
      </c>
    </row>
    <row r="25" spans="1:5">
      <c r="A25" s="945" t="s">
        <v>1055</v>
      </c>
      <c r="B25" s="945"/>
      <c r="C25" s="945"/>
      <c r="D25" s="838">
        <f>SUM(D15:D24)</f>
        <v>450297.45</v>
      </c>
    </row>
    <row r="26" spans="1:5" ht="7.5" customHeight="1"/>
    <row r="27" spans="1:5">
      <c r="A27" s="946" t="s">
        <v>1056</v>
      </c>
      <c r="B27" s="946"/>
      <c r="C27" s="946"/>
      <c r="D27" s="49">
        <f>+B12-D25</f>
        <v>10793.539307499828</v>
      </c>
    </row>
    <row r="28" spans="1:5">
      <c r="A28" s="946"/>
      <c r="B28" s="946"/>
      <c r="C28" s="946"/>
    </row>
  </sheetData>
  <mergeCells count="4">
    <mergeCell ref="A25:C25"/>
    <mergeCell ref="A27:C27"/>
    <mergeCell ref="A28:C28"/>
    <mergeCell ref="A2:E2"/>
  </mergeCells>
  <pageMargins left="0.7" right="0.7" top="0.75" bottom="0.75" header="0.3" footer="0.3"/>
  <pageSetup paperSize="9" orientation="portrait" horizontalDpi="180" verticalDpi="18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2:F19"/>
  <sheetViews>
    <sheetView workbookViewId="0">
      <selection activeCell="A2" sqref="A2:F19"/>
    </sheetView>
  </sheetViews>
  <sheetFormatPr baseColWidth="10" defaultRowHeight="15"/>
  <cols>
    <col min="3" max="3" width="11.42578125" style="49"/>
    <col min="4" max="4" width="3.140625" customWidth="1"/>
    <col min="6" max="6" width="12.42578125" style="49" bestFit="1" customWidth="1"/>
  </cols>
  <sheetData>
    <row r="2" spans="1:6">
      <c r="A2" t="s">
        <v>1208</v>
      </c>
      <c r="B2" s="111">
        <v>42766</v>
      </c>
      <c r="C2" s="49">
        <v>424800.5</v>
      </c>
      <c r="E2" t="s">
        <v>1210</v>
      </c>
      <c r="F2" s="49">
        <v>100000</v>
      </c>
    </row>
    <row r="3" spans="1:6">
      <c r="A3" t="s">
        <v>1207</v>
      </c>
      <c r="B3" s="111">
        <v>42822</v>
      </c>
      <c r="C3" s="49">
        <v>37996.5</v>
      </c>
      <c r="E3" t="s">
        <v>1211</v>
      </c>
      <c r="F3" s="49">
        <v>100000</v>
      </c>
    </row>
    <row r="4" spans="1:6">
      <c r="A4" t="s">
        <v>1206</v>
      </c>
      <c r="B4" s="111">
        <v>42849</v>
      </c>
      <c r="C4" s="49">
        <v>280368.5</v>
      </c>
      <c r="E4" t="s">
        <v>1212</v>
      </c>
      <c r="F4" s="49">
        <v>500000</v>
      </c>
    </row>
    <row r="5" spans="1:6">
      <c r="A5" t="s">
        <v>1205</v>
      </c>
      <c r="B5" s="111">
        <v>43019</v>
      </c>
      <c r="C5" s="49">
        <v>95934.5</v>
      </c>
      <c r="E5" t="s">
        <v>1213</v>
      </c>
      <c r="F5" s="49">
        <v>20000</v>
      </c>
    </row>
    <row r="6" spans="1:6">
      <c r="A6" t="s">
        <v>1209</v>
      </c>
      <c r="B6" s="111">
        <v>43028</v>
      </c>
      <c r="C6" s="49">
        <v>63248.5</v>
      </c>
      <c r="E6" t="s">
        <v>1214</v>
      </c>
      <c r="F6" s="49">
        <v>20000</v>
      </c>
    </row>
    <row r="7" spans="1:6" s="113" customFormat="1">
      <c r="A7" s="945" t="s">
        <v>78</v>
      </c>
      <c r="B7" s="945"/>
      <c r="C7" s="838">
        <f>SUM(C2:C6)</f>
        <v>902348.5</v>
      </c>
      <c r="E7" s="860" t="s">
        <v>1215</v>
      </c>
      <c r="F7" s="861">
        <v>50000</v>
      </c>
    </row>
    <row r="8" spans="1:6">
      <c r="E8" s="860" t="s">
        <v>1216</v>
      </c>
      <c r="F8" s="49">
        <v>40000</v>
      </c>
    </row>
    <row r="9" spans="1:6">
      <c r="E9" s="860" t="s">
        <v>1217</v>
      </c>
      <c r="F9" s="49">
        <v>50000</v>
      </c>
    </row>
    <row r="10" spans="1:6">
      <c r="E10" s="860" t="s">
        <v>1218</v>
      </c>
      <c r="F10" s="49">
        <v>50000</v>
      </c>
    </row>
    <row r="11" spans="1:6">
      <c r="E11" s="860" t="s">
        <v>1219</v>
      </c>
      <c r="F11" s="49">
        <v>20000</v>
      </c>
    </row>
    <row r="12" spans="1:6">
      <c r="E12" s="860" t="s">
        <v>1220</v>
      </c>
      <c r="F12" s="49">
        <v>50000</v>
      </c>
    </row>
    <row r="13" spans="1:6">
      <c r="E13" s="860" t="s">
        <v>1221</v>
      </c>
      <c r="F13" s="49">
        <v>10000</v>
      </c>
    </row>
    <row r="14" spans="1:6">
      <c r="E14" s="860" t="s">
        <v>1222</v>
      </c>
      <c r="F14" s="49">
        <v>10000</v>
      </c>
    </row>
    <row r="15" spans="1:6">
      <c r="E15" s="860" t="s">
        <v>1223</v>
      </c>
      <c r="F15" s="49">
        <v>10000</v>
      </c>
    </row>
    <row r="16" spans="1:6">
      <c r="E16" s="860" t="s">
        <v>1224</v>
      </c>
      <c r="F16" s="49">
        <v>10000</v>
      </c>
    </row>
    <row r="17" spans="5:6">
      <c r="E17" s="860" t="s">
        <v>1225</v>
      </c>
      <c r="F17" s="49">
        <v>20000</v>
      </c>
    </row>
    <row r="18" spans="5:6">
      <c r="E18" s="860" t="s">
        <v>1226</v>
      </c>
      <c r="F18" s="49">
        <v>100000</v>
      </c>
    </row>
    <row r="19" spans="5:6">
      <c r="F19" s="49">
        <f>SUM(F2:F18)</f>
        <v>1160000</v>
      </c>
    </row>
  </sheetData>
  <sortState ref="A2:C6">
    <sortCondition ref="A2:A6"/>
  </sortState>
  <mergeCells count="1">
    <mergeCell ref="A7:B7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15</vt:i4>
      </vt:variant>
    </vt:vector>
  </HeadingPairs>
  <TitlesOfParts>
    <vt:vector size="29" baseType="lpstr">
      <vt:lpstr>11-2017</vt:lpstr>
      <vt:lpstr>12-2017</vt:lpstr>
      <vt:lpstr>etranger</vt:lpstr>
      <vt:lpstr>CMT</vt:lpstr>
      <vt:lpstr>EXPORT</vt:lpstr>
      <vt:lpstr>FED</vt:lpstr>
      <vt:lpstr>CHEQUE</vt:lpstr>
      <vt:lpstr>TRAITE</vt:lpstr>
      <vt:lpstr>KAIS TAYACHI</vt:lpstr>
      <vt:lpstr>SOTRAM</vt:lpstr>
      <vt:lpstr>HAZEM</vt:lpstr>
      <vt:lpstr>AUTRE FACTURE </vt:lpstr>
      <vt:lpstr>Feuil1</vt:lpstr>
      <vt:lpstr>Feuil2</vt:lpstr>
      <vt:lpstr>CHEQUE!Impression_des_titres</vt:lpstr>
      <vt:lpstr>TRAITE!Impression_des_titres</vt:lpstr>
      <vt:lpstr>'11-2017'!Zone_d_impression</vt:lpstr>
      <vt:lpstr>'12-2017'!Zone_d_impression</vt:lpstr>
      <vt:lpstr>CHEQUE!Zone_d_impression</vt:lpstr>
      <vt:lpstr>CMT!Zone_d_impression</vt:lpstr>
      <vt:lpstr>etranger!Zone_d_impression</vt:lpstr>
      <vt:lpstr>EXPORT!Zone_d_impression</vt:lpstr>
      <vt:lpstr>FED!Zone_d_impression</vt:lpstr>
      <vt:lpstr>Feuil1!Zone_d_impression</vt:lpstr>
      <vt:lpstr>Feuil2!Zone_d_impression</vt:lpstr>
      <vt:lpstr>HAZEM!Zone_d_impression</vt:lpstr>
      <vt:lpstr>'KAIS TAYACHI'!Zone_d_impression</vt:lpstr>
      <vt:lpstr>SOTRAM!Zone_d_impression</vt:lpstr>
      <vt:lpstr>TRAITE!Zone_d_impression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2018-11-06T14:11:40Z</cp:lastPrinted>
  <dcterms:created xsi:type="dcterms:W3CDTF">2016-03-21T13:00:29Z</dcterms:created>
  <dcterms:modified xsi:type="dcterms:W3CDTF">2018-11-06T14:16:34Z</dcterms:modified>
</cp:coreProperties>
</file>